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V:\REAJUSTE\Concessionárias de Distribuição\2022\08 - D43 - EFLJC (Michelle)\Estrutura\ROBSON\"/>
    </mc:Choice>
  </mc:AlternateContent>
  <xr:revisionPtr revIDLastSave="0" documentId="13_ncr:1_{19401DC2-935D-4E8D-B63B-8414713E1E24}" xr6:coauthVersionLast="47" xr6:coauthVersionMax="47" xr10:uidLastSave="{00000000-0000-0000-0000-000000000000}"/>
  <bookViews>
    <workbookView xWindow="-120" yWindow="-120" windowWidth="29040" windowHeight="15840" tabRatio="890" firstSheet="20" activeTab="33" xr2:uid="{14DEA89F-E168-400D-8617-8BA706F7C8C8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34" r:id="rId20"/>
    <sheet name="TABELAS REH REG" sheetId="35" r:id="rId21"/>
    <sheet name="CONSISTENCIA" sheetId="21" r:id="rId22"/>
    <sheet name="TUSD" sheetId="28" r:id="rId23"/>
    <sheet name="TE" sheetId="29" r:id="rId24"/>
    <sheet name="RESUMO TUSD" sheetId="30" r:id="rId25"/>
    <sheet name="RESUMO TE" sheetId="31" r:id="rId26"/>
    <sheet name="TUSD BF_350" sheetId="24" r:id="rId27"/>
    <sheet name="TE BF_350" sheetId="25" r:id="rId28"/>
    <sheet name="TabDinEfeito_350" sheetId="27" r:id="rId29"/>
    <sheet name="EFEITO_350" sheetId="26" r:id="rId30"/>
    <sheet name="TarifaMedia" sheetId="23" r:id="rId31"/>
    <sheet name="Descontos" sheetId="20" r:id="rId32"/>
    <sheet name="ERD" sheetId="33" r:id="rId33"/>
    <sheet name="TA - Aplicação" sheetId="36" r:id="rId34"/>
    <sheet name="TA - BE" sheetId="37" r:id="rId35"/>
    <sheet name="TA - CVA" sheetId="38" r:id="rId36"/>
  </sheets>
  <definedNames>
    <definedName name="_xlnm._FilterDatabase" localSheetId="2" hidden="1">'TAR FIN'!$A$1:$AX$89</definedName>
    <definedName name="DadosExternos_1" localSheetId="33" hidden="1">'TA - Aplicação'!$B$3:$AT$49</definedName>
    <definedName name="DadosExternos_1" localSheetId="34" hidden="1">'TA - BE'!$B$3:$AT$49</definedName>
    <definedName name="DadosExternos_1" localSheetId="35" hidden="1">'TA - CVA'!$B$3:$AT$49</definedName>
  </definedNames>
  <calcPr calcId="191029"/>
  <pivotCaches>
    <pivotCache cacheId="0" r:id="rId37"/>
    <pivotCache cacheId="1" r:id="rId38"/>
    <pivotCache cacheId="2" r:id="rId3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3" l="1"/>
  <c r="C2" i="33"/>
  <c r="D2" i="33"/>
  <c r="E2" i="33"/>
  <c r="F2" i="33"/>
  <c r="G2" i="33"/>
  <c r="H2" i="33"/>
  <c r="J2" i="33"/>
  <c r="K2" i="33"/>
  <c r="L2" i="33"/>
  <c r="B11" i="33"/>
  <c r="P11" i="5" l="1"/>
  <c r="P10" i="5"/>
  <c r="P9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F36" i="5" s="1"/>
  <c r="O53" i="15"/>
  <c r="O52" i="15"/>
  <c r="O51" i="15"/>
  <c r="O15" i="15"/>
  <c r="O14" i="15"/>
  <c r="O13" i="15"/>
  <c r="O12" i="15"/>
  <c r="O11" i="15"/>
  <c r="O10" i="15"/>
  <c r="O9" i="15"/>
  <c r="O8" i="15"/>
  <c r="O7" i="15"/>
  <c r="O6" i="15"/>
  <c r="O5" i="15"/>
  <c r="O4" i="15"/>
  <c r="O3" i="15"/>
  <c r="O2" i="15"/>
  <c r="S3" i="15"/>
  <c r="S4" i="15"/>
  <c r="S5" i="15"/>
  <c r="S6" i="15"/>
  <c r="S7" i="15"/>
  <c r="S8" i="15"/>
  <c r="S9" i="15"/>
  <c r="S10" i="15"/>
  <c r="S11" i="15"/>
  <c r="S12" i="15"/>
  <c r="S13" i="15"/>
  <c r="S14" i="15"/>
  <c r="S15" i="15"/>
  <c r="S16" i="15"/>
  <c r="S17" i="15"/>
  <c r="S18" i="15"/>
  <c r="S19" i="15"/>
  <c r="S20" i="15"/>
  <c r="S21" i="15"/>
  <c r="S22" i="15"/>
  <c r="S23" i="15"/>
  <c r="S24" i="15"/>
  <c r="S25" i="15"/>
  <c r="S26" i="15"/>
  <c r="S27" i="15"/>
  <c r="S28" i="15"/>
  <c r="S29" i="15"/>
  <c r="S30" i="15"/>
  <c r="S31" i="15"/>
  <c r="S32" i="15"/>
  <c r="S33" i="15"/>
  <c r="S34" i="15"/>
  <c r="S35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S83" i="15"/>
  <c r="S84" i="15"/>
  <c r="S85" i="15"/>
  <c r="S86" i="15"/>
  <c r="S87" i="15"/>
  <c r="S88" i="15"/>
  <c r="S89" i="15"/>
  <c r="S2" i="15"/>
  <c r="T81" i="15" l="1"/>
  <c r="O81" i="15" s="1"/>
  <c r="T12" i="15"/>
  <c r="T20" i="15"/>
  <c r="O20" i="15" s="1"/>
  <c r="T88" i="15"/>
  <c r="O88" i="15" s="1"/>
  <c r="T72" i="15"/>
  <c r="O72" i="15" s="1"/>
  <c r="T68" i="15"/>
  <c r="O68" i="15" s="1"/>
  <c r="T64" i="15"/>
  <c r="O64" i="15" s="1"/>
  <c r="T52" i="15"/>
  <c r="T44" i="15"/>
  <c r="O44" i="15" s="1"/>
  <c r="T28" i="15"/>
  <c r="O28" i="15" s="1"/>
  <c r="T24" i="15"/>
  <c r="O24" i="15" s="1"/>
  <c r="T8" i="15"/>
  <c r="T84" i="15"/>
  <c r="O84" i="15" s="1"/>
  <c r="T77" i="15"/>
  <c r="O77" i="15" s="1"/>
  <c r="T60" i="15"/>
  <c r="O60" i="15" s="1"/>
  <c r="T54" i="15"/>
  <c r="O54" i="15" s="1"/>
  <c r="T47" i="15"/>
  <c r="O47" i="15" s="1"/>
  <c r="T40" i="15"/>
  <c r="O40" i="15" s="1"/>
  <c r="T34" i="15"/>
  <c r="O34" i="15" s="1"/>
  <c r="T30" i="15"/>
  <c r="O30" i="15" s="1"/>
  <c r="T13" i="15"/>
  <c r="T10" i="15"/>
  <c r="T3" i="15"/>
  <c r="T2" i="15"/>
  <c r="T87" i="15"/>
  <c r="O87" i="15" s="1"/>
  <c r="T80" i="15"/>
  <c r="O80" i="15" s="1"/>
  <c r="T76" i="15"/>
  <c r="O76" i="15" s="1"/>
  <c r="T73" i="15"/>
  <c r="O73" i="15" s="1"/>
  <c r="T70" i="15"/>
  <c r="O70" i="15" s="1"/>
  <c r="T67" i="15"/>
  <c r="O67" i="15" s="1"/>
  <c r="T63" i="15"/>
  <c r="O63" i="15" s="1"/>
  <c r="T56" i="15"/>
  <c r="O56" i="15" s="1"/>
  <c r="T53" i="15"/>
  <c r="T50" i="15"/>
  <c r="O50" i="15" s="1"/>
  <c r="T46" i="15"/>
  <c r="O46" i="15" s="1"/>
  <c r="T43" i="15"/>
  <c r="O43" i="15" s="1"/>
  <c r="T36" i="15"/>
  <c r="O36" i="15" s="1"/>
  <c r="T33" i="15"/>
  <c r="O33" i="15" s="1"/>
  <c r="T29" i="15"/>
  <c r="O29" i="15" s="1"/>
  <c r="T26" i="15"/>
  <c r="O26" i="15" s="1"/>
  <c r="T23" i="15"/>
  <c r="O23" i="15" s="1"/>
  <c r="T16" i="15"/>
  <c r="O16" i="15" s="1"/>
  <c r="T9" i="15"/>
  <c r="T6" i="15"/>
  <c r="D36" i="5"/>
  <c r="T74" i="15"/>
  <c r="O74" i="15" s="1"/>
  <c r="T57" i="15"/>
  <c r="O57" i="15" s="1"/>
  <c r="T51" i="15"/>
  <c r="T37" i="15"/>
  <c r="O37" i="15" s="1"/>
  <c r="T27" i="15"/>
  <c r="O27" i="15" s="1"/>
  <c r="T17" i="15"/>
  <c r="O17" i="15" s="1"/>
  <c r="T7" i="15"/>
  <c r="T86" i="15"/>
  <c r="O86" i="15" s="1"/>
  <c r="T83" i="15"/>
  <c r="O83" i="15" s="1"/>
  <c r="T79" i="15"/>
  <c r="O79" i="15" s="1"/>
  <c r="T69" i="15"/>
  <c r="O69" i="15" s="1"/>
  <c r="T66" i="15"/>
  <c r="O66" i="15" s="1"/>
  <c r="T62" i="15"/>
  <c r="O62" i="15" s="1"/>
  <c r="T59" i="15"/>
  <c r="O59" i="15" s="1"/>
  <c r="T49" i="15"/>
  <c r="O49" i="15" s="1"/>
  <c r="T45" i="15"/>
  <c r="O45" i="15" s="1"/>
  <c r="T42" i="15"/>
  <c r="O42" i="15" s="1"/>
  <c r="T39" i="15"/>
  <c r="O39" i="15" s="1"/>
  <c r="T32" i="15"/>
  <c r="O32" i="15" s="1"/>
  <c r="T25" i="15"/>
  <c r="O25" i="15" s="1"/>
  <c r="T22" i="15"/>
  <c r="O22" i="15" s="1"/>
  <c r="T19" i="15"/>
  <c r="O19" i="15" s="1"/>
  <c r="T15" i="15"/>
  <c r="T5" i="15"/>
  <c r="R11" i="5"/>
  <c r="T71" i="15"/>
  <c r="O71" i="15" s="1"/>
  <c r="T85" i="15"/>
  <c r="O85" i="15" s="1"/>
  <c r="T82" i="15"/>
  <c r="O82" i="15" s="1"/>
  <c r="T78" i="15"/>
  <c r="O78" i="15" s="1"/>
  <c r="T75" i="15"/>
  <c r="O75" i="15" s="1"/>
  <c r="T65" i="15"/>
  <c r="O65" i="15" s="1"/>
  <c r="T61" i="15"/>
  <c r="O61" i="15" s="1"/>
  <c r="T58" i="15"/>
  <c r="O58" i="15" s="1"/>
  <c r="T55" i="15"/>
  <c r="O55" i="15" s="1"/>
  <c r="T48" i="15"/>
  <c r="O48" i="15" s="1"/>
  <c r="T41" i="15"/>
  <c r="O41" i="15" s="1"/>
  <c r="T38" i="15"/>
  <c r="O38" i="15" s="1"/>
  <c r="T35" i="15"/>
  <c r="O35" i="15" s="1"/>
  <c r="T31" i="15"/>
  <c r="O31" i="15" s="1"/>
  <c r="T21" i="15"/>
  <c r="O21" i="15" s="1"/>
  <c r="T18" i="15"/>
  <c r="O18" i="15" s="1"/>
  <c r="T14" i="15"/>
  <c r="T11" i="15"/>
  <c r="T4" i="15"/>
  <c r="R10" i="5"/>
  <c r="R9" i="5"/>
  <c r="E36" i="5"/>
  <c r="D54" i="5"/>
  <c r="D30" i="5" l="1"/>
  <c r="D4" i="5" s="1"/>
  <c r="L5" i="31"/>
  <c r="K5" i="31"/>
  <c r="J5" i="31"/>
  <c r="I5" i="31"/>
  <c r="H5" i="31"/>
  <c r="G5" i="31"/>
  <c r="F5" i="31"/>
  <c r="E5" i="31"/>
  <c r="D5" i="31"/>
  <c r="C5" i="31"/>
  <c r="B5" i="31"/>
  <c r="I2" i="31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5" i="30"/>
  <c r="I2" i="30"/>
  <c r="AE379" i="26"/>
  <c r="X379" i="26"/>
  <c r="AD379" i="26" s="1"/>
  <c r="W379" i="26"/>
  <c r="AC379" i="26" s="1"/>
  <c r="V379" i="26"/>
  <c r="AB379" i="26" s="1"/>
  <c r="AE378" i="26"/>
  <c r="X378" i="26"/>
  <c r="AD378" i="26" s="1"/>
  <c r="W378" i="26"/>
  <c r="AC378" i="26" s="1"/>
  <c r="V378" i="26"/>
  <c r="AB378" i="26" s="1"/>
  <c r="AE377" i="26"/>
  <c r="X377" i="26"/>
  <c r="AD377" i="26" s="1"/>
  <c r="W377" i="26"/>
  <c r="AC377" i="26" s="1"/>
  <c r="V377" i="26"/>
  <c r="AB377" i="26" s="1"/>
  <c r="AE376" i="26"/>
  <c r="X376" i="26"/>
  <c r="AD376" i="26" s="1"/>
  <c r="W376" i="26"/>
  <c r="AC376" i="26" s="1"/>
  <c r="V376" i="26"/>
  <c r="AB376" i="26" s="1"/>
  <c r="AE375" i="26"/>
  <c r="X375" i="26"/>
  <c r="AD375" i="26" s="1"/>
  <c r="W375" i="26"/>
  <c r="AC375" i="26" s="1"/>
  <c r="V375" i="26"/>
  <c r="AB375" i="26" s="1"/>
  <c r="AE374" i="26"/>
  <c r="X374" i="26"/>
  <c r="AD374" i="26" s="1"/>
  <c r="W374" i="26"/>
  <c r="AC374" i="26" s="1"/>
  <c r="V374" i="26"/>
  <c r="AB374" i="26" s="1"/>
  <c r="AE373" i="26"/>
  <c r="X373" i="26"/>
  <c r="AD373" i="26" s="1"/>
  <c r="W373" i="26"/>
  <c r="AC373" i="26" s="1"/>
  <c r="V373" i="26"/>
  <c r="AB373" i="26" s="1"/>
  <c r="AE372" i="26"/>
  <c r="X372" i="26"/>
  <c r="AD372" i="26" s="1"/>
  <c r="W372" i="26"/>
  <c r="AC372" i="26" s="1"/>
  <c r="V372" i="26"/>
  <c r="AB372" i="26" s="1"/>
  <c r="AE371" i="26"/>
  <c r="X371" i="26"/>
  <c r="AD371" i="26" s="1"/>
  <c r="W371" i="26"/>
  <c r="AC371" i="26" s="1"/>
  <c r="V371" i="26"/>
  <c r="AB371" i="26" s="1"/>
  <c r="AE370" i="26"/>
  <c r="X370" i="26"/>
  <c r="AD370" i="26" s="1"/>
  <c r="W370" i="26"/>
  <c r="AC370" i="26" s="1"/>
  <c r="V370" i="26"/>
  <c r="AB370" i="26" s="1"/>
  <c r="AE369" i="26"/>
  <c r="X369" i="26"/>
  <c r="AD369" i="26" s="1"/>
  <c r="W369" i="26"/>
  <c r="AC369" i="26" s="1"/>
  <c r="V369" i="26"/>
  <c r="AB369" i="26" s="1"/>
  <c r="AE368" i="26"/>
  <c r="X368" i="26"/>
  <c r="AD368" i="26" s="1"/>
  <c r="W368" i="26"/>
  <c r="AC368" i="26" s="1"/>
  <c r="V368" i="26"/>
  <c r="AB368" i="26" s="1"/>
  <c r="AE367" i="26"/>
  <c r="X367" i="26"/>
  <c r="AD367" i="26" s="1"/>
  <c r="W367" i="26"/>
  <c r="AC367" i="26" s="1"/>
  <c r="V367" i="26"/>
  <c r="AB367" i="26" s="1"/>
  <c r="AE366" i="26"/>
  <c r="X366" i="26"/>
  <c r="AD366" i="26" s="1"/>
  <c r="W366" i="26"/>
  <c r="AC366" i="26" s="1"/>
  <c r="V366" i="26"/>
  <c r="AB366" i="26" s="1"/>
  <c r="AE365" i="26"/>
  <c r="X365" i="26"/>
  <c r="AD365" i="26" s="1"/>
  <c r="W365" i="26"/>
  <c r="AC365" i="26" s="1"/>
  <c r="V365" i="26"/>
  <c r="AB365" i="26" s="1"/>
  <c r="AE364" i="26"/>
  <c r="X364" i="26"/>
  <c r="AD364" i="26" s="1"/>
  <c r="W364" i="26"/>
  <c r="AC364" i="26" s="1"/>
  <c r="V364" i="26"/>
  <c r="AB364" i="26" s="1"/>
  <c r="AE363" i="26"/>
  <c r="X363" i="26"/>
  <c r="AD363" i="26" s="1"/>
  <c r="W363" i="26"/>
  <c r="AC363" i="26" s="1"/>
  <c r="V363" i="26"/>
  <c r="AB363" i="26" s="1"/>
  <c r="AE362" i="26"/>
  <c r="X362" i="26"/>
  <c r="AD362" i="26" s="1"/>
  <c r="W362" i="26"/>
  <c r="AC362" i="26" s="1"/>
  <c r="V362" i="26"/>
  <c r="AB362" i="26" s="1"/>
  <c r="AE361" i="26"/>
  <c r="X361" i="26"/>
  <c r="AD361" i="26" s="1"/>
  <c r="W361" i="26"/>
  <c r="AC361" i="26" s="1"/>
  <c r="V361" i="26"/>
  <c r="AB361" i="26" s="1"/>
  <c r="AE360" i="26"/>
  <c r="X360" i="26"/>
  <c r="AD360" i="26" s="1"/>
  <c r="W360" i="26"/>
  <c r="AC360" i="26" s="1"/>
  <c r="V360" i="26"/>
  <c r="AB360" i="26" s="1"/>
  <c r="AE359" i="26"/>
  <c r="X359" i="26"/>
  <c r="AD359" i="26" s="1"/>
  <c r="W359" i="26"/>
  <c r="AC359" i="26" s="1"/>
  <c r="V359" i="26"/>
  <c r="AB359" i="26" s="1"/>
  <c r="AE358" i="26"/>
  <c r="X358" i="26"/>
  <c r="AD358" i="26" s="1"/>
  <c r="W358" i="26"/>
  <c r="AC358" i="26" s="1"/>
  <c r="V358" i="26"/>
  <c r="AB358" i="26" s="1"/>
  <c r="AE357" i="26"/>
  <c r="X357" i="26"/>
  <c r="AD357" i="26" s="1"/>
  <c r="W357" i="26"/>
  <c r="AC357" i="26" s="1"/>
  <c r="V357" i="26"/>
  <c r="AB357" i="26" s="1"/>
  <c r="AE356" i="26"/>
  <c r="X356" i="26"/>
  <c r="AD356" i="26" s="1"/>
  <c r="W356" i="26"/>
  <c r="AC356" i="26" s="1"/>
  <c r="V356" i="26"/>
  <c r="AB356" i="26" s="1"/>
  <c r="AE355" i="26"/>
  <c r="X355" i="26"/>
  <c r="AD355" i="26" s="1"/>
  <c r="W355" i="26"/>
  <c r="AC355" i="26" s="1"/>
  <c r="V355" i="26"/>
  <c r="AB355" i="26" s="1"/>
  <c r="AE354" i="26"/>
  <c r="X354" i="26"/>
  <c r="AD354" i="26" s="1"/>
  <c r="W354" i="26"/>
  <c r="AC354" i="26" s="1"/>
  <c r="V354" i="26"/>
  <c r="AB354" i="26" s="1"/>
  <c r="AE353" i="26"/>
  <c r="X353" i="26"/>
  <c r="AD353" i="26" s="1"/>
  <c r="W353" i="26"/>
  <c r="AC353" i="26" s="1"/>
  <c r="V353" i="26"/>
  <c r="AB353" i="26" s="1"/>
  <c r="AE352" i="26"/>
  <c r="X352" i="26"/>
  <c r="AD352" i="26" s="1"/>
  <c r="W352" i="26"/>
  <c r="AC352" i="26" s="1"/>
  <c r="V352" i="26"/>
  <c r="AB352" i="26" s="1"/>
  <c r="AE351" i="26"/>
  <c r="X351" i="26"/>
  <c r="AD351" i="26" s="1"/>
  <c r="W351" i="26"/>
  <c r="AC351" i="26" s="1"/>
  <c r="V351" i="26"/>
  <c r="AB351" i="26" s="1"/>
  <c r="AE350" i="26"/>
  <c r="X350" i="26"/>
  <c r="AD350" i="26" s="1"/>
  <c r="W350" i="26"/>
  <c r="AC350" i="26" s="1"/>
  <c r="V350" i="26"/>
  <c r="AB350" i="26" s="1"/>
  <c r="AE349" i="26"/>
  <c r="X349" i="26"/>
  <c r="AD349" i="26" s="1"/>
  <c r="W349" i="26"/>
  <c r="AC349" i="26" s="1"/>
  <c r="V349" i="26"/>
  <c r="AB349" i="26" s="1"/>
  <c r="AE348" i="26"/>
  <c r="X348" i="26"/>
  <c r="AD348" i="26" s="1"/>
  <c r="W348" i="26"/>
  <c r="AC348" i="26" s="1"/>
  <c r="V348" i="26"/>
  <c r="AB348" i="26" s="1"/>
  <c r="AE347" i="26"/>
  <c r="X347" i="26"/>
  <c r="AD347" i="26" s="1"/>
  <c r="W347" i="26"/>
  <c r="AC347" i="26" s="1"/>
  <c r="V347" i="26"/>
  <c r="AB347" i="26" s="1"/>
  <c r="AE346" i="26"/>
  <c r="X346" i="26"/>
  <c r="AD346" i="26" s="1"/>
  <c r="W346" i="26"/>
  <c r="AC346" i="26" s="1"/>
  <c r="V346" i="26"/>
  <c r="AB346" i="26" s="1"/>
  <c r="AE345" i="26"/>
  <c r="X345" i="26"/>
  <c r="AD345" i="26" s="1"/>
  <c r="W345" i="26"/>
  <c r="AC345" i="26" s="1"/>
  <c r="V345" i="26"/>
  <c r="AB345" i="26" s="1"/>
  <c r="AE344" i="26"/>
  <c r="X344" i="26"/>
  <c r="AD344" i="26" s="1"/>
  <c r="W344" i="26"/>
  <c r="AC344" i="26" s="1"/>
  <c r="V344" i="26"/>
  <c r="AB344" i="26" s="1"/>
  <c r="AE343" i="26"/>
  <c r="X343" i="26"/>
  <c r="AD343" i="26" s="1"/>
  <c r="W343" i="26"/>
  <c r="AC343" i="26" s="1"/>
  <c r="V343" i="26"/>
  <c r="AB343" i="26" s="1"/>
  <c r="AE342" i="26"/>
  <c r="X342" i="26"/>
  <c r="AD342" i="26" s="1"/>
  <c r="W342" i="26"/>
  <c r="AC342" i="26" s="1"/>
  <c r="V342" i="26"/>
  <c r="AB342" i="26" s="1"/>
  <c r="AE341" i="26"/>
  <c r="X341" i="26"/>
  <c r="AD341" i="26" s="1"/>
  <c r="W341" i="26"/>
  <c r="AC341" i="26" s="1"/>
  <c r="V341" i="26"/>
  <c r="AB341" i="26" s="1"/>
  <c r="AE340" i="26"/>
  <c r="X340" i="26"/>
  <c r="AD340" i="26" s="1"/>
  <c r="W340" i="26"/>
  <c r="AC340" i="26" s="1"/>
  <c r="V340" i="26"/>
  <c r="AB340" i="26" s="1"/>
  <c r="AE339" i="26"/>
  <c r="X339" i="26"/>
  <c r="AD339" i="26" s="1"/>
  <c r="W339" i="26"/>
  <c r="AC339" i="26" s="1"/>
  <c r="V339" i="26"/>
  <c r="AB339" i="26" s="1"/>
  <c r="AE338" i="26"/>
  <c r="X338" i="26"/>
  <c r="AD338" i="26" s="1"/>
  <c r="W338" i="26"/>
  <c r="AC338" i="26" s="1"/>
  <c r="V338" i="26"/>
  <c r="AB338" i="26" s="1"/>
  <c r="AE337" i="26"/>
  <c r="X337" i="26"/>
  <c r="AD337" i="26" s="1"/>
  <c r="W337" i="26"/>
  <c r="AC337" i="26" s="1"/>
  <c r="V337" i="26"/>
  <c r="AB337" i="26" s="1"/>
  <c r="AE336" i="26"/>
  <c r="X336" i="26"/>
  <c r="AD336" i="26" s="1"/>
  <c r="W336" i="26"/>
  <c r="AC336" i="26" s="1"/>
  <c r="V336" i="26"/>
  <c r="AB336" i="26" s="1"/>
  <c r="AE335" i="26"/>
  <c r="X335" i="26"/>
  <c r="AD335" i="26" s="1"/>
  <c r="W335" i="26"/>
  <c r="AC335" i="26" s="1"/>
  <c r="V335" i="26"/>
  <c r="AB335" i="26" s="1"/>
  <c r="AE334" i="26"/>
  <c r="X334" i="26"/>
  <c r="AD334" i="26" s="1"/>
  <c r="W334" i="26"/>
  <c r="AC334" i="26" s="1"/>
  <c r="V334" i="26"/>
  <c r="AB334" i="26" s="1"/>
  <c r="AE333" i="26"/>
  <c r="X333" i="26"/>
  <c r="AD333" i="26" s="1"/>
  <c r="W333" i="26"/>
  <c r="AC333" i="26" s="1"/>
  <c r="V333" i="26"/>
  <c r="AB333" i="26" s="1"/>
  <c r="AE332" i="26"/>
  <c r="X332" i="26"/>
  <c r="AD332" i="26" s="1"/>
  <c r="W332" i="26"/>
  <c r="AC332" i="26" s="1"/>
  <c r="V332" i="26"/>
  <c r="AB332" i="26" s="1"/>
  <c r="AE331" i="26"/>
  <c r="X331" i="26"/>
  <c r="AD331" i="26" s="1"/>
  <c r="W331" i="26"/>
  <c r="AC331" i="26" s="1"/>
  <c r="V331" i="26"/>
  <c r="AB331" i="26" s="1"/>
  <c r="AE330" i="26"/>
  <c r="X330" i="26"/>
  <c r="AD330" i="26" s="1"/>
  <c r="W330" i="26"/>
  <c r="AC330" i="26" s="1"/>
  <c r="V330" i="26"/>
  <c r="AB330" i="26" s="1"/>
  <c r="AE329" i="26"/>
  <c r="X329" i="26"/>
  <c r="AD329" i="26" s="1"/>
  <c r="W329" i="26"/>
  <c r="AC329" i="26" s="1"/>
  <c r="V329" i="26"/>
  <c r="AB329" i="26" s="1"/>
  <c r="AE328" i="26"/>
  <c r="X328" i="26"/>
  <c r="AD328" i="26" s="1"/>
  <c r="W328" i="26"/>
  <c r="AC328" i="26" s="1"/>
  <c r="V328" i="26"/>
  <c r="AB328" i="26" s="1"/>
  <c r="AE327" i="26"/>
  <c r="X327" i="26"/>
  <c r="AD327" i="26" s="1"/>
  <c r="W327" i="26"/>
  <c r="AC327" i="26" s="1"/>
  <c r="V327" i="26"/>
  <c r="AB327" i="26" s="1"/>
  <c r="AE326" i="26"/>
  <c r="X326" i="26"/>
  <c r="AD326" i="26" s="1"/>
  <c r="W326" i="26"/>
  <c r="AC326" i="26" s="1"/>
  <c r="V326" i="26"/>
  <c r="AB326" i="26" s="1"/>
  <c r="AE325" i="26"/>
  <c r="X325" i="26"/>
  <c r="AD325" i="26" s="1"/>
  <c r="W325" i="26"/>
  <c r="AC325" i="26" s="1"/>
  <c r="V325" i="26"/>
  <c r="AB325" i="26" s="1"/>
  <c r="AE324" i="26"/>
  <c r="X324" i="26"/>
  <c r="AD324" i="26" s="1"/>
  <c r="W324" i="26"/>
  <c r="AC324" i="26" s="1"/>
  <c r="V324" i="26"/>
  <c r="AB324" i="26" s="1"/>
  <c r="AE323" i="26"/>
  <c r="X323" i="26"/>
  <c r="AD323" i="26" s="1"/>
  <c r="W323" i="26"/>
  <c r="AC323" i="26" s="1"/>
  <c r="V323" i="26"/>
  <c r="AB323" i="26" s="1"/>
  <c r="AE322" i="26"/>
  <c r="X322" i="26"/>
  <c r="AD322" i="26" s="1"/>
  <c r="W322" i="26"/>
  <c r="AC322" i="26" s="1"/>
  <c r="V322" i="26"/>
  <c r="AB322" i="26" s="1"/>
  <c r="AE321" i="26"/>
  <c r="X321" i="26"/>
  <c r="AD321" i="26" s="1"/>
  <c r="W321" i="26"/>
  <c r="AC321" i="26" s="1"/>
  <c r="V321" i="26"/>
  <c r="AB321" i="26" s="1"/>
  <c r="AE320" i="26"/>
  <c r="X320" i="26"/>
  <c r="AD320" i="26" s="1"/>
  <c r="W320" i="26"/>
  <c r="AC320" i="26" s="1"/>
  <c r="V320" i="26"/>
  <c r="AB320" i="26" s="1"/>
  <c r="AE319" i="26"/>
  <c r="X319" i="26"/>
  <c r="AD319" i="26" s="1"/>
  <c r="W319" i="26"/>
  <c r="AC319" i="26" s="1"/>
  <c r="V319" i="26"/>
  <c r="AB319" i="26" s="1"/>
  <c r="AE318" i="26"/>
  <c r="X318" i="26"/>
  <c r="AD318" i="26" s="1"/>
  <c r="W318" i="26"/>
  <c r="AC318" i="26" s="1"/>
  <c r="V318" i="26"/>
  <c r="AB318" i="26" s="1"/>
  <c r="AE317" i="26"/>
  <c r="X317" i="26"/>
  <c r="AD317" i="26" s="1"/>
  <c r="W317" i="26"/>
  <c r="AC317" i="26" s="1"/>
  <c r="V317" i="26"/>
  <c r="AB317" i="26" s="1"/>
  <c r="AE316" i="26"/>
  <c r="X316" i="26"/>
  <c r="AD316" i="26" s="1"/>
  <c r="W316" i="26"/>
  <c r="AC316" i="26" s="1"/>
  <c r="V316" i="26"/>
  <c r="AB316" i="26" s="1"/>
  <c r="AE315" i="26"/>
  <c r="X315" i="26"/>
  <c r="AD315" i="26" s="1"/>
  <c r="W315" i="26"/>
  <c r="AC315" i="26" s="1"/>
  <c r="V315" i="26"/>
  <c r="AB315" i="26" s="1"/>
  <c r="AE314" i="26"/>
  <c r="X314" i="26"/>
  <c r="AD314" i="26" s="1"/>
  <c r="W314" i="26"/>
  <c r="AC314" i="26" s="1"/>
  <c r="V314" i="26"/>
  <c r="AB314" i="26" s="1"/>
  <c r="AE313" i="26"/>
  <c r="X313" i="26"/>
  <c r="AD313" i="26" s="1"/>
  <c r="W313" i="26"/>
  <c r="AC313" i="26" s="1"/>
  <c r="V313" i="26"/>
  <c r="AB313" i="26" s="1"/>
  <c r="AE312" i="26"/>
  <c r="X312" i="26"/>
  <c r="AD312" i="26" s="1"/>
  <c r="W312" i="26"/>
  <c r="AC312" i="26" s="1"/>
  <c r="V312" i="26"/>
  <c r="AB312" i="26" s="1"/>
  <c r="AE311" i="26"/>
  <c r="X311" i="26"/>
  <c r="AD311" i="26" s="1"/>
  <c r="W311" i="26"/>
  <c r="AC311" i="26" s="1"/>
  <c r="V311" i="26"/>
  <c r="AB311" i="26" s="1"/>
  <c r="AE310" i="26"/>
  <c r="X310" i="26"/>
  <c r="AD310" i="26" s="1"/>
  <c r="W310" i="26"/>
  <c r="AC310" i="26" s="1"/>
  <c r="V310" i="26"/>
  <c r="AB310" i="26" s="1"/>
  <c r="AE309" i="26"/>
  <c r="X309" i="26"/>
  <c r="AD309" i="26" s="1"/>
  <c r="W309" i="26"/>
  <c r="AC309" i="26" s="1"/>
  <c r="V309" i="26"/>
  <c r="AB309" i="26" s="1"/>
  <c r="AE308" i="26"/>
  <c r="X308" i="26"/>
  <c r="AD308" i="26" s="1"/>
  <c r="W308" i="26"/>
  <c r="AC308" i="26" s="1"/>
  <c r="V308" i="26"/>
  <c r="AB308" i="26" s="1"/>
  <c r="AE307" i="26"/>
  <c r="X307" i="26"/>
  <c r="AD307" i="26" s="1"/>
  <c r="W307" i="26"/>
  <c r="AC307" i="26" s="1"/>
  <c r="V307" i="26"/>
  <c r="AB307" i="26" s="1"/>
  <c r="AE306" i="26"/>
  <c r="X306" i="26"/>
  <c r="AD306" i="26" s="1"/>
  <c r="W306" i="26"/>
  <c r="AC306" i="26" s="1"/>
  <c r="V306" i="26"/>
  <c r="AB306" i="26" s="1"/>
  <c r="AE305" i="26"/>
  <c r="X305" i="26"/>
  <c r="AD305" i="26" s="1"/>
  <c r="W305" i="26"/>
  <c r="AC305" i="26" s="1"/>
  <c r="V305" i="26"/>
  <c r="AB305" i="26" s="1"/>
  <c r="AE304" i="26"/>
  <c r="X304" i="26"/>
  <c r="AD304" i="26" s="1"/>
  <c r="W304" i="26"/>
  <c r="AC304" i="26" s="1"/>
  <c r="V304" i="26"/>
  <c r="AB304" i="26" s="1"/>
  <c r="AE303" i="26"/>
  <c r="X303" i="26"/>
  <c r="AD303" i="26" s="1"/>
  <c r="W303" i="26"/>
  <c r="AC303" i="26" s="1"/>
  <c r="V303" i="26"/>
  <c r="AB303" i="26" s="1"/>
  <c r="AE302" i="26"/>
  <c r="X302" i="26"/>
  <c r="AD302" i="26" s="1"/>
  <c r="W302" i="26"/>
  <c r="AC302" i="26" s="1"/>
  <c r="V302" i="26"/>
  <c r="AB302" i="26" s="1"/>
  <c r="AE301" i="26"/>
  <c r="X301" i="26"/>
  <c r="AD301" i="26" s="1"/>
  <c r="W301" i="26"/>
  <c r="AC301" i="26" s="1"/>
  <c r="V301" i="26"/>
  <c r="AB301" i="26" s="1"/>
  <c r="AE300" i="26"/>
  <c r="X300" i="26"/>
  <c r="AD300" i="26" s="1"/>
  <c r="W300" i="26"/>
  <c r="AC300" i="26" s="1"/>
  <c r="V300" i="26"/>
  <c r="AB300" i="26" s="1"/>
  <c r="AE299" i="26"/>
  <c r="X299" i="26"/>
  <c r="AD299" i="26" s="1"/>
  <c r="W299" i="26"/>
  <c r="AC299" i="26" s="1"/>
  <c r="V299" i="26"/>
  <c r="AB299" i="26" s="1"/>
  <c r="AE298" i="26"/>
  <c r="X298" i="26"/>
  <c r="AD298" i="26" s="1"/>
  <c r="W298" i="26"/>
  <c r="AC298" i="26" s="1"/>
  <c r="V298" i="26"/>
  <c r="AB298" i="26" s="1"/>
  <c r="AE297" i="26"/>
  <c r="X297" i="26"/>
  <c r="AD297" i="26" s="1"/>
  <c r="W297" i="26"/>
  <c r="AC297" i="26" s="1"/>
  <c r="V297" i="26"/>
  <c r="AB297" i="26" s="1"/>
  <c r="AE296" i="26"/>
  <c r="X296" i="26"/>
  <c r="AD296" i="26" s="1"/>
  <c r="W296" i="26"/>
  <c r="AC296" i="26" s="1"/>
  <c r="V296" i="26"/>
  <c r="AB296" i="26" s="1"/>
  <c r="AE295" i="26"/>
  <c r="X295" i="26"/>
  <c r="AD295" i="26" s="1"/>
  <c r="W295" i="26"/>
  <c r="AC295" i="26" s="1"/>
  <c r="V295" i="26"/>
  <c r="AB295" i="26" s="1"/>
  <c r="AE294" i="26"/>
  <c r="X294" i="26"/>
  <c r="AD294" i="26" s="1"/>
  <c r="W294" i="26"/>
  <c r="AC294" i="26" s="1"/>
  <c r="V294" i="26"/>
  <c r="AB294" i="26" s="1"/>
  <c r="AE293" i="26"/>
  <c r="X293" i="26"/>
  <c r="AD293" i="26" s="1"/>
  <c r="W293" i="26"/>
  <c r="AC293" i="26" s="1"/>
  <c r="V293" i="26"/>
  <c r="AB293" i="26" s="1"/>
  <c r="AE292" i="26"/>
  <c r="X292" i="26"/>
  <c r="AD292" i="26" s="1"/>
  <c r="W292" i="26"/>
  <c r="AC292" i="26" s="1"/>
  <c r="V292" i="26"/>
  <c r="AB292" i="26" s="1"/>
  <c r="AE291" i="26"/>
  <c r="X291" i="26"/>
  <c r="AD291" i="26" s="1"/>
  <c r="W291" i="26"/>
  <c r="AC291" i="26" s="1"/>
  <c r="V291" i="26"/>
  <c r="AB291" i="26" s="1"/>
  <c r="AE290" i="26"/>
  <c r="X290" i="26"/>
  <c r="AD290" i="26" s="1"/>
  <c r="W290" i="26"/>
  <c r="AC290" i="26" s="1"/>
  <c r="V290" i="26"/>
  <c r="AB290" i="26" s="1"/>
  <c r="AE289" i="26"/>
  <c r="X289" i="26"/>
  <c r="AD289" i="26" s="1"/>
  <c r="W289" i="26"/>
  <c r="AC289" i="26" s="1"/>
  <c r="V289" i="26"/>
  <c r="AB289" i="26" s="1"/>
  <c r="AE288" i="26"/>
  <c r="X288" i="26"/>
  <c r="AD288" i="26" s="1"/>
  <c r="W288" i="26"/>
  <c r="AC288" i="26" s="1"/>
  <c r="V288" i="26"/>
  <c r="AB288" i="26" s="1"/>
  <c r="AE287" i="26"/>
  <c r="X287" i="26"/>
  <c r="AD287" i="26" s="1"/>
  <c r="W287" i="26"/>
  <c r="AC287" i="26" s="1"/>
  <c r="V287" i="26"/>
  <c r="AB287" i="26" s="1"/>
  <c r="AE286" i="26"/>
  <c r="X286" i="26"/>
  <c r="AD286" i="26" s="1"/>
  <c r="W286" i="26"/>
  <c r="AC286" i="26" s="1"/>
  <c r="V286" i="26"/>
  <c r="AB286" i="26" s="1"/>
  <c r="AE285" i="26"/>
  <c r="X285" i="26"/>
  <c r="AD285" i="26" s="1"/>
  <c r="W285" i="26"/>
  <c r="AC285" i="26" s="1"/>
  <c r="V285" i="26"/>
  <c r="AB285" i="26" s="1"/>
  <c r="AE284" i="26"/>
  <c r="X284" i="26"/>
  <c r="AD284" i="26" s="1"/>
  <c r="W284" i="26"/>
  <c r="AC284" i="26" s="1"/>
  <c r="V284" i="26"/>
  <c r="AB284" i="26" s="1"/>
  <c r="AE283" i="26"/>
  <c r="X283" i="26"/>
  <c r="AD283" i="26" s="1"/>
  <c r="W283" i="26"/>
  <c r="AC283" i="26" s="1"/>
  <c r="V283" i="26"/>
  <c r="AB283" i="26" s="1"/>
  <c r="AE282" i="26"/>
  <c r="X282" i="26"/>
  <c r="AD282" i="26" s="1"/>
  <c r="W282" i="26"/>
  <c r="AC282" i="26" s="1"/>
  <c r="V282" i="26"/>
  <c r="AB282" i="26" s="1"/>
  <c r="AE281" i="26"/>
  <c r="X281" i="26"/>
  <c r="AD281" i="26" s="1"/>
  <c r="W281" i="26"/>
  <c r="AC281" i="26" s="1"/>
  <c r="V281" i="26"/>
  <c r="AB281" i="26" s="1"/>
  <c r="AE280" i="26"/>
  <c r="X280" i="26"/>
  <c r="AD280" i="26" s="1"/>
  <c r="W280" i="26"/>
  <c r="AC280" i="26" s="1"/>
  <c r="V280" i="26"/>
  <c r="AB280" i="26" s="1"/>
  <c r="AE279" i="26"/>
  <c r="X279" i="26"/>
  <c r="AD279" i="26" s="1"/>
  <c r="W279" i="26"/>
  <c r="AC279" i="26" s="1"/>
  <c r="V279" i="26"/>
  <c r="AB279" i="26" s="1"/>
  <c r="AE278" i="26"/>
  <c r="X278" i="26"/>
  <c r="AD278" i="26" s="1"/>
  <c r="W278" i="26"/>
  <c r="AC278" i="26" s="1"/>
  <c r="V278" i="26"/>
  <c r="AB278" i="26" s="1"/>
  <c r="AE277" i="26"/>
  <c r="X277" i="26"/>
  <c r="AD277" i="26" s="1"/>
  <c r="W277" i="26"/>
  <c r="AC277" i="26" s="1"/>
  <c r="V277" i="26"/>
  <c r="AB277" i="26" s="1"/>
  <c r="AE276" i="26"/>
  <c r="X276" i="26"/>
  <c r="AD276" i="26" s="1"/>
  <c r="W276" i="26"/>
  <c r="AC276" i="26" s="1"/>
  <c r="V276" i="26"/>
  <c r="AB276" i="26" s="1"/>
  <c r="AE275" i="26"/>
  <c r="X275" i="26"/>
  <c r="AD275" i="26" s="1"/>
  <c r="W275" i="26"/>
  <c r="AC275" i="26" s="1"/>
  <c r="V275" i="26"/>
  <c r="AB275" i="26" s="1"/>
  <c r="AE274" i="26"/>
  <c r="X274" i="26"/>
  <c r="AD274" i="26" s="1"/>
  <c r="W274" i="26"/>
  <c r="AC274" i="26" s="1"/>
  <c r="V274" i="26"/>
  <c r="AB274" i="26" s="1"/>
  <c r="AE273" i="26"/>
  <c r="X273" i="26"/>
  <c r="AD273" i="26" s="1"/>
  <c r="W273" i="26"/>
  <c r="AC273" i="26" s="1"/>
  <c r="V273" i="26"/>
  <c r="AB273" i="26" s="1"/>
  <c r="AE272" i="26"/>
  <c r="X272" i="26"/>
  <c r="AD272" i="26" s="1"/>
  <c r="W272" i="26"/>
  <c r="AC272" i="26" s="1"/>
  <c r="V272" i="26"/>
  <c r="AB272" i="26" s="1"/>
  <c r="AE271" i="26"/>
  <c r="X271" i="26"/>
  <c r="AD271" i="26" s="1"/>
  <c r="W271" i="26"/>
  <c r="AC271" i="26" s="1"/>
  <c r="V271" i="26"/>
  <c r="AB271" i="26" s="1"/>
  <c r="AE270" i="26"/>
  <c r="X270" i="26"/>
  <c r="AD270" i="26" s="1"/>
  <c r="W270" i="26"/>
  <c r="AC270" i="26" s="1"/>
  <c r="V270" i="26"/>
  <c r="AB270" i="26" s="1"/>
  <c r="AE269" i="26"/>
  <c r="X269" i="26"/>
  <c r="AD269" i="26" s="1"/>
  <c r="W269" i="26"/>
  <c r="AC269" i="26" s="1"/>
  <c r="V269" i="26"/>
  <c r="AB269" i="26" s="1"/>
  <c r="AE268" i="26"/>
  <c r="X268" i="26"/>
  <c r="AD268" i="26" s="1"/>
  <c r="W268" i="26"/>
  <c r="AC268" i="26" s="1"/>
  <c r="V268" i="26"/>
  <c r="AB268" i="26" s="1"/>
  <c r="AE267" i="26"/>
  <c r="X267" i="26"/>
  <c r="AD267" i="26" s="1"/>
  <c r="W267" i="26"/>
  <c r="AC267" i="26" s="1"/>
  <c r="V267" i="26"/>
  <c r="AB267" i="26" s="1"/>
  <c r="AE266" i="26"/>
  <c r="X266" i="26"/>
  <c r="AD266" i="26" s="1"/>
  <c r="W266" i="26"/>
  <c r="AC266" i="26" s="1"/>
  <c r="V266" i="26"/>
  <c r="AB266" i="26" s="1"/>
  <c r="AE265" i="26"/>
  <c r="X265" i="26"/>
  <c r="AD265" i="26" s="1"/>
  <c r="W265" i="26"/>
  <c r="AC265" i="26" s="1"/>
  <c r="V265" i="26"/>
  <c r="AB265" i="26" s="1"/>
  <c r="AE264" i="26"/>
  <c r="X264" i="26"/>
  <c r="AD264" i="26" s="1"/>
  <c r="W264" i="26"/>
  <c r="AC264" i="26" s="1"/>
  <c r="V264" i="26"/>
  <c r="AB264" i="26" s="1"/>
  <c r="AE263" i="26"/>
  <c r="X263" i="26"/>
  <c r="AD263" i="26" s="1"/>
  <c r="W263" i="26"/>
  <c r="AC263" i="26" s="1"/>
  <c r="V263" i="26"/>
  <c r="AB263" i="26" s="1"/>
  <c r="AE262" i="26"/>
  <c r="X262" i="26"/>
  <c r="AD262" i="26" s="1"/>
  <c r="W262" i="26"/>
  <c r="AC262" i="26" s="1"/>
  <c r="V262" i="26"/>
  <c r="AB262" i="26" s="1"/>
  <c r="AE261" i="26"/>
  <c r="X261" i="26"/>
  <c r="AD261" i="26" s="1"/>
  <c r="W261" i="26"/>
  <c r="AC261" i="26" s="1"/>
  <c r="V261" i="26"/>
  <c r="AB261" i="26" s="1"/>
  <c r="AE260" i="26"/>
  <c r="X260" i="26"/>
  <c r="AD260" i="26" s="1"/>
  <c r="W260" i="26"/>
  <c r="AC260" i="26" s="1"/>
  <c r="V260" i="26"/>
  <c r="AB260" i="26" s="1"/>
  <c r="AE259" i="26"/>
  <c r="X259" i="26"/>
  <c r="AD259" i="26" s="1"/>
  <c r="W259" i="26"/>
  <c r="AC259" i="26" s="1"/>
  <c r="V259" i="26"/>
  <c r="AB259" i="26" s="1"/>
  <c r="AE258" i="26"/>
  <c r="X258" i="26"/>
  <c r="AD258" i="26" s="1"/>
  <c r="W258" i="26"/>
  <c r="AC258" i="26" s="1"/>
  <c r="V258" i="26"/>
  <c r="AB258" i="26" s="1"/>
  <c r="AE257" i="26"/>
  <c r="X257" i="26"/>
  <c r="AD257" i="26" s="1"/>
  <c r="W257" i="26"/>
  <c r="AC257" i="26" s="1"/>
  <c r="V257" i="26"/>
  <c r="AB257" i="26" s="1"/>
  <c r="AE256" i="26"/>
  <c r="X256" i="26"/>
  <c r="AD256" i="26" s="1"/>
  <c r="W256" i="26"/>
  <c r="AC256" i="26" s="1"/>
  <c r="V256" i="26"/>
  <c r="AB256" i="26" s="1"/>
  <c r="AE255" i="26"/>
  <c r="X255" i="26"/>
  <c r="AD255" i="26" s="1"/>
  <c r="W255" i="26"/>
  <c r="AC255" i="26" s="1"/>
  <c r="V255" i="26"/>
  <c r="AB255" i="26" s="1"/>
  <c r="AE254" i="26"/>
  <c r="X254" i="26"/>
  <c r="AD254" i="26" s="1"/>
  <c r="W254" i="26"/>
  <c r="AC254" i="26" s="1"/>
  <c r="V254" i="26"/>
  <c r="AB254" i="26" s="1"/>
  <c r="AE253" i="26"/>
  <c r="X253" i="26"/>
  <c r="AD253" i="26" s="1"/>
  <c r="W253" i="26"/>
  <c r="AC253" i="26" s="1"/>
  <c r="V253" i="26"/>
  <c r="AB253" i="26" s="1"/>
  <c r="AE252" i="26"/>
  <c r="X252" i="26"/>
  <c r="AD252" i="26" s="1"/>
  <c r="W252" i="26"/>
  <c r="AC252" i="26" s="1"/>
  <c r="V252" i="26"/>
  <c r="AB252" i="26" s="1"/>
  <c r="AE251" i="26"/>
  <c r="X251" i="26"/>
  <c r="AD251" i="26" s="1"/>
  <c r="W251" i="26"/>
  <c r="AC251" i="26" s="1"/>
  <c r="V251" i="26"/>
  <c r="AB251" i="26" s="1"/>
  <c r="AE250" i="26"/>
  <c r="X250" i="26"/>
  <c r="AD250" i="26" s="1"/>
  <c r="W250" i="26"/>
  <c r="AC250" i="26" s="1"/>
  <c r="V250" i="26"/>
  <c r="AB250" i="26" s="1"/>
  <c r="AE249" i="26"/>
  <c r="X249" i="26"/>
  <c r="AD249" i="26" s="1"/>
  <c r="W249" i="26"/>
  <c r="AC249" i="26" s="1"/>
  <c r="V249" i="26"/>
  <c r="AB249" i="26" s="1"/>
  <c r="AE248" i="26"/>
  <c r="X248" i="26"/>
  <c r="AD248" i="26" s="1"/>
  <c r="W248" i="26"/>
  <c r="AC248" i="26" s="1"/>
  <c r="V248" i="26"/>
  <c r="AB248" i="26" s="1"/>
  <c r="AE247" i="26"/>
  <c r="X247" i="26"/>
  <c r="AD247" i="26" s="1"/>
  <c r="W247" i="26"/>
  <c r="AC247" i="26" s="1"/>
  <c r="V247" i="26"/>
  <c r="AB247" i="26" s="1"/>
  <c r="AE246" i="26"/>
  <c r="X246" i="26"/>
  <c r="AD246" i="26" s="1"/>
  <c r="W246" i="26"/>
  <c r="AC246" i="26" s="1"/>
  <c r="V246" i="26"/>
  <c r="AB246" i="26" s="1"/>
  <c r="AE245" i="26"/>
  <c r="X245" i="26"/>
  <c r="AD245" i="26" s="1"/>
  <c r="W245" i="26"/>
  <c r="AC245" i="26" s="1"/>
  <c r="V245" i="26"/>
  <c r="AB245" i="26" s="1"/>
  <c r="AE244" i="26"/>
  <c r="X244" i="26"/>
  <c r="AD244" i="26" s="1"/>
  <c r="W244" i="26"/>
  <c r="AC244" i="26" s="1"/>
  <c r="V244" i="26"/>
  <c r="AB244" i="26" s="1"/>
  <c r="AE243" i="26"/>
  <c r="X243" i="26"/>
  <c r="AD243" i="26" s="1"/>
  <c r="W243" i="26"/>
  <c r="AC243" i="26" s="1"/>
  <c r="V243" i="26"/>
  <c r="AB243" i="26" s="1"/>
  <c r="AE242" i="26"/>
  <c r="X242" i="26"/>
  <c r="AD242" i="26" s="1"/>
  <c r="W242" i="26"/>
  <c r="AC242" i="26" s="1"/>
  <c r="V242" i="26"/>
  <c r="AB242" i="26" s="1"/>
  <c r="AE241" i="26"/>
  <c r="X241" i="26"/>
  <c r="AD241" i="26" s="1"/>
  <c r="W241" i="26"/>
  <c r="AC241" i="26" s="1"/>
  <c r="V241" i="26"/>
  <c r="AB241" i="26" s="1"/>
  <c r="AE240" i="26"/>
  <c r="X240" i="26"/>
  <c r="AD240" i="26" s="1"/>
  <c r="W240" i="26"/>
  <c r="AC240" i="26" s="1"/>
  <c r="V240" i="26"/>
  <c r="AB240" i="26" s="1"/>
  <c r="AE239" i="26"/>
  <c r="X239" i="26"/>
  <c r="AD239" i="26" s="1"/>
  <c r="W239" i="26"/>
  <c r="AC239" i="26" s="1"/>
  <c r="V239" i="26"/>
  <c r="AB239" i="26" s="1"/>
  <c r="AE238" i="26"/>
  <c r="X238" i="26"/>
  <c r="AD238" i="26" s="1"/>
  <c r="W238" i="26"/>
  <c r="AC238" i="26" s="1"/>
  <c r="V238" i="26"/>
  <c r="AB238" i="26" s="1"/>
  <c r="AE237" i="26"/>
  <c r="X237" i="26"/>
  <c r="AD237" i="26" s="1"/>
  <c r="W237" i="26"/>
  <c r="AC237" i="26" s="1"/>
  <c r="V237" i="26"/>
  <c r="AB237" i="26" s="1"/>
  <c r="AE236" i="26"/>
  <c r="X236" i="26"/>
  <c r="AD236" i="26" s="1"/>
  <c r="W236" i="26"/>
  <c r="AC236" i="26" s="1"/>
  <c r="V236" i="26"/>
  <c r="AB236" i="26" s="1"/>
  <c r="AE235" i="26"/>
  <c r="X235" i="26"/>
  <c r="AD235" i="26" s="1"/>
  <c r="W235" i="26"/>
  <c r="AC235" i="26" s="1"/>
  <c r="V235" i="26"/>
  <c r="AB235" i="26" s="1"/>
  <c r="AE234" i="26"/>
  <c r="X234" i="26"/>
  <c r="AD234" i="26" s="1"/>
  <c r="W234" i="26"/>
  <c r="AC234" i="26" s="1"/>
  <c r="V234" i="26"/>
  <c r="AB234" i="26" s="1"/>
  <c r="AE233" i="26"/>
  <c r="X233" i="26"/>
  <c r="AD233" i="26" s="1"/>
  <c r="W233" i="26"/>
  <c r="AC233" i="26" s="1"/>
  <c r="V233" i="26"/>
  <c r="AB233" i="26" s="1"/>
  <c r="AE232" i="26"/>
  <c r="X232" i="26"/>
  <c r="AD232" i="26" s="1"/>
  <c r="W232" i="26"/>
  <c r="AC232" i="26" s="1"/>
  <c r="V232" i="26"/>
  <c r="AB232" i="26" s="1"/>
  <c r="AE231" i="26"/>
  <c r="X231" i="26"/>
  <c r="AD231" i="26" s="1"/>
  <c r="W231" i="26"/>
  <c r="AC231" i="26" s="1"/>
  <c r="V231" i="26"/>
  <c r="AB231" i="26" s="1"/>
  <c r="AE230" i="26"/>
  <c r="X230" i="26"/>
  <c r="AD230" i="26" s="1"/>
  <c r="W230" i="26"/>
  <c r="AC230" i="26" s="1"/>
  <c r="V230" i="26"/>
  <c r="AB230" i="26" s="1"/>
  <c r="AE229" i="26"/>
  <c r="X229" i="26"/>
  <c r="AD229" i="26" s="1"/>
  <c r="W229" i="26"/>
  <c r="AC229" i="26" s="1"/>
  <c r="V229" i="26"/>
  <c r="AB229" i="26" s="1"/>
  <c r="AE228" i="26"/>
  <c r="X228" i="26"/>
  <c r="AD228" i="26" s="1"/>
  <c r="W228" i="26"/>
  <c r="AC228" i="26" s="1"/>
  <c r="V228" i="26"/>
  <c r="AB228" i="26" s="1"/>
  <c r="AE227" i="26"/>
  <c r="X227" i="26"/>
  <c r="AD227" i="26" s="1"/>
  <c r="W227" i="26"/>
  <c r="AC227" i="26" s="1"/>
  <c r="V227" i="26"/>
  <c r="AB227" i="26" s="1"/>
  <c r="AE226" i="26"/>
  <c r="X226" i="26"/>
  <c r="AD226" i="26" s="1"/>
  <c r="W226" i="26"/>
  <c r="AC226" i="26" s="1"/>
  <c r="V226" i="26"/>
  <c r="AB226" i="26" s="1"/>
  <c r="AE225" i="26"/>
  <c r="X225" i="26"/>
  <c r="AD225" i="26" s="1"/>
  <c r="W225" i="26"/>
  <c r="AC225" i="26" s="1"/>
  <c r="V225" i="26"/>
  <c r="AB225" i="26" s="1"/>
  <c r="AE224" i="26"/>
  <c r="X224" i="26"/>
  <c r="AD224" i="26" s="1"/>
  <c r="W224" i="26"/>
  <c r="AC224" i="26" s="1"/>
  <c r="V224" i="26"/>
  <c r="AB224" i="26" s="1"/>
  <c r="AE223" i="26"/>
  <c r="X223" i="26"/>
  <c r="AD223" i="26" s="1"/>
  <c r="W223" i="26"/>
  <c r="AC223" i="26" s="1"/>
  <c r="V223" i="26"/>
  <c r="AB223" i="26" s="1"/>
  <c r="AE222" i="26"/>
  <c r="X222" i="26"/>
  <c r="AD222" i="26" s="1"/>
  <c r="W222" i="26"/>
  <c r="AC222" i="26" s="1"/>
  <c r="V222" i="26"/>
  <c r="AB222" i="26" s="1"/>
  <c r="AE221" i="26"/>
  <c r="X221" i="26"/>
  <c r="AD221" i="26" s="1"/>
  <c r="W221" i="26"/>
  <c r="AC221" i="26" s="1"/>
  <c r="V221" i="26"/>
  <c r="AB221" i="26" s="1"/>
  <c r="AE220" i="26"/>
  <c r="X220" i="26"/>
  <c r="AD220" i="26" s="1"/>
  <c r="W220" i="26"/>
  <c r="AC220" i="26" s="1"/>
  <c r="V220" i="26"/>
  <c r="AB220" i="26" s="1"/>
  <c r="AE219" i="26"/>
  <c r="X219" i="26"/>
  <c r="AD219" i="26" s="1"/>
  <c r="W219" i="26"/>
  <c r="AC219" i="26" s="1"/>
  <c r="V219" i="26"/>
  <c r="AB219" i="26" s="1"/>
  <c r="AE218" i="26"/>
  <c r="X218" i="26"/>
  <c r="AD218" i="26" s="1"/>
  <c r="W218" i="26"/>
  <c r="AC218" i="26" s="1"/>
  <c r="V218" i="26"/>
  <c r="AB218" i="26" s="1"/>
  <c r="AE217" i="26"/>
  <c r="X217" i="26"/>
  <c r="AD217" i="26" s="1"/>
  <c r="W217" i="26"/>
  <c r="AC217" i="26" s="1"/>
  <c r="V217" i="26"/>
  <c r="AB217" i="26" s="1"/>
  <c r="AE216" i="26"/>
  <c r="X216" i="26"/>
  <c r="AD216" i="26" s="1"/>
  <c r="W216" i="26"/>
  <c r="AC216" i="26" s="1"/>
  <c r="V216" i="26"/>
  <c r="AB216" i="26" s="1"/>
  <c r="AE215" i="26"/>
  <c r="X215" i="26"/>
  <c r="AD215" i="26" s="1"/>
  <c r="W215" i="26"/>
  <c r="AC215" i="26" s="1"/>
  <c r="V215" i="26"/>
  <c r="AB215" i="26" s="1"/>
  <c r="AE214" i="26"/>
  <c r="X214" i="26"/>
  <c r="AD214" i="26" s="1"/>
  <c r="W214" i="26"/>
  <c r="AC214" i="26" s="1"/>
  <c r="V214" i="26"/>
  <c r="AB214" i="26" s="1"/>
  <c r="AE213" i="26"/>
  <c r="X213" i="26"/>
  <c r="AD213" i="26" s="1"/>
  <c r="W213" i="26"/>
  <c r="AC213" i="26" s="1"/>
  <c r="V213" i="26"/>
  <c r="AB213" i="26" s="1"/>
  <c r="AE212" i="26"/>
  <c r="X212" i="26"/>
  <c r="AD212" i="26" s="1"/>
  <c r="W212" i="26"/>
  <c r="AC212" i="26" s="1"/>
  <c r="V212" i="26"/>
  <c r="AB212" i="26" s="1"/>
  <c r="AE211" i="26"/>
  <c r="X211" i="26"/>
  <c r="AD211" i="26" s="1"/>
  <c r="W211" i="26"/>
  <c r="AC211" i="26" s="1"/>
  <c r="V211" i="26"/>
  <c r="AB211" i="26" s="1"/>
  <c r="AE210" i="26"/>
  <c r="X210" i="26"/>
  <c r="AD210" i="26" s="1"/>
  <c r="W210" i="26"/>
  <c r="AC210" i="26" s="1"/>
  <c r="V210" i="26"/>
  <c r="AB210" i="26" s="1"/>
  <c r="AE209" i="26"/>
  <c r="X209" i="26"/>
  <c r="AD209" i="26" s="1"/>
  <c r="W209" i="26"/>
  <c r="AC209" i="26" s="1"/>
  <c r="V209" i="26"/>
  <c r="AB209" i="26" s="1"/>
  <c r="AE208" i="26"/>
  <c r="X208" i="26"/>
  <c r="AD208" i="26" s="1"/>
  <c r="W208" i="26"/>
  <c r="AC208" i="26" s="1"/>
  <c r="V208" i="26"/>
  <c r="AB208" i="26" s="1"/>
  <c r="AE207" i="26"/>
  <c r="X207" i="26"/>
  <c r="AD207" i="26" s="1"/>
  <c r="W207" i="26"/>
  <c r="AC207" i="26" s="1"/>
  <c r="V207" i="26"/>
  <c r="AB207" i="26" s="1"/>
  <c r="AE206" i="26"/>
  <c r="X206" i="26"/>
  <c r="AD206" i="26" s="1"/>
  <c r="W206" i="26"/>
  <c r="AC206" i="26" s="1"/>
  <c r="V206" i="26"/>
  <c r="AB206" i="26" s="1"/>
  <c r="AE205" i="26"/>
  <c r="X205" i="26"/>
  <c r="AD205" i="26" s="1"/>
  <c r="W205" i="26"/>
  <c r="AC205" i="26" s="1"/>
  <c r="V205" i="26"/>
  <c r="AB205" i="26" s="1"/>
  <c r="AE204" i="26"/>
  <c r="X204" i="26"/>
  <c r="AD204" i="26" s="1"/>
  <c r="W204" i="26"/>
  <c r="AC204" i="26" s="1"/>
  <c r="V204" i="26"/>
  <c r="AB204" i="26" s="1"/>
  <c r="AE203" i="26"/>
  <c r="X203" i="26"/>
  <c r="AD203" i="26" s="1"/>
  <c r="W203" i="26"/>
  <c r="AC203" i="26" s="1"/>
  <c r="V203" i="26"/>
  <c r="AB203" i="26" s="1"/>
  <c r="AE202" i="26"/>
  <c r="X202" i="26"/>
  <c r="AD202" i="26" s="1"/>
  <c r="W202" i="26"/>
  <c r="AC202" i="26" s="1"/>
  <c r="V202" i="26"/>
  <c r="AB202" i="26" s="1"/>
  <c r="AE201" i="26"/>
  <c r="X201" i="26"/>
  <c r="AD201" i="26" s="1"/>
  <c r="W201" i="26"/>
  <c r="AC201" i="26" s="1"/>
  <c r="V201" i="26"/>
  <c r="AB201" i="26" s="1"/>
  <c r="AE200" i="26"/>
  <c r="X200" i="26"/>
  <c r="AD200" i="26" s="1"/>
  <c r="W200" i="26"/>
  <c r="AC200" i="26" s="1"/>
  <c r="V200" i="26"/>
  <c r="AB200" i="26" s="1"/>
  <c r="AE199" i="26"/>
  <c r="X199" i="26"/>
  <c r="AD199" i="26" s="1"/>
  <c r="W199" i="26"/>
  <c r="AC199" i="26" s="1"/>
  <c r="V199" i="26"/>
  <c r="AB199" i="26" s="1"/>
  <c r="AE198" i="26"/>
  <c r="X198" i="26"/>
  <c r="AD198" i="26" s="1"/>
  <c r="W198" i="26"/>
  <c r="AC198" i="26" s="1"/>
  <c r="V198" i="26"/>
  <c r="AB198" i="26" s="1"/>
  <c r="AE197" i="26"/>
  <c r="X197" i="26"/>
  <c r="AD197" i="26" s="1"/>
  <c r="W197" i="26"/>
  <c r="AC197" i="26" s="1"/>
  <c r="V197" i="26"/>
  <c r="AB197" i="26" s="1"/>
  <c r="AE196" i="26"/>
  <c r="X196" i="26"/>
  <c r="AD196" i="26" s="1"/>
  <c r="W196" i="26"/>
  <c r="AC196" i="26" s="1"/>
  <c r="V196" i="26"/>
  <c r="AB196" i="26" s="1"/>
  <c r="AE195" i="26"/>
  <c r="X195" i="26"/>
  <c r="AD195" i="26" s="1"/>
  <c r="W195" i="26"/>
  <c r="AC195" i="26" s="1"/>
  <c r="V195" i="26"/>
  <c r="AB195" i="26" s="1"/>
  <c r="AE194" i="26"/>
  <c r="X194" i="26"/>
  <c r="AD194" i="26" s="1"/>
  <c r="W194" i="26"/>
  <c r="AC194" i="26" s="1"/>
  <c r="V194" i="26"/>
  <c r="AB194" i="26" s="1"/>
  <c r="AE193" i="26"/>
  <c r="X193" i="26"/>
  <c r="AD193" i="26" s="1"/>
  <c r="W193" i="26"/>
  <c r="AC193" i="26" s="1"/>
  <c r="V193" i="26"/>
  <c r="AB193" i="26" s="1"/>
  <c r="AE192" i="26"/>
  <c r="X192" i="26"/>
  <c r="AD192" i="26" s="1"/>
  <c r="W192" i="26"/>
  <c r="AC192" i="26" s="1"/>
  <c r="V192" i="26"/>
  <c r="AB192" i="26" s="1"/>
  <c r="AE191" i="26"/>
  <c r="X191" i="26"/>
  <c r="AD191" i="26" s="1"/>
  <c r="W191" i="26"/>
  <c r="AC191" i="26" s="1"/>
  <c r="V191" i="26"/>
  <c r="AB191" i="26" s="1"/>
  <c r="AE190" i="26"/>
  <c r="X190" i="26"/>
  <c r="AD190" i="26" s="1"/>
  <c r="W190" i="26"/>
  <c r="AC190" i="26" s="1"/>
  <c r="V190" i="26"/>
  <c r="AB190" i="26" s="1"/>
  <c r="AE189" i="26"/>
  <c r="X189" i="26"/>
  <c r="AD189" i="26" s="1"/>
  <c r="W189" i="26"/>
  <c r="AC189" i="26" s="1"/>
  <c r="V189" i="26"/>
  <c r="AB189" i="26" s="1"/>
  <c r="AE188" i="26"/>
  <c r="X188" i="26"/>
  <c r="AD188" i="26" s="1"/>
  <c r="W188" i="26"/>
  <c r="AC188" i="26" s="1"/>
  <c r="V188" i="26"/>
  <c r="AB188" i="26" s="1"/>
  <c r="AE187" i="26"/>
  <c r="X187" i="26"/>
  <c r="AD187" i="26" s="1"/>
  <c r="W187" i="26"/>
  <c r="AC187" i="26" s="1"/>
  <c r="V187" i="26"/>
  <c r="AB187" i="26" s="1"/>
  <c r="AE186" i="26"/>
  <c r="X186" i="26"/>
  <c r="AD186" i="26" s="1"/>
  <c r="W186" i="26"/>
  <c r="AC186" i="26" s="1"/>
  <c r="V186" i="26"/>
  <c r="AB186" i="26" s="1"/>
  <c r="AE185" i="26"/>
  <c r="X185" i="26"/>
  <c r="AD185" i="26" s="1"/>
  <c r="W185" i="26"/>
  <c r="AC185" i="26" s="1"/>
  <c r="V185" i="26"/>
  <c r="AB185" i="26" s="1"/>
  <c r="AE184" i="26"/>
  <c r="X184" i="26"/>
  <c r="AD184" i="26" s="1"/>
  <c r="W184" i="26"/>
  <c r="AC184" i="26" s="1"/>
  <c r="V184" i="26"/>
  <c r="AB184" i="26" s="1"/>
  <c r="AE183" i="26"/>
  <c r="X183" i="26"/>
  <c r="AD183" i="26" s="1"/>
  <c r="W183" i="26"/>
  <c r="AC183" i="26" s="1"/>
  <c r="V183" i="26"/>
  <c r="AB183" i="26" s="1"/>
  <c r="AE182" i="26"/>
  <c r="X182" i="26"/>
  <c r="AD182" i="26" s="1"/>
  <c r="W182" i="26"/>
  <c r="AC182" i="26" s="1"/>
  <c r="V182" i="26"/>
  <c r="AB182" i="26" s="1"/>
  <c r="AE181" i="26"/>
  <c r="X181" i="26"/>
  <c r="AD181" i="26" s="1"/>
  <c r="W181" i="26"/>
  <c r="AC181" i="26" s="1"/>
  <c r="V181" i="26"/>
  <c r="AB181" i="26" s="1"/>
  <c r="AE180" i="26"/>
  <c r="X180" i="26"/>
  <c r="AD180" i="26" s="1"/>
  <c r="W180" i="26"/>
  <c r="AC180" i="26" s="1"/>
  <c r="V180" i="26"/>
  <c r="AB180" i="26" s="1"/>
  <c r="AE179" i="26"/>
  <c r="X179" i="26"/>
  <c r="AD179" i="26" s="1"/>
  <c r="W179" i="26"/>
  <c r="AC179" i="26" s="1"/>
  <c r="V179" i="26"/>
  <c r="AB179" i="26" s="1"/>
  <c r="AE178" i="26"/>
  <c r="X178" i="26"/>
  <c r="AD178" i="26" s="1"/>
  <c r="W178" i="26"/>
  <c r="AC178" i="26" s="1"/>
  <c r="V178" i="26"/>
  <c r="AB178" i="26" s="1"/>
  <c r="AE177" i="26"/>
  <c r="X177" i="26"/>
  <c r="AD177" i="26" s="1"/>
  <c r="W177" i="26"/>
  <c r="AC177" i="26" s="1"/>
  <c r="V177" i="26"/>
  <c r="AB177" i="26" s="1"/>
  <c r="AE176" i="26"/>
  <c r="X176" i="26"/>
  <c r="AD176" i="26" s="1"/>
  <c r="W176" i="26"/>
  <c r="AC176" i="26" s="1"/>
  <c r="V176" i="26"/>
  <c r="AB176" i="26" s="1"/>
  <c r="AE175" i="26"/>
  <c r="X175" i="26"/>
  <c r="AD175" i="26" s="1"/>
  <c r="W175" i="26"/>
  <c r="AC175" i="26" s="1"/>
  <c r="V175" i="26"/>
  <c r="AB175" i="26" s="1"/>
  <c r="AE174" i="26"/>
  <c r="X174" i="26"/>
  <c r="AD174" i="26" s="1"/>
  <c r="W174" i="26"/>
  <c r="AC174" i="26" s="1"/>
  <c r="V174" i="26"/>
  <c r="AB174" i="26" s="1"/>
  <c r="AE173" i="26"/>
  <c r="X173" i="26"/>
  <c r="AD173" i="26" s="1"/>
  <c r="W173" i="26"/>
  <c r="AC173" i="26" s="1"/>
  <c r="V173" i="26"/>
  <c r="AB173" i="26" s="1"/>
  <c r="AE172" i="26"/>
  <c r="X172" i="26"/>
  <c r="AD172" i="26" s="1"/>
  <c r="W172" i="26"/>
  <c r="AC172" i="26" s="1"/>
  <c r="V172" i="26"/>
  <c r="AB172" i="26" s="1"/>
  <c r="AE171" i="26"/>
  <c r="X171" i="26"/>
  <c r="AD171" i="26" s="1"/>
  <c r="W171" i="26"/>
  <c r="AC171" i="26" s="1"/>
  <c r="V171" i="26"/>
  <c r="AB171" i="26" s="1"/>
  <c r="AE170" i="26"/>
  <c r="X170" i="26"/>
  <c r="AD170" i="26" s="1"/>
  <c r="W170" i="26"/>
  <c r="AC170" i="26" s="1"/>
  <c r="V170" i="26"/>
  <c r="AB170" i="26" s="1"/>
  <c r="AE169" i="26"/>
  <c r="X169" i="26"/>
  <c r="AD169" i="26" s="1"/>
  <c r="W169" i="26"/>
  <c r="AC169" i="26" s="1"/>
  <c r="V169" i="26"/>
  <c r="AB169" i="26" s="1"/>
  <c r="AE168" i="26"/>
  <c r="X168" i="26"/>
  <c r="AD168" i="26" s="1"/>
  <c r="W168" i="26"/>
  <c r="AC168" i="26" s="1"/>
  <c r="V168" i="26"/>
  <c r="AB168" i="26" s="1"/>
  <c r="AE167" i="26"/>
  <c r="X167" i="26"/>
  <c r="AD167" i="26" s="1"/>
  <c r="W167" i="26"/>
  <c r="AC167" i="26" s="1"/>
  <c r="V167" i="26"/>
  <c r="AB167" i="26" s="1"/>
  <c r="AE166" i="26"/>
  <c r="X166" i="26"/>
  <c r="AD166" i="26" s="1"/>
  <c r="W166" i="26"/>
  <c r="AC166" i="26" s="1"/>
  <c r="V166" i="26"/>
  <c r="AB166" i="26" s="1"/>
  <c r="AE165" i="26"/>
  <c r="X165" i="26"/>
  <c r="AD165" i="26" s="1"/>
  <c r="W165" i="26"/>
  <c r="AC165" i="26" s="1"/>
  <c r="V165" i="26"/>
  <c r="AB165" i="26" s="1"/>
  <c r="AE164" i="26"/>
  <c r="X164" i="26"/>
  <c r="AD164" i="26" s="1"/>
  <c r="W164" i="26"/>
  <c r="AC164" i="26" s="1"/>
  <c r="V164" i="26"/>
  <c r="AB164" i="26" s="1"/>
  <c r="AE163" i="26"/>
  <c r="X163" i="26"/>
  <c r="AD163" i="26" s="1"/>
  <c r="W163" i="26"/>
  <c r="AC163" i="26" s="1"/>
  <c r="V163" i="26"/>
  <c r="AB163" i="26" s="1"/>
  <c r="AE162" i="26"/>
  <c r="X162" i="26"/>
  <c r="AD162" i="26" s="1"/>
  <c r="W162" i="26"/>
  <c r="AC162" i="26" s="1"/>
  <c r="V162" i="26"/>
  <c r="AB162" i="26" s="1"/>
  <c r="AE161" i="26"/>
  <c r="X161" i="26"/>
  <c r="AD161" i="26" s="1"/>
  <c r="W161" i="26"/>
  <c r="AC161" i="26" s="1"/>
  <c r="V161" i="26"/>
  <c r="AB161" i="26" s="1"/>
  <c r="AE160" i="26"/>
  <c r="X160" i="26"/>
  <c r="AD160" i="26" s="1"/>
  <c r="W160" i="26"/>
  <c r="AC160" i="26" s="1"/>
  <c r="V160" i="26"/>
  <c r="AB160" i="26" s="1"/>
  <c r="AE159" i="26"/>
  <c r="X159" i="26"/>
  <c r="AD159" i="26" s="1"/>
  <c r="W159" i="26"/>
  <c r="AC159" i="26" s="1"/>
  <c r="V159" i="26"/>
  <c r="AB159" i="26" s="1"/>
  <c r="AE158" i="26"/>
  <c r="X158" i="26"/>
  <c r="AD158" i="26" s="1"/>
  <c r="W158" i="26"/>
  <c r="AC158" i="26" s="1"/>
  <c r="V158" i="26"/>
  <c r="AB158" i="26" s="1"/>
  <c r="AE157" i="26"/>
  <c r="X157" i="26"/>
  <c r="AD157" i="26" s="1"/>
  <c r="W157" i="26"/>
  <c r="AC157" i="26" s="1"/>
  <c r="V157" i="26"/>
  <c r="AB157" i="26" s="1"/>
  <c r="AE156" i="26"/>
  <c r="X156" i="26"/>
  <c r="AD156" i="26" s="1"/>
  <c r="W156" i="26"/>
  <c r="AC156" i="26" s="1"/>
  <c r="V156" i="26"/>
  <c r="AB156" i="26" s="1"/>
  <c r="AE155" i="26"/>
  <c r="X155" i="26"/>
  <c r="AD155" i="26" s="1"/>
  <c r="W155" i="26"/>
  <c r="AC155" i="26" s="1"/>
  <c r="V155" i="26"/>
  <c r="AB155" i="26" s="1"/>
  <c r="AE154" i="26"/>
  <c r="X154" i="26"/>
  <c r="AD154" i="26" s="1"/>
  <c r="W154" i="26"/>
  <c r="AC154" i="26" s="1"/>
  <c r="V154" i="26"/>
  <c r="AB154" i="26" s="1"/>
  <c r="AE153" i="26"/>
  <c r="X153" i="26"/>
  <c r="AD153" i="26" s="1"/>
  <c r="W153" i="26"/>
  <c r="AC153" i="26" s="1"/>
  <c r="V153" i="26"/>
  <c r="AB153" i="26" s="1"/>
  <c r="AE152" i="26"/>
  <c r="X152" i="26"/>
  <c r="AD152" i="26" s="1"/>
  <c r="W152" i="26"/>
  <c r="AC152" i="26" s="1"/>
  <c r="V152" i="26"/>
  <c r="AB152" i="26" s="1"/>
  <c r="AE151" i="26"/>
  <c r="X151" i="26"/>
  <c r="AD151" i="26" s="1"/>
  <c r="W151" i="26"/>
  <c r="AC151" i="26" s="1"/>
  <c r="V151" i="26"/>
  <c r="AB151" i="26" s="1"/>
  <c r="AE150" i="26"/>
  <c r="X150" i="26"/>
  <c r="AD150" i="26" s="1"/>
  <c r="W150" i="26"/>
  <c r="AC150" i="26" s="1"/>
  <c r="V150" i="26"/>
  <c r="AB150" i="26" s="1"/>
  <c r="AE149" i="26"/>
  <c r="X149" i="26"/>
  <c r="AD149" i="26" s="1"/>
  <c r="W149" i="26"/>
  <c r="AC149" i="26" s="1"/>
  <c r="V149" i="26"/>
  <c r="AB149" i="26" s="1"/>
  <c r="AE148" i="26"/>
  <c r="X148" i="26"/>
  <c r="AD148" i="26" s="1"/>
  <c r="W148" i="26"/>
  <c r="AC148" i="26" s="1"/>
  <c r="V148" i="26"/>
  <c r="AB148" i="26" s="1"/>
  <c r="AE147" i="26"/>
  <c r="X147" i="26"/>
  <c r="AD147" i="26" s="1"/>
  <c r="W147" i="26"/>
  <c r="AC147" i="26" s="1"/>
  <c r="V147" i="26"/>
  <c r="AB147" i="26" s="1"/>
  <c r="AE146" i="26"/>
  <c r="X146" i="26"/>
  <c r="AD146" i="26" s="1"/>
  <c r="W146" i="26"/>
  <c r="AC146" i="26" s="1"/>
  <c r="V146" i="26"/>
  <c r="AB146" i="26" s="1"/>
  <c r="AE145" i="26"/>
  <c r="X145" i="26"/>
  <c r="AD145" i="26" s="1"/>
  <c r="W145" i="26"/>
  <c r="AC145" i="26" s="1"/>
  <c r="V145" i="26"/>
  <c r="AB145" i="26" s="1"/>
  <c r="AE144" i="26"/>
  <c r="X144" i="26"/>
  <c r="AD144" i="26" s="1"/>
  <c r="W144" i="26"/>
  <c r="AC144" i="26" s="1"/>
  <c r="V144" i="26"/>
  <c r="AB144" i="26" s="1"/>
  <c r="AE143" i="26"/>
  <c r="X143" i="26"/>
  <c r="AD143" i="26" s="1"/>
  <c r="W143" i="26"/>
  <c r="AC143" i="26" s="1"/>
  <c r="V143" i="26"/>
  <c r="AB143" i="26" s="1"/>
  <c r="AE142" i="26"/>
  <c r="X142" i="26"/>
  <c r="AD142" i="26" s="1"/>
  <c r="W142" i="26"/>
  <c r="AC142" i="26" s="1"/>
  <c r="V142" i="26"/>
  <c r="AB142" i="26" s="1"/>
  <c r="AE141" i="26"/>
  <c r="X141" i="26"/>
  <c r="AD141" i="26" s="1"/>
  <c r="W141" i="26"/>
  <c r="AC141" i="26" s="1"/>
  <c r="V141" i="26"/>
  <c r="AB141" i="26" s="1"/>
  <c r="AE140" i="26"/>
  <c r="X140" i="26"/>
  <c r="AD140" i="26" s="1"/>
  <c r="W140" i="26"/>
  <c r="AC140" i="26" s="1"/>
  <c r="V140" i="26"/>
  <c r="AB140" i="26" s="1"/>
  <c r="AE139" i="26"/>
  <c r="X139" i="26"/>
  <c r="AD139" i="26" s="1"/>
  <c r="W139" i="26"/>
  <c r="AC139" i="26" s="1"/>
  <c r="V139" i="26"/>
  <c r="AB139" i="26" s="1"/>
  <c r="AE138" i="26"/>
  <c r="X138" i="26"/>
  <c r="AD138" i="26" s="1"/>
  <c r="W138" i="26"/>
  <c r="AC138" i="26" s="1"/>
  <c r="V138" i="26"/>
  <c r="AB138" i="26" s="1"/>
  <c r="AE137" i="26"/>
  <c r="X137" i="26"/>
  <c r="AD137" i="26" s="1"/>
  <c r="W137" i="26"/>
  <c r="AC137" i="26" s="1"/>
  <c r="V137" i="26"/>
  <c r="AB137" i="26" s="1"/>
  <c r="AE136" i="26"/>
  <c r="X136" i="26"/>
  <c r="AD136" i="26" s="1"/>
  <c r="W136" i="26"/>
  <c r="AC136" i="26" s="1"/>
  <c r="V136" i="26"/>
  <c r="AB136" i="26" s="1"/>
  <c r="AE135" i="26"/>
  <c r="X135" i="26"/>
  <c r="AD135" i="26" s="1"/>
  <c r="W135" i="26"/>
  <c r="AC135" i="26" s="1"/>
  <c r="V135" i="26"/>
  <c r="AB135" i="26" s="1"/>
  <c r="AE134" i="26"/>
  <c r="X134" i="26"/>
  <c r="AD134" i="26" s="1"/>
  <c r="W134" i="26"/>
  <c r="AC134" i="26" s="1"/>
  <c r="V134" i="26"/>
  <c r="AB134" i="26" s="1"/>
  <c r="AE133" i="26"/>
  <c r="X133" i="26"/>
  <c r="AD133" i="26" s="1"/>
  <c r="W133" i="26"/>
  <c r="AC133" i="26" s="1"/>
  <c r="V133" i="26"/>
  <c r="AB133" i="26" s="1"/>
  <c r="AE132" i="26"/>
  <c r="X132" i="26"/>
  <c r="AD132" i="26" s="1"/>
  <c r="W132" i="26"/>
  <c r="AC132" i="26" s="1"/>
  <c r="V132" i="26"/>
  <c r="AB132" i="26" s="1"/>
  <c r="AE131" i="26"/>
  <c r="X131" i="26"/>
  <c r="AD131" i="26" s="1"/>
  <c r="W131" i="26"/>
  <c r="AC131" i="26" s="1"/>
  <c r="V131" i="26"/>
  <c r="AB131" i="26" s="1"/>
  <c r="AE130" i="26"/>
  <c r="X130" i="26"/>
  <c r="AD130" i="26" s="1"/>
  <c r="W130" i="26"/>
  <c r="AC130" i="26" s="1"/>
  <c r="V130" i="26"/>
  <c r="AB130" i="26" s="1"/>
  <c r="AE129" i="26"/>
  <c r="X129" i="26"/>
  <c r="AD129" i="26" s="1"/>
  <c r="W129" i="26"/>
  <c r="AC129" i="26" s="1"/>
  <c r="V129" i="26"/>
  <c r="AB129" i="26" s="1"/>
  <c r="AE128" i="26"/>
  <c r="X128" i="26"/>
  <c r="AD128" i="26" s="1"/>
  <c r="W128" i="26"/>
  <c r="AC128" i="26" s="1"/>
  <c r="V128" i="26"/>
  <c r="AB128" i="26" s="1"/>
  <c r="AE127" i="26"/>
  <c r="X127" i="26"/>
  <c r="AD127" i="26" s="1"/>
  <c r="W127" i="26"/>
  <c r="AC127" i="26" s="1"/>
  <c r="V127" i="26"/>
  <c r="AB127" i="26" s="1"/>
  <c r="AE126" i="26"/>
  <c r="X126" i="26"/>
  <c r="AD126" i="26" s="1"/>
  <c r="W126" i="26"/>
  <c r="AC126" i="26" s="1"/>
  <c r="V126" i="26"/>
  <c r="AB126" i="26" s="1"/>
  <c r="AE125" i="26"/>
  <c r="X125" i="26"/>
  <c r="AD125" i="26" s="1"/>
  <c r="W125" i="26"/>
  <c r="AC125" i="26" s="1"/>
  <c r="V125" i="26"/>
  <c r="AB125" i="26" s="1"/>
  <c r="AE124" i="26"/>
  <c r="X124" i="26"/>
  <c r="AD124" i="26" s="1"/>
  <c r="W124" i="26"/>
  <c r="AC124" i="26" s="1"/>
  <c r="V124" i="26"/>
  <c r="AB124" i="26" s="1"/>
  <c r="AE123" i="26"/>
  <c r="X123" i="26"/>
  <c r="AD123" i="26" s="1"/>
  <c r="W123" i="26"/>
  <c r="AC123" i="26" s="1"/>
  <c r="V123" i="26"/>
  <c r="AB123" i="26" s="1"/>
  <c r="AE122" i="26"/>
  <c r="X122" i="26"/>
  <c r="AD122" i="26" s="1"/>
  <c r="W122" i="26"/>
  <c r="AC122" i="26" s="1"/>
  <c r="V122" i="26"/>
  <c r="AB122" i="26" s="1"/>
  <c r="AE121" i="26"/>
  <c r="X121" i="26"/>
  <c r="AD121" i="26" s="1"/>
  <c r="W121" i="26"/>
  <c r="AC121" i="26" s="1"/>
  <c r="V121" i="26"/>
  <c r="AB121" i="26" s="1"/>
  <c r="AE120" i="26"/>
  <c r="X120" i="26"/>
  <c r="AD120" i="26" s="1"/>
  <c r="W120" i="26"/>
  <c r="AC120" i="26" s="1"/>
  <c r="V120" i="26"/>
  <c r="AB120" i="26" s="1"/>
  <c r="AE119" i="26"/>
  <c r="X119" i="26"/>
  <c r="AD119" i="26" s="1"/>
  <c r="W119" i="26"/>
  <c r="AC119" i="26" s="1"/>
  <c r="V119" i="26"/>
  <c r="AB119" i="26" s="1"/>
  <c r="AE118" i="26"/>
  <c r="X118" i="26"/>
  <c r="AD118" i="26" s="1"/>
  <c r="W118" i="26"/>
  <c r="AC118" i="26" s="1"/>
  <c r="V118" i="26"/>
  <c r="AB118" i="26" s="1"/>
  <c r="AE117" i="26"/>
  <c r="X117" i="26"/>
  <c r="AD117" i="26" s="1"/>
  <c r="W117" i="26"/>
  <c r="AC117" i="26" s="1"/>
  <c r="V117" i="26"/>
  <c r="AB117" i="26" s="1"/>
  <c r="AE116" i="26"/>
  <c r="X116" i="26"/>
  <c r="AD116" i="26" s="1"/>
  <c r="W116" i="26"/>
  <c r="AC116" i="26" s="1"/>
  <c r="V116" i="26"/>
  <c r="AB116" i="26" s="1"/>
  <c r="AE115" i="26"/>
  <c r="X115" i="26"/>
  <c r="AD115" i="26" s="1"/>
  <c r="W115" i="26"/>
  <c r="AC115" i="26" s="1"/>
  <c r="V115" i="26"/>
  <c r="AB115" i="26" s="1"/>
  <c r="AE114" i="26"/>
  <c r="X114" i="26"/>
  <c r="AD114" i="26" s="1"/>
  <c r="W114" i="26"/>
  <c r="AC114" i="26" s="1"/>
  <c r="V114" i="26"/>
  <c r="AB114" i="26" s="1"/>
  <c r="AE113" i="26"/>
  <c r="X113" i="26"/>
  <c r="AD113" i="26" s="1"/>
  <c r="W113" i="26"/>
  <c r="AC113" i="26" s="1"/>
  <c r="V113" i="26"/>
  <c r="AB113" i="26" s="1"/>
  <c r="AE112" i="26"/>
  <c r="X112" i="26"/>
  <c r="AD112" i="26" s="1"/>
  <c r="W112" i="26"/>
  <c r="AC112" i="26" s="1"/>
  <c r="V112" i="26"/>
  <c r="AB112" i="26" s="1"/>
  <c r="AE111" i="26"/>
  <c r="X111" i="26"/>
  <c r="AD111" i="26" s="1"/>
  <c r="W111" i="26"/>
  <c r="AC111" i="26" s="1"/>
  <c r="V111" i="26"/>
  <c r="AB111" i="26" s="1"/>
  <c r="AE110" i="26"/>
  <c r="X110" i="26"/>
  <c r="AD110" i="26" s="1"/>
  <c r="W110" i="26"/>
  <c r="AC110" i="26" s="1"/>
  <c r="V110" i="26"/>
  <c r="AB110" i="26" s="1"/>
  <c r="AE109" i="26"/>
  <c r="X109" i="26"/>
  <c r="AD109" i="26" s="1"/>
  <c r="W109" i="26"/>
  <c r="AC109" i="26" s="1"/>
  <c r="V109" i="26"/>
  <c r="AB109" i="26" s="1"/>
  <c r="AE108" i="26"/>
  <c r="X108" i="26"/>
  <c r="AD108" i="26" s="1"/>
  <c r="W108" i="26"/>
  <c r="AC108" i="26" s="1"/>
  <c r="V108" i="26"/>
  <c r="AB108" i="26" s="1"/>
  <c r="AE107" i="26"/>
  <c r="X107" i="26"/>
  <c r="AD107" i="26" s="1"/>
  <c r="W107" i="26"/>
  <c r="AC107" i="26" s="1"/>
  <c r="V107" i="26"/>
  <c r="AB107" i="26" s="1"/>
  <c r="AE106" i="26"/>
  <c r="X106" i="26"/>
  <c r="AD106" i="26" s="1"/>
  <c r="W106" i="26"/>
  <c r="AC106" i="26" s="1"/>
  <c r="V106" i="26"/>
  <c r="AB106" i="26" s="1"/>
  <c r="AE105" i="26"/>
  <c r="X105" i="26"/>
  <c r="AD105" i="26" s="1"/>
  <c r="W105" i="26"/>
  <c r="AC105" i="26" s="1"/>
  <c r="V105" i="26"/>
  <c r="AB105" i="26" s="1"/>
  <c r="AE104" i="26"/>
  <c r="X104" i="26"/>
  <c r="AD104" i="26" s="1"/>
  <c r="W104" i="26"/>
  <c r="AC104" i="26" s="1"/>
  <c r="V104" i="26"/>
  <c r="AB104" i="26" s="1"/>
  <c r="AE103" i="26"/>
  <c r="X103" i="26"/>
  <c r="AD103" i="26" s="1"/>
  <c r="W103" i="26"/>
  <c r="AC103" i="26" s="1"/>
  <c r="V103" i="26"/>
  <c r="AB103" i="26" s="1"/>
  <c r="AE102" i="26"/>
  <c r="X102" i="26"/>
  <c r="AD102" i="26" s="1"/>
  <c r="W102" i="26"/>
  <c r="AC102" i="26" s="1"/>
  <c r="V102" i="26"/>
  <c r="AB102" i="26" s="1"/>
  <c r="AE101" i="26"/>
  <c r="X101" i="26"/>
  <c r="AD101" i="26" s="1"/>
  <c r="W101" i="26"/>
  <c r="AC101" i="26" s="1"/>
  <c r="V101" i="26"/>
  <c r="AB101" i="26" s="1"/>
  <c r="AE100" i="26"/>
  <c r="X100" i="26"/>
  <c r="AD100" i="26" s="1"/>
  <c r="W100" i="26"/>
  <c r="AC100" i="26" s="1"/>
  <c r="V100" i="26"/>
  <c r="AB100" i="26" s="1"/>
  <c r="AE99" i="26"/>
  <c r="X99" i="26"/>
  <c r="AD99" i="26" s="1"/>
  <c r="W99" i="26"/>
  <c r="AC99" i="26" s="1"/>
  <c r="V99" i="26"/>
  <c r="AB99" i="26" s="1"/>
  <c r="AE98" i="26"/>
  <c r="X98" i="26"/>
  <c r="AD98" i="26" s="1"/>
  <c r="W98" i="26"/>
  <c r="AC98" i="26" s="1"/>
  <c r="V98" i="26"/>
  <c r="AB98" i="26" s="1"/>
  <c r="AG97" i="26"/>
  <c r="AF97" i="26"/>
  <c r="X97" i="26"/>
  <c r="AD97" i="26" s="1"/>
  <c r="W97" i="26"/>
  <c r="AC97" i="26" s="1"/>
  <c r="V97" i="26"/>
  <c r="AB97" i="26" s="1"/>
  <c r="AG96" i="26"/>
  <c r="AF96" i="26"/>
  <c r="X96" i="26"/>
  <c r="AD96" i="26" s="1"/>
  <c r="W96" i="26"/>
  <c r="AC96" i="26" s="1"/>
  <c r="V96" i="26"/>
  <c r="AB96" i="26" s="1"/>
  <c r="AG95" i="26"/>
  <c r="AF95" i="26"/>
  <c r="X95" i="26"/>
  <c r="AD95" i="26" s="1"/>
  <c r="W95" i="26"/>
  <c r="AC95" i="26" s="1"/>
  <c r="V95" i="26"/>
  <c r="AB95" i="26" s="1"/>
  <c r="AG94" i="26"/>
  <c r="AF94" i="26"/>
  <c r="X94" i="26"/>
  <c r="AD94" i="26" s="1"/>
  <c r="W94" i="26"/>
  <c r="AC94" i="26" s="1"/>
  <c r="V94" i="26"/>
  <c r="AB94" i="26" s="1"/>
  <c r="AG93" i="26"/>
  <c r="AF93" i="26"/>
  <c r="X93" i="26"/>
  <c r="AD93" i="26" s="1"/>
  <c r="W93" i="26"/>
  <c r="AC93" i="26" s="1"/>
  <c r="V93" i="26"/>
  <c r="AB93" i="26" s="1"/>
  <c r="AG92" i="26"/>
  <c r="AF92" i="26"/>
  <c r="X92" i="26"/>
  <c r="AD92" i="26" s="1"/>
  <c r="W92" i="26"/>
  <c r="AC92" i="26" s="1"/>
  <c r="V92" i="26"/>
  <c r="AB92" i="26" s="1"/>
  <c r="AG91" i="26"/>
  <c r="AF91" i="26"/>
  <c r="X91" i="26"/>
  <c r="AD91" i="26" s="1"/>
  <c r="W91" i="26"/>
  <c r="AC91" i="26" s="1"/>
  <c r="V91" i="26"/>
  <c r="AB91" i="26" s="1"/>
  <c r="AG90" i="26"/>
  <c r="AF90" i="26"/>
  <c r="X90" i="26"/>
  <c r="AD90" i="26" s="1"/>
  <c r="W90" i="26"/>
  <c r="AC90" i="26" s="1"/>
  <c r="V90" i="26"/>
  <c r="AB90" i="26" s="1"/>
  <c r="AG89" i="26"/>
  <c r="AF89" i="26"/>
  <c r="X89" i="26"/>
  <c r="AD89" i="26" s="1"/>
  <c r="W89" i="26"/>
  <c r="AC89" i="26" s="1"/>
  <c r="V89" i="26"/>
  <c r="AB89" i="26" s="1"/>
  <c r="AG88" i="26"/>
  <c r="AF88" i="26"/>
  <c r="X88" i="26"/>
  <c r="AD88" i="26" s="1"/>
  <c r="W88" i="26"/>
  <c r="AC88" i="26" s="1"/>
  <c r="V88" i="26"/>
  <c r="AB88" i="26" s="1"/>
  <c r="AG87" i="26"/>
  <c r="AF87" i="26"/>
  <c r="X87" i="26"/>
  <c r="AD87" i="26" s="1"/>
  <c r="W87" i="26"/>
  <c r="AC87" i="26" s="1"/>
  <c r="V87" i="26"/>
  <c r="AB87" i="26" s="1"/>
  <c r="AG86" i="26"/>
  <c r="AF86" i="26"/>
  <c r="X86" i="26"/>
  <c r="AD86" i="26" s="1"/>
  <c r="W86" i="26"/>
  <c r="AC86" i="26" s="1"/>
  <c r="V86" i="26"/>
  <c r="AB86" i="26" s="1"/>
  <c r="AE85" i="26"/>
  <c r="X85" i="26"/>
  <c r="AD85" i="26" s="1"/>
  <c r="W85" i="26"/>
  <c r="AC85" i="26" s="1"/>
  <c r="V85" i="26"/>
  <c r="AB85" i="26" s="1"/>
  <c r="AE84" i="26"/>
  <c r="X84" i="26"/>
  <c r="AD84" i="26" s="1"/>
  <c r="W84" i="26"/>
  <c r="AC84" i="26" s="1"/>
  <c r="V84" i="26"/>
  <c r="AB84" i="26" s="1"/>
  <c r="AE83" i="26"/>
  <c r="X83" i="26"/>
  <c r="AD83" i="26" s="1"/>
  <c r="W83" i="26"/>
  <c r="AC83" i="26" s="1"/>
  <c r="V83" i="26"/>
  <c r="AB83" i="26" s="1"/>
  <c r="AE82" i="26"/>
  <c r="X82" i="26"/>
  <c r="AD82" i="26" s="1"/>
  <c r="W82" i="26"/>
  <c r="AC82" i="26" s="1"/>
  <c r="V82" i="26"/>
  <c r="AB82" i="26" s="1"/>
  <c r="AE81" i="26"/>
  <c r="X81" i="26"/>
  <c r="AD81" i="26" s="1"/>
  <c r="W81" i="26"/>
  <c r="AC81" i="26" s="1"/>
  <c r="V81" i="26"/>
  <c r="AB81" i="26" s="1"/>
  <c r="AE80" i="26"/>
  <c r="X80" i="26"/>
  <c r="AD80" i="26" s="1"/>
  <c r="W80" i="26"/>
  <c r="AC80" i="26" s="1"/>
  <c r="V80" i="26"/>
  <c r="AB80" i="26" s="1"/>
  <c r="AE79" i="26"/>
  <c r="X79" i="26"/>
  <c r="AD79" i="26" s="1"/>
  <c r="W79" i="26"/>
  <c r="AC79" i="26" s="1"/>
  <c r="V79" i="26"/>
  <c r="AB79" i="26" s="1"/>
  <c r="AE78" i="26"/>
  <c r="X78" i="26"/>
  <c r="AD78" i="26" s="1"/>
  <c r="W78" i="26"/>
  <c r="AC78" i="26" s="1"/>
  <c r="V78" i="26"/>
  <c r="AB78" i="26" s="1"/>
  <c r="AE77" i="26"/>
  <c r="X77" i="26"/>
  <c r="AD77" i="26" s="1"/>
  <c r="W77" i="26"/>
  <c r="AC77" i="26" s="1"/>
  <c r="V77" i="26"/>
  <c r="AB77" i="26" s="1"/>
  <c r="AE76" i="26"/>
  <c r="X76" i="26"/>
  <c r="AD76" i="26" s="1"/>
  <c r="W76" i="26"/>
  <c r="AC76" i="26" s="1"/>
  <c r="V76" i="26"/>
  <c r="AB76" i="26" s="1"/>
  <c r="AE75" i="26"/>
  <c r="X75" i="26"/>
  <c r="AD75" i="26" s="1"/>
  <c r="W75" i="26"/>
  <c r="AC75" i="26" s="1"/>
  <c r="V75" i="26"/>
  <c r="AB75" i="26" s="1"/>
  <c r="AE74" i="26"/>
  <c r="X74" i="26"/>
  <c r="AD74" i="26" s="1"/>
  <c r="W74" i="26"/>
  <c r="AC74" i="26" s="1"/>
  <c r="V74" i="26"/>
  <c r="AB74" i="26" s="1"/>
  <c r="AG73" i="26"/>
  <c r="AE73" i="26"/>
  <c r="X73" i="26"/>
  <c r="AD73" i="26" s="1"/>
  <c r="W73" i="26"/>
  <c r="AC73" i="26" s="1"/>
  <c r="V73" i="26"/>
  <c r="AB73" i="26" s="1"/>
  <c r="AG72" i="26"/>
  <c r="AE72" i="26"/>
  <c r="X72" i="26"/>
  <c r="AD72" i="26" s="1"/>
  <c r="W72" i="26"/>
  <c r="AC72" i="26" s="1"/>
  <c r="V72" i="26"/>
  <c r="AB72" i="26" s="1"/>
  <c r="AG71" i="26"/>
  <c r="AE71" i="26"/>
  <c r="X71" i="26"/>
  <c r="AD71" i="26" s="1"/>
  <c r="W71" i="26"/>
  <c r="AC71" i="26" s="1"/>
  <c r="V71" i="26"/>
  <c r="AB71" i="26" s="1"/>
  <c r="AG70" i="26"/>
  <c r="AE70" i="26"/>
  <c r="X70" i="26"/>
  <c r="AD70" i="26" s="1"/>
  <c r="W70" i="26"/>
  <c r="AC70" i="26" s="1"/>
  <c r="V70" i="26"/>
  <c r="AB70" i="26" s="1"/>
  <c r="AG69" i="26"/>
  <c r="AE69" i="26"/>
  <c r="X69" i="26"/>
  <c r="AD69" i="26" s="1"/>
  <c r="W69" i="26"/>
  <c r="AC69" i="26" s="1"/>
  <c r="V69" i="26"/>
  <c r="AB69" i="26" s="1"/>
  <c r="AG68" i="26"/>
  <c r="AE68" i="26"/>
  <c r="X68" i="26"/>
  <c r="AD68" i="26" s="1"/>
  <c r="W68" i="26"/>
  <c r="AC68" i="26" s="1"/>
  <c r="V68" i="26"/>
  <c r="AB68" i="26" s="1"/>
  <c r="AG67" i="26"/>
  <c r="AE67" i="26"/>
  <c r="X67" i="26"/>
  <c r="AD67" i="26" s="1"/>
  <c r="W67" i="26"/>
  <c r="AC67" i="26" s="1"/>
  <c r="V67" i="26"/>
  <c r="AB67" i="26" s="1"/>
  <c r="AG66" i="26"/>
  <c r="AE66" i="26"/>
  <c r="X66" i="26"/>
  <c r="AD66" i="26" s="1"/>
  <c r="W66" i="26"/>
  <c r="AC66" i="26" s="1"/>
  <c r="V66" i="26"/>
  <c r="AB66" i="26" s="1"/>
  <c r="AG65" i="26"/>
  <c r="AE65" i="26"/>
  <c r="X65" i="26"/>
  <c r="AD65" i="26" s="1"/>
  <c r="W65" i="26"/>
  <c r="AC65" i="26" s="1"/>
  <c r="V65" i="26"/>
  <c r="AB65" i="26" s="1"/>
  <c r="AG64" i="26"/>
  <c r="AE64" i="26"/>
  <c r="X64" i="26"/>
  <c r="AD64" i="26" s="1"/>
  <c r="W64" i="26"/>
  <c r="AC64" i="26" s="1"/>
  <c r="V64" i="26"/>
  <c r="AB64" i="26" s="1"/>
  <c r="AG63" i="26"/>
  <c r="AE63" i="26"/>
  <c r="X63" i="26"/>
  <c r="AD63" i="26" s="1"/>
  <c r="W63" i="26"/>
  <c r="AC63" i="26" s="1"/>
  <c r="V63" i="26"/>
  <c r="AB63" i="26" s="1"/>
  <c r="AG62" i="26"/>
  <c r="AE62" i="26"/>
  <c r="X62" i="26"/>
  <c r="AD62" i="26" s="1"/>
  <c r="W62" i="26"/>
  <c r="AC62" i="26" s="1"/>
  <c r="V62" i="26"/>
  <c r="AB62" i="26" s="1"/>
  <c r="AG61" i="26"/>
  <c r="AF61" i="26"/>
  <c r="X61" i="26"/>
  <c r="AD61" i="26" s="1"/>
  <c r="W61" i="26"/>
  <c r="AC61" i="26" s="1"/>
  <c r="V61" i="26"/>
  <c r="AB61" i="26" s="1"/>
  <c r="AG60" i="26"/>
  <c r="AF60" i="26"/>
  <c r="X60" i="26"/>
  <c r="AD60" i="26" s="1"/>
  <c r="W60" i="26"/>
  <c r="AC60" i="26" s="1"/>
  <c r="V60" i="26"/>
  <c r="AB60" i="26" s="1"/>
  <c r="AG59" i="26"/>
  <c r="AF59" i="26"/>
  <c r="X59" i="26"/>
  <c r="AD59" i="26" s="1"/>
  <c r="W59" i="26"/>
  <c r="AC59" i="26" s="1"/>
  <c r="V59" i="26"/>
  <c r="AB59" i="26" s="1"/>
  <c r="AG58" i="26"/>
  <c r="AF58" i="26"/>
  <c r="X58" i="26"/>
  <c r="AD58" i="26" s="1"/>
  <c r="W58" i="26"/>
  <c r="AC58" i="26" s="1"/>
  <c r="V58" i="26"/>
  <c r="AB58" i="26" s="1"/>
  <c r="AG57" i="26"/>
  <c r="AF57" i="26"/>
  <c r="X57" i="26"/>
  <c r="AD57" i="26" s="1"/>
  <c r="W57" i="26"/>
  <c r="AC57" i="26" s="1"/>
  <c r="V57" i="26"/>
  <c r="AB57" i="26" s="1"/>
  <c r="AG56" i="26"/>
  <c r="AF56" i="26"/>
  <c r="X56" i="26"/>
  <c r="AD56" i="26" s="1"/>
  <c r="W56" i="26"/>
  <c r="AC56" i="26" s="1"/>
  <c r="V56" i="26"/>
  <c r="AB56" i="26" s="1"/>
  <c r="AG55" i="26"/>
  <c r="AF55" i="26"/>
  <c r="X55" i="26"/>
  <c r="AD55" i="26" s="1"/>
  <c r="W55" i="26"/>
  <c r="AC55" i="26" s="1"/>
  <c r="V55" i="26"/>
  <c r="AB55" i="26" s="1"/>
  <c r="AG54" i="26"/>
  <c r="AF54" i="26"/>
  <c r="X54" i="26"/>
  <c r="AD54" i="26" s="1"/>
  <c r="W54" i="26"/>
  <c r="AC54" i="26" s="1"/>
  <c r="V54" i="26"/>
  <c r="AB54" i="26" s="1"/>
  <c r="AG53" i="26"/>
  <c r="AF53" i="26"/>
  <c r="X53" i="26"/>
  <c r="AD53" i="26" s="1"/>
  <c r="W53" i="26"/>
  <c r="AC53" i="26" s="1"/>
  <c r="V53" i="26"/>
  <c r="AB53" i="26" s="1"/>
  <c r="AG52" i="26"/>
  <c r="AF52" i="26"/>
  <c r="X52" i="26"/>
  <c r="AD52" i="26" s="1"/>
  <c r="W52" i="26"/>
  <c r="AC52" i="26" s="1"/>
  <c r="V52" i="26"/>
  <c r="AB52" i="26" s="1"/>
  <c r="AG51" i="26"/>
  <c r="AF51" i="26"/>
  <c r="X51" i="26"/>
  <c r="AD51" i="26" s="1"/>
  <c r="W51" i="26"/>
  <c r="AC51" i="26" s="1"/>
  <c r="V51" i="26"/>
  <c r="AB51" i="26" s="1"/>
  <c r="AG50" i="26"/>
  <c r="AF50" i="26"/>
  <c r="X50" i="26"/>
  <c r="AD50" i="26" s="1"/>
  <c r="W50" i="26"/>
  <c r="AC50" i="26" s="1"/>
  <c r="V50" i="26"/>
  <c r="AB50" i="26" s="1"/>
  <c r="AG49" i="26"/>
  <c r="AE49" i="26"/>
  <c r="X49" i="26"/>
  <c r="AD49" i="26" s="1"/>
  <c r="W49" i="26"/>
  <c r="AC49" i="26" s="1"/>
  <c r="V49" i="26"/>
  <c r="AB49" i="26" s="1"/>
  <c r="AG48" i="26"/>
  <c r="AE48" i="26"/>
  <c r="X48" i="26"/>
  <c r="AD48" i="26" s="1"/>
  <c r="W48" i="26"/>
  <c r="AC48" i="26" s="1"/>
  <c r="V48" i="26"/>
  <c r="AB48" i="26" s="1"/>
  <c r="AG47" i="26"/>
  <c r="AE47" i="26"/>
  <c r="X47" i="26"/>
  <c r="AD47" i="26" s="1"/>
  <c r="W47" i="26"/>
  <c r="AC47" i="26" s="1"/>
  <c r="V47" i="26"/>
  <c r="AB47" i="26" s="1"/>
  <c r="AG46" i="26"/>
  <c r="AE46" i="26"/>
  <c r="X46" i="26"/>
  <c r="AD46" i="26" s="1"/>
  <c r="W46" i="26"/>
  <c r="AC46" i="26" s="1"/>
  <c r="V46" i="26"/>
  <c r="AB46" i="26" s="1"/>
  <c r="AG45" i="26"/>
  <c r="AE45" i="26"/>
  <c r="X45" i="26"/>
  <c r="AD45" i="26" s="1"/>
  <c r="W45" i="26"/>
  <c r="AC45" i="26" s="1"/>
  <c r="V45" i="26"/>
  <c r="AB45" i="26" s="1"/>
  <c r="AG44" i="26"/>
  <c r="AE44" i="26"/>
  <c r="X44" i="26"/>
  <c r="AD44" i="26" s="1"/>
  <c r="W44" i="26"/>
  <c r="AC44" i="26" s="1"/>
  <c r="V44" i="26"/>
  <c r="AB44" i="26" s="1"/>
  <c r="AG43" i="26"/>
  <c r="AE43" i="26"/>
  <c r="X43" i="26"/>
  <c r="AD43" i="26" s="1"/>
  <c r="W43" i="26"/>
  <c r="AC43" i="26" s="1"/>
  <c r="V43" i="26"/>
  <c r="AB43" i="26" s="1"/>
  <c r="AG42" i="26"/>
  <c r="AE42" i="26"/>
  <c r="X42" i="26"/>
  <c r="AD42" i="26" s="1"/>
  <c r="W42" i="26"/>
  <c r="AC42" i="26" s="1"/>
  <c r="V42" i="26"/>
  <c r="AB42" i="26" s="1"/>
  <c r="AG41" i="26"/>
  <c r="AE41" i="26"/>
  <c r="X41" i="26"/>
  <c r="AD41" i="26" s="1"/>
  <c r="W41" i="26"/>
  <c r="AC41" i="26" s="1"/>
  <c r="V41" i="26"/>
  <c r="AB41" i="26" s="1"/>
  <c r="AG40" i="26"/>
  <c r="AE40" i="26"/>
  <c r="X40" i="26"/>
  <c r="AD40" i="26" s="1"/>
  <c r="W40" i="26"/>
  <c r="AC40" i="26" s="1"/>
  <c r="V40" i="26"/>
  <c r="AB40" i="26" s="1"/>
  <c r="AG39" i="26"/>
  <c r="AE39" i="26"/>
  <c r="X39" i="26"/>
  <c r="AD39" i="26" s="1"/>
  <c r="W39" i="26"/>
  <c r="AC39" i="26" s="1"/>
  <c r="V39" i="26"/>
  <c r="AB39" i="26" s="1"/>
  <c r="AG38" i="26"/>
  <c r="AE38" i="26"/>
  <c r="X38" i="26"/>
  <c r="AD38" i="26" s="1"/>
  <c r="W38" i="26"/>
  <c r="AC38" i="26" s="1"/>
  <c r="V38" i="26"/>
  <c r="AB38" i="26" s="1"/>
  <c r="AE37" i="26"/>
  <c r="X37" i="26"/>
  <c r="AD37" i="26" s="1"/>
  <c r="W37" i="26"/>
  <c r="AC37" i="26" s="1"/>
  <c r="V37" i="26"/>
  <c r="AB37" i="26" s="1"/>
  <c r="AE36" i="26"/>
  <c r="X36" i="26"/>
  <c r="AD36" i="26" s="1"/>
  <c r="W36" i="26"/>
  <c r="AC36" i="26" s="1"/>
  <c r="V36" i="26"/>
  <c r="AB36" i="26" s="1"/>
  <c r="AE35" i="26"/>
  <c r="X35" i="26"/>
  <c r="AD35" i="26" s="1"/>
  <c r="W35" i="26"/>
  <c r="AC35" i="26" s="1"/>
  <c r="V35" i="26"/>
  <c r="AB35" i="26" s="1"/>
  <c r="AE34" i="26"/>
  <c r="X34" i="26"/>
  <c r="AD34" i="26" s="1"/>
  <c r="W34" i="26"/>
  <c r="AC34" i="26" s="1"/>
  <c r="V34" i="26"/>
  <c r="AB34" i="26" s="1"/>
  <c r="AE33" i="26"/>
  <c r="X33" i="26"/>
  <c r="AD33" i="26" s="1"/>
  <c r="W33" i="26"/>
  <c r="AC33" i="26" s="1"/>
  <c r="V33" i="26"/>
  <c r="AB33" i="26" s="1"/>
  <c r="AE32" i="26"/>
  <c r="X32" i="26"/>
  <c r="AD32" i="26" s="1"/>
  <c r="W32" i="26"/>
  <c r="AC32" i="26" s="1"/>
  <c r="V32" i="26"/>
  <c r="AB32" i="26" s="1"/>
  <c r="AE31" i="26"/>
  <c r="X31" i="26"/>
  <c r="AD31" i="26" s="1"/>
  <c r="W31" i="26"/>
  <c r="AC31" i="26" s="1"/>
  <c r="V31" i="26"/>
  <c r="AB31" i="26" s="1"/>
  <c r="AE30" i="26"/>
  <c r="X30" i="26"/>
  <c r="AD30" i="26" s="1"/>
  <c r="W30" i="26"/>
  <c r="AC30" i="26" s="1"/>
  <c r="V30" i="26"/>
  <c r="AB30" i="26" s="1"/>
  <c r="AE29" i="26"/>
  <c r="X29" i="26"/>
  <c r="AD29" i="26" s="1"/>
  <c r="W29" i="26"/>
  <c r="AC29" i="26" s="1"/>
  <c r="V29" i="26"/>
  <c r="AB29" i="26" s="1"/>
  <c r="AE28" i="26"/>
  <c r="X28" i="26"/>
  <c r="AD28" i="26" s="1"/>
  <c r="W28" i="26"/>
  <c r="AC28" i="26" s="1"/>
  <c r="V28" i="26"/>
  <c r="AB28" i="26" s="1"/>
  <c r="AE27" i="26"/>
  <c r="X27" i="26"/>
  <c r="AD27" i="26" s="1"/>
  <c r="W27" i="26"/>
  <c r="AC27" i="26" s="1"/>
  <c r="V27" i="26"/>
  <c r="AB27" i="26" s="1"/>
  <c r="AE26" i="26"/>
  <c r="X26" i="26"/>
  <c r="AD26" i="26" s="1"/>
  <c r="W26" i="26"/>
  <c r="AC26" i="26" s="1"/>
  <c r="V26" i="26"/>
  <c r="AB26" i="26" s="1"/>
  <c r="AG25" i="26"/>
  <c r="AF25" i="26"/>
  <c r="X25" i="26"/>
  <c r="AD25" i="26" s="1"/>
  <c r="W25" i="26"/>
  <c r="AC25" i="26" s="1"/>
  <c r="V25" i="26"/>
  <c r="AB25" i="26" s="1"/>
  <c r="AG24" i="26"/>
  <c r="AF24" i="26"/>
  <c r="X24" i="26"/>
  <c r="AD24" i="26" s="1"/>
  <c r="W24" i="26"/>
  <c r="AC24" i="26" s="1"/>
  <c r="V24" i="26"/>
  <c r="AB24" i="26" s="1"/>
  <c r="AG23" i="26"/>
  <c r="AF23" i="26"/>
  <c r="X23" i="26"/>
  <c r="AD23" i="26" s="1"/>
  <c r="W23" i="26"/>
  <c r="AC23" i="26" s="1"/>
  <c r="V23" i="26"/>
  <c r="AB23" i="26" s="1"/>
  <c r="AG22" i="26"/>
  <c r="AF22" i="26"/>
  <c r="X22" i="26"/>
  <c r="AD22" i="26" s="1"/>
  <c r="W22" i="26"/>
  <c r="AC22" i="26" s="1"/>
  <c r="V22" i="26"/>
  <c r="AB22" i="26" s="1"/>
  <c r="AG21" i="26"/>
  <c r="AF21" i="26"/>
  <c r="X21" i="26"/>
  <c r="AD21" i="26" s="1"/>
  <c r="W21" i="26"/>
  <c r="AC21" i="26" s="1"/>
  <c r="V21" i="26"/>
  <c r="AB21" i="26" s="1"/>
  <c r="AG20" i="26"/>
  <c r="AF20" i="26"/>
  <c r="X20" i="26"/>
  <c r="AD20" i="26" s="1"/>
  <c r="W20" i="26"/>
  <c r="AC20" i="26" s="1"/>
  <c r="V20" i="26"/>
  <c r="AB20" i="26" s="1"/>
  <c r="AG19" i="26"/>
  <c r="AF19" i="26"/>
  <c r="X19" i="26"/>
  <c r="AD19" i="26" s="1"/>
  <c r="W19" i="26"/>
  <c r="AC19" i="26" s="1"/>
  <c r="V19" i="26"/>
  <c r="AB19" i="26" s="1"/>
  <c r="AG18" i="26"/>
  <c r="AF18" i="26"/>
  <c r="X18" i="26"/>
  <c r="AD18" i="26" s="1"/>
  <c r="W18" i="26"/>
  <c r="AC18" i="26" s="1"/>
  <c r="V18" i="26"/>
  <c r="AB18" i="26" s="1"/>
  <c r="AG17" i="26"/>
  <c r="AF17" i="26"/>
  <c r="X17" i="26"/>
  <c r="AD17" i="26" s="1"/>
  <c r="W17" i="26"/>
  <c r="AC17" i="26" s="1"/>
  <c r="V17" i="26"/>
  <c r="AB17" i="26" s="1"/>
  <c r="AG16" i="26"/>
  <c r="AF16" i="26"/>
  <c r="X16" i="26"/>
  <c r="AD16" i="26" s="1"/>
  <c r="W16" i="26"/>
  <c r="AC16" i="26" s="1"/>
  <c r="V16" i="26"/>
  <c r="AB16" i="26" s="1"/>
  <c r="AG15" i="26"/>
  <c r="AF15" i="26"/>
  <c r="X15" i="26"/>
  <c r="AD15" i="26" s="1"/>
  <c r="W15" i="26"/>
  <c r="AC15" i="26" s="1"/>
  <c r="V15" i="26"/>
  <c r="AB15" i="26" s="1"/>
  <c r="AG14" i="26"/>
  <c r="AF14" i="26"/>
  <c r="X14" i="26"/>
  <c r="AD14" i="26" s="1"/>
  <c r="W14" i="26"/>
  <c r="AC14" i="26" s="1"/>
  <c r="V14" i="26"/>
  <c r="AB14" i="26" s="1"/>
  <c r="AE13" i="26"/>
  <c r="X13" i="26"/>
  <c r="AD13" i="26" s="1"/>
  <c r="W13" i="26"/>
  <c r="AC13" i="26" s="1"/>
  <c r="V13" i="26"/>
  <c r="AB13" i="26" s="1"/>
  <c r="AE12" i="26"/>
  <c r="X12" i="26"/>
  <c r="AD12" i="26" s="1"/>
  <c r="W12" i="26"/>
  <c r="AC12" i="26" s="1"/>
  <c r="V12" i="26"/>
  <c r="AB12" i="26" s="1"/>
  <c r="AE11" i="26"/>
  <c r="X11" i="26"/>
  <c r="AD11" i="26" s="1"/>
  <c r="W11" i="26"/>
  <c r="AC11" i="26" s="1"/>
  <c r="V11" i="26"/>
  <c r="AB11" i="26" s="1"/>
  <c r="AE10" i="26"/>
  <c r="X10" i="26"/>
  <c r="AD10" i="26" s="1"/>
  <c r="W10" i="26"/>
  <c r="AC10" i="26" s="1"/>
  <c r="V10" i="26"/>
  <c r="AB10" i="26" s="1"/>
  <c r="AE9" i="26"/>
  <c r="X9" i="26"/>
  <c r="AD9" i="26" s="1"/>
  <c r="W9" i="26"/>
  <c r="AC9" i="26" s="1"/>
  <c r="V9" i="26"/>
  <c r="AB9" i="26" s="1"/>
  <c r="AE8" i="26"/>
  <c r="X8" i="26"/>
  <c r="AD8" i="26" s="1"/>
  <c r="W8" i="26"/>
  <c r="AC8" i="26" s="1"/>
  <c r="V8" i="26"/>
  <c r="AB8" i="26" s="1"/>
  <c r="AE7" i="26"/>
  <c r="X7" i="26"/>
  <c r="AD7" i="26" s="1"/>
  <c r="W7" i="26"/>
  <c r="AC7" i="26" s="1"/>
  <c r="V7" i="26"/>
  <c r="AB7" i="26" s="1"/>
  <c r="AE6" i="26"/>
  <c r="X6" i="26"/>
  <c r="AD6" i="26" s="1"/>
  <c r="W6" i="26"/>
  <c r="AC6" i="26" s="1"/>
  <c r="V6" i="26"/>
  <c r="AB6" i="26" s="1"/>
  <c r="AE5" i="26"/>
  <c r="X5" i="26"/>
  <c r="AD5" i="26" s="1"/>
  <c r="W5" i="26"/>
  <c r="AC5" i="26" s="1"/>
  <c r="V5" i="26"/>
  <c r="AB5" i="26" s="1"/>
  <c r="AE4" i="26"/>
  <c r="X4" i="26"/>
  <c r="AD4" i="26" s="1"/>
  <c r="W4" i="26"/>
  <c r="AC4" i="26" s="1"/>
  <c r="V4" i="26"/>
  <c r="AB4" i="26" s="1"/>
  <c r="AE3" i="26"/>
  <c r="X3" i="26"/>
  <c r="AD3" i="26" s="1"/>
  <c r="W3" i="26"/>
  <c r="AC3" i="26" s="1"/>
  <c r="V3" i="26"/>
  <c r="AB3" i="26" s="1"/>
  <c r="AE2" i="26"/>
  <c r="X2" i="26"/>
  <c r="AD2" i="26" s="1"/>
  <c r="W2" i="26"/>
  <c r="AC2" i="26" s="1"/>
  <c r="V2" i="26"/>
  <c r="AB2" i="26" s="1"/>
  <c r="AG42" i="25"/>
  <c r="AF42" i="25"/>
  <c r="AC42" i="25"/>
  <c r="AG41" i="25"/>
  <c r="AF41" i="25"/>
  <c r="AE41" i="25"/>
  <c r="AE42" i="25" s="1"/>
  <c r="AD41" i="25"/>
  <c r="AD42" i="25" s="1"/>
  <c r="AC41" i="25"/>
  <c r="AG40" i="25"/>
  <c r="AF40" i="25"/>
  <c r="AE40" i="25"/>
  <c r="AD40" i="25"/>
  <c r="AG39" i="25"/>
  <c r="AF39" i="25"/>
  <c r="AE39" i="25"/>
  <c r="AD39" i="25"/>
  <c r="AG36" i="25"/>
  <c r="AG37" i="25" s="1"/>
  <c r="AG38" i="25" s="1"/>
  <c r="AF36" i="25"/>
  <c r="AF37" i="25" s="1"/>
  <c r="AF38" i="25" s="1"/>
  <c r="AE36" i="25"/>
  <c r="AE37" i="25" s="1"/>
  <c r="AE38" i="25" s="1"/>
  <c r="AD36" i="25"/>
  <c r="AD37" i="25" s="1"/>
  <c r="AD38" i="25" s="1"/>
  <c r="AC36" i="25"/>
  <c r="AC37" i="25" s="1"/>
  <c r="AC38" i="25" s="1"/>
  <c r="AC39" i="25" s="1"/>
  <c r="AC40" i="25" s="1"/>
  <c r="AG35" i="25"/>
  <c r="AF35" i="25"/>
  <c r="AG34" i="25"/>
  <c r="AF34" i="25"/>
  <c r="AE34" i="25"/>
  <c r="AE35" i="25" s="1"/>
  <c r="AG33" i="25"/>
  <c r="AF33" i="25"/>
  <c r="AE33" i="25"/>
  <c r="AD33" i="25"/>
  <c r="AD34" i="25" s="1"/>
  <c r="AD35" i="25" s="1"/>
  <c r="AG32" i="25"/>
  <c r="AF32" i="25"/>
  <c r="AE32" i="25"/>
  <c r="AD32" i="25"/>
  <c r="AG29" i="25"/>
  <c r="AG30" i="25" s="1"/>
  <c r="AG31" i="25" s="1"/>
  <c r="AF29" i="25"/>
  <c r="AF30" i="25" s="1"/>
  <c r="AF31" i="25" s="1"/>
  <c r="AE29" i="25"/>
  <c r="AE30" i="25" s="1"/>
  <c r="AE31" i="25" s="1"/>
  <c r="AD29" i="25"/>
  <c r="AD30" i="25" s="1"/>
  <c r="AD31" i="25" s="1"/>
  <c r="AG28" i="25"/>
  <c r="AF28" i="25"/>
  <c r="AE28" i="25"/>
  <c r="AD28" i="25"/>
  <c r="AG25" i="25"/>
  <c r="AG26" i="25" s="1"/>
  <c r="AG27" i="25" s="1"/>
  <c r="AF25" i="25"/>
  <c r="AF26" i="25" s="1"/>
  <c r="AF27" i="25" s="1"/>
  <c r="AE25" i="25"/>
  <c r="AE26" i="25" s="1"/>
  <c r="AE27" i="25" s="1"/>
  <c r="AD25" i="25"/>
  <c r="AD26" i="25" s="1"/>
  <c r="AD27" i="25" s="1"/>
  <c r="AG24" i="25"/>
  <c r="AF24" i="25"/>
  <c r="AE24" i="25"/>
  <c r="AD24" i="25"/>
  <c r="AG21" i="25"/>
  <c r="AG22" i="25" s="1"/>
  <c r="AG23" i="25" s="1"/>
  <c r="AF21" i="25"/>
  <c r="AF22" i="25" s="1"/>
  <c r="AF23" i="25" s="1"/>
  <c r="AE21" i="25"/>
  <c r="AE22" i="25" s="1"/>
  <c r="AE23" i="25" s="1"/>
  <c r="AD21" i="25"/>
  <c r="AD22" i="25" s="1"/>
  <c r="AD23" i="25" s="1"/>
  <c r="AC21" i="25"/>
  <c r="AC22" i="25" s="1"/>
  <c r="AC23" i="25" s="1"/>
  <c r="AC24" i="25" s="1"/>
  <c r="AC25" i="25" s="1"/>
  <c r="AC26" i="25" s="1"/>
  <c r="AC27" i="25" s="1"/>
  <c r="AC28" i="25" s="1"/>
  <c r="AC29" i="25" s="1"/>
  <c r="AC30" i="25" s="1"/>
  <c r="AC31" i="25" s="1"/>
  <c r="AC32" i="25" s="1"/>
  <c r="AC33" i="25" s="1"/>
  <c r="AC34" i="25" s="1"/>
  <c r="AC35" i="25" s="1"/>
  <c r="AG20" i="25"/>
  <c r="AF20" i="25"/>
  <c r="AG19" i="25"/>
  <c r="AF19" i="25"/>
  <c r="AG18" i="25"/>
  <c r="AF18" i="25"/>
  <c r="AG17" i="25"/>
  <c r="AF17" i="25"/>
  <c r="AG16" i="25"/>
  <c r="AF16" i="25"/>
  <c r="AE16" i="25"/>
  <c r="AE17" i="25" s="1"/>
  <c r="AE18" i="25" s="1"/>
  <c r="AE19" i="25" s="1"/>
  <c r="AE20" i="25" s="1"/>
  <c r="AD16" i="25"/>
  <c r="AD17" i="25" s="1"/>
  <c r="AD18" i="25" s="1"/>
  <c r="AD19" i="25" s="1"/>
  <c r="AD20" i="25" s="1"/>
  <c r="AG15" i="25"/>
  <c r="AF15" i="25"/>
  <c r="AG14" i="25"/>
  <c r="AF14" i="25"/>
  <c r="AG13" i="25"/>
  <c r="AF13" i="25"/>
  <c r="AG12" i="25"/>
  <c r="AF12" i="25"/>
  <c r="AG11" i="25"/>
  <c r="AF11" i="25"/>
  <c r="AE11" i="25"/>
  <c r="AE12" i="25" s="1"/>
  <c r="AE13" i="25" s="1"/>
  <c r="AE14" i="25" s="1"/>
  <c r="AE15" i="25" s="1"/>
  <c r="AD11" i="25"/>
  <c r="AD12" i="25" s="1"/>
  <c r="AD13" i="25" s="1"/>
  <c r="AD14" i="25" s="1"/>
  <c r="AD15" i="25" s="1"/>
  <c r="AG8" i="25"/>
  <c r="AG9" i="25" s="1"/>
  <c r="AG10" i="25" s="1"/>
  <c r="AF8" i="25"/>
  <c r="AF9" i="25" s="1"/>
  <c r="AF10" i="25" s="1"/>
  <c r="AE8" i="25"/>
  <c r="AE9" i="25" s="1"/>
  <c r="AE10" i="25" s="1"/>
  <c r="AD8" i="25"/>
  <c r="AD9" i="25" s="1"/>
  <c r="AD10" i="25" s="1"/>
  <c r="AC8" i="25"/>
  <c r="AC9" i="25" s="1"/>
  <c r="AC10" i="25" s="1"/>
  <c r="AC11" i="25" s="1"/>
  <c r="AC12" i="25" s="1"/>
  <c r="AC13" i="25" s="1"/>
  <c r="AC14" i="25" s="1"/>
  <c r="AC15" i="25" s="1"/>
  <c r="AC16" i="25" s="1"/>
  <c r="AC17" i="25" s="1"/>
  <c r="AC18" i="25" s="1"/>
  <c r="AC19" i="25" s="1"/>
  <c r="AC20" i="25" s="1"/>
  <c r="AG7" i="25"/>
  <c r="AF7" i="25"/>
  <c r="AE7" i="25"/>
  <c r="AD7" i="25"/>
  <c r="AG5" i="25"/>
  <c r="AG6" i="25" s="1"/>
  <c r="AF5" i="25"/>
  <c r="AF6" i="25" s="1"/>
  <c r="AE5" i="25"/>
  <c r="AE6" i="25" s="1"/>
  <c r="AD5" i="25"/>
  <c r="AD6" i="25" s="1"/>
  <c r="AC5" i="25"/>
  <c r="AC6" i="25" s="1"/>
  <c r="Z47" i="25"/>
  <c r="X47" i="25"/>
  <c r="V47" i="25"/>
  <c r="U47" i="25"/>
  <c r="T47" i="25"/>
  <c r="R47" i="25"/>
  <c r="P47" i="25"/>
  <c r="O47" i="25"/>
  <c r="N47" i="25"/>
  <c r="M47" i="25"/>
  <c r="Z46" i="25"/>
  <c r="V46" i="25"/>
  <c r="U46" i="25"/>
  <c r="T46" i="25"/>
  <c r="R46" i="25"/>
  <c r="P46" i="25"/>
  <c r="O46" i="25"/>
  <c r="N46" i="25"/>
  <c r="M46" i="25"/>
  <c r="Z45" i="25"/>
  <c r="Z49" i="25" s="1"/>
  <c r="X45" i="25"/>
  <c r="V45" i="25"/>
  <c r="V49" i="25" s="1"/>
  <c r="U45" i="25"/>
  <c r="U49" i="25" s="1"/>
  <c r="T45" i="25"/>
  <c r="T49" i="25" s="1"/>
  <c r="R45" i="25"/>
  <c r="P45" i="25"/>
  <c r="P49" i="25" s="1"/>
  <c r="O45" i="25"/>
  <c r="O49" i="25" s="1"/>
  <c r="N45" i="25"/>
  <c r="N49" i="25" s="1"/>
  <c r="M45" i="25"/>
  <c r="M49" i="25" s="1"/>
  <c r="AU51" i="24"/>
  <c r="AT51" i="24"/>
  <c r="AU50" i="24"/>
  <c r="AT50" i="24"/>
  <c r="AS50" i="24"/>
  <c r="AS51" i="24" s="1"/>
  <c r="AR50" i="24"/>
  <c r="AV50" i="24" s="1"/>
  <c r="AQ50" i="24"/>
  <c r="AQ51" i="24" s="1"/>
  <c r="AU49" i="24"/>
  <c r="AT49" i="24"/>
  <c r="AS49" i="24"/>
  <c r="AR49" i="24"/>
  <c r="AV49" i="24" s="1"/>
  <c r="AU48" i="24"/>
  <c r="AT48" i="24"/>
  <c r="AS48" i="24"/>
  <c r="AR48" i="24"/>
  <c r="AV48" i="24" s="1"/>
  <c r="AU45" i="24"/>
  <c r="AU46" i="24" s="1"/>
  <c r="AU47" i="24" s="1"/>
  <c r="AT45" i="24"/>
  <c r="AT46" i="24" s="1"/>
  <c r="AT47" i="24" s="1"/>
  <c r="AS45" i="24"/>
  <c r="AS46" i="24" s="1"/>
  <c r="AS47" i="24" s="1"/>
  <c r="AR45" i="24"/>
  <c r="AV45" i="24" s="1"/>
  <c r="AQ45" i="24"/>
  <c r="AQ46" i="24" s="1"/>
  <c r="AQ47" i="24" s="1"/>
  <c r="AQ48" i="24" s="1"/>
  <c r="AQ49" i="24" s="1"/>
  <c r="AU44" i="24"/>
  <c r="AT44" i="24"/>
  <c r="AU43" i="24"/>
  <c r="AT43" i="24"/>
  <c r="AU42" i="24"/>
  <c r="AT42" i="24"/>
  <c r="AS42" i="24"/>
  <c r="AS43" i="24" s="1"/>
  <c r="AS44" i="24" s="1"/>
  <c r="AR42" i="24"/>
  <c r="AV42" i="24" s="1"/>
  <c r="AU41" i="24"/>
  <c r="AT41" i="24"/>
  <c r="AS41" i="24"/>
  <c r="AR41" i="24"/>
  <c r="AV41" i="24" s="1"/>
  <c r="AS39" i="24"/>
  <c r="AS40" i="24" s="1"/>
  <c r="AU38" i="24"/>
  <c r="AU39" i="24" s="1"/>
  <c r="AU40" i="24" s="1"/>
  <c r="AT38" i="24"/>
  <c r="AT39" i="24" s="1"/>
  <c r="AT40" i="24" s="1"/>
  <c r="AS38" i="24"/>
  <c r="AR38" i="24"/>
  <c r="AV38" i="24" s="1"/>
  <c r="AU37" i="24"/>
  <c r="AT37" i="24"/>
  <c r="AS37" i="24"/>
  <c r="AR37" i="24"/>
  <c r="AV37" i="24" s="1"/>
  <c r="AU34" i="24"/>
  <c r="AU35" i="24" s="1"/>
  <c r="AU36" i="24" s="1"/>
  <c r="AT34" i="24"/>
  <c r="AT35" i="24" s="1"/>
  <c r="AT36" i="24" s="1"/>
  <c r="AS34" i="24"/>
  <c r="AS35" i="24" s="1"/>
  <c r="AS36" i="24" s="1"/>
  <c r="AR34" i="24"/>
  <c r="AU33" i="24"/>
  <c r="AT33" i="24"/>
  <c r="AS33" i="24"/>
  <c r="AR33" i="24"/>
  <c r="AV33" i="24" s="1"/>
  <c r="AU30" i="24"/>
  <c r="AU31" i="24" s="1"/>
  <c r="AU32" i="24" s="1"/>
  <c r="AT30" i="24"/>
  <c r="AT31" i="24" s="1"/>
  <c r="AT32" i="24" s="1"/>
  <c r="AS30" i="24"/>
  <c r="AS31" i="24" s="1"/>
  <c r="AS32" i="24" s="1"/>
  <c r="AR30" i="24"/>
  <c r="AV30" i="24" s="1"/>
  <c r="AQ30" i="24"/>
  <c r="AQ31" i="24" s="1"/>
  <c r="AQ32" i="24" s="1"/>
  <c r="AQ33" i="24" s="1"/>
  <c r="AQ34" i="24" s="1"/>
  <c r="AQ35" i="24" s="1"/>
  <c r="AQ36" i="24" s="1"/>
  <c r="AQ37" i="24" s="1"/>
  <c r="AQ38" i="24" s="1"/>
  <c r="AQ39" i="24" s="1"/>
  <c r="AQ40" i="24" s="1"/>
  <c r="AQ41" i="24" s="1"/>
  <c r="AQ42" i="24" s="1"/>
  <c r="AQ43" i="24" s="1"/>
  <c r="AQ44" i="24" s="1"/>
  <c r="AU29" i="24"/>
  <c r="AT29" i="24"/>
  <c r="AU28" i="24"/>
  <c r="AT28" i="24"/>
  <c r="AU27" i="24"/>
  <c r="AT27" i="24"/>
  <c r="AU26" i="24"/>
  <c r="AT26" i="24"/>
  <c r="AU25" i="24"/>
  <c r="AT25" i="24"/>
  <c r="AS25" i="24"/>
  <c r="AS26" i="24" s="1"/>
  <c r="AS27" i="24" s="1"/>
  <c r="AS28" i="24" s="1"/>
  <c r="AS29" i="24" s="1"/>
  <c r="AR25" i="24"/>
  <c r="AV25" i="24" s="1"/>
  <c r="AU24" i="24"/>
  <c r="AT24" i="24"/>
  <c r="AU23" i="24"/>
  <c r="AT23" i="24"/>
  <c r="AU22" i="24"/>
  <c r="AT22" i="24"/>
  <c r="AU21" i="24"/>
  <c r="AT21" i="24"/>
  <c r="AU20" i="24"/>
  <c r="AT20" i="24"/>
  <c r="AS20" i="24"/>
  <c r="AS21" i="24" s="1"/>
  <c r="AS22" i="24" s="1"/>
  <c r="AS23" i="24" s="1"/>
  <c r="AS24" i="24" s="1"/>
  <c r="AR20" i="24"/>
  <c r="AV20" i="24" s="1"/>
  <c r="AU17" i="24"/>
  <c r="AU18" i="24" s="1"/>
  <c r="AU19" i="24" s="1"/>
  <c r="AT17" i="24"/>
  <c r="AT18" i="24" s="1"/>
  <c r="AT19" i="24" s="1"/>
  <c r="AS17" i="24"/>
  <c r="AS18" i="24" s="1"/>
  <c r="AS19" i="24" s="1"/>
  <c r="AR17" i="24"/>
  <c r="AV17" i="24" s="1"/>
  <c r="AQ17" i="24"/>
  <c r="AQ18" i="24" s="1"/>
  <c r="AQ19" i="24" s="1"/>
  <c r="AQ20" i="24" s="1"/>
  <c r="AQ21" i="24" s="1"/>
  <c r="AQ22" i="24" s="1"/>
  <c r="AQ23" i="24" s="1"/>
  <c r="AQ24" i="24" s="1"/>
  <c r="AQ25" i="24" s="1"/>
  <c r="AQ26" i="24" s="1"/>
  <c r="AQ27" i="24" s="1"/>
  <c r="AQ28" i="24" s="1"/>
  <c r="AQ29" i="24" s="1"/>
  <c r="AU16" i="24"/>
  <c r="AU15" i="24"/>
  <c r="AT15" i="24"/>
  <c r="AT16" i="24" s="1"/>
  <c r="AS15" i="24"/>
  <c r="AS16" i="24" s="1"/>
  <c r="AR15" i="24"/>
  <c r="AV15" i="24" s="1"/>
  <c r="AQ15" i="24"/>
  <c r="AQ16" i="24" s="1"/>
  <c r="AU13" i="24"/>
  <c r="AU14" i="24" s="1"/>
  <c r="AU10" i="24"/>
  <c r="AU11" i="24" s="1"/>
  <c r="AU12" i="24" s="1"/>
  <c r="AT10" i="24"/>
  <c r="AT11" i="24" s="1"/>
  <c r="AT12" i="24" s="1"/>
  <c r="AT13" i="24" s="1"/>
  <c r="AT14" i="24" s="1"/>
  <c r="AS10" i="24"/>
  <c r="AS11" i="24" s="1"/>
  <c r="AS12" i="24" s="1"/>
  <c r="AS13" i="24" s="1"/>
  <c r="AS14" i="24" s="1"/>
  <c r="AR10" i="24"/>
  <c r="AV10" i="24" s="1"/>
  <c r="AU9" i="24"/>
  <c r="AT9" i="24"/>
  <c r="AS9" i="24"/>
  <c r="AR9" i="24"/>
  <c r="AV9" i="24" s="1"/>
  <c r="AU8" i="24"/>
  <c r="AT6" i="24"/>
  <c r="AT7" i="24" s="1"/>
  <c r="AT8" i="24" s="1"/>
  <c r="AU5" i="24"/>
  <c r="AU6" i="24" s="1"/>
  <c r="AU7" i="24" s="1"/>
  <c r="AT5" i="24"/>
  <c r="AS5" i="24"/>
  <c r="AS6" i="24" s="1"/>
  <c r="AS7" i="24" s="1"/>
  <c r="AS8" i="24" s="1"/>
  <c r="AR5" i="24"/>
  <c r="AV5" i="24" s="1"/>
  <c r="AQ5" i="24"/>
  <c r="AL57" i="24"/>
  <c r="AG57" i="24"/>
  <c r="AD57" i="24"/>
  <c r="AB57" i="24"/>
  <c r="T57" i="24"/>
  <c r="AK56" i="24"/>
  <c r="AJ56" i="24"/>
  <c r="AI56" i="24"/>
  <c r="AH56" i="24"/>
  <c r="AF56" i="24"/>
  <c r="AE56" i="24"/>
  <c r="AC56" i="24"/>
  <c r="AA56" i="24"/>
  <c r="Z56" i="24"/>
  <c r="Y56" i="24"/>
  <c r="X56" i="24"/>
  <c r="W56" i="24"/>
  <c r="V56" i="24"/>
  <c r="U56" i="24"/>
  <c r="S56" i="24"/>
  <c r="R56" i="24"/>
  <c r="Q56" i="24"/>
  <c r="P56" i="24"/>
  <c r="O56" i="24"/>
  <c r="M56" i="24"/>
  <c r="L56" i="24"/>
  <c r="AK55" i="24"/>
  <c r="AJ55" i="24"/>
  <c r="AI55" i="24"/>
  <c r="AH55" i="24"/>
  <c r="AF55" i="24"/>
  <c r="AP54" i="24" s="1"/>
  <c r="AC55" i="24"/>
  <c r="AA55" i="24"/>
  <c r="Z55" i="24"/>
  <c r="Y55" i="24"/>
  <c r="X55" i="24"/>
  <c r="W55" i="24"/>
  <c r="V55" i="24"/>
  <c r="U55" i="24"/>
  <c r="S55" i="24"/>
  <c r="R55" i="24"/>
  <c r="Q55" i="24"/>
  <c r="P55" i="24"/>
  <c r="O55" i="24"/>
  <c r="M55" i="24"/>
  <c r="L55" i="24"/>
  <c r="F14" i="23"/>
  <c r="J14" i="23" s="1"/>
  <c r="F13" i="23"/>
  <c r="J13" i="23" s="1"/>
  <c r="F12" i="23"/>
  <c r="J12" i="23" s="1"/>
  <c r="F11" i="23"/>
  <c r="J11" i="23" s="1"/>
  <c r="F10" i="23"/>
  <c r="J10" i="23" s="1"/>
  <c r="F9" i="23"/>
  <c r="J9" i="23" s="1"/>
  <c r="F8" i="23"/>
  <c r="F7" i="23"/>
  <c r="J7" i="23" s="1"/>
  <c r="F6" i="23"/>
  <c r="J6" i="23" s="1"/>
  <c r="F5" i="23"/>
  <c r="J5" i="23" s="1"/>
  <c r="AE13" i="21"/>
  <c r="AD13" i="21"/>
  <c r="AC13" i="21"/>
  <c r="AB13" i="21"/>
  <c r="AA13" i="21"/>
  <c r="W13" i="21"/>
  <c r="V13" i="21"/>
  <c r="U13" i="21"/>
  <c r="T13" i="21"/>
  <c r="S13" i="21"/>
  <c r="Y13" i="21" s="1"/>
  <c r="R13" i="21"/>
  <c r="AE12" i="21"/>
  <c r="AD12" i="21"/>
  <c r="AE8" i="21"/>
  <c r="AD8" i="21"/>
  <c r="AC8" i="21"/>
  <c r="AB8" i="21"/>
  <c r="AA8" i="21"/>
  <c r="W8" i="21"/>
  <c r="V8" i="21"/>
  <c r="U8" i="21"/>
  <c r="T8" i="21"/>
  <c r="S8" i="21"/>
  <c r="R8" i="21"/>
  <c r="AE6" i="21"/>
  <c r="AD6" i="21"/>
  <c r="AC6" i="21"/>
  <c r="AB6" i="21"/>
  <c r="AA6" i="21"/>
  <c r="W6" i="21"/>
  <c r="V6" i="21"/>
  <c r="U6" i="21"/>
  <c r="T6" i="21"/>
  <c r="S6" i="21"/>
  <c r="R6" i="21"/>
  <c r="AE5" i="21"/>
  <c r="AD5" i="21"/>
  <c r="AC5" i="21"/>
  <c r="AB5" i="21"/>
  <c r="AA5" i="21"/>
  <c r="W5" i="21"/>
  <c r="V5" i="21"/>
  <c r="U5" i="21"/>
  <c r="T5" i="21"/>
  <c r="S5" i="21"/>
  <c r="R5" i="21"/>
  <c r="AE4" i="21"/>
  <c r="AD4" i="21"/>
  <c r="AC4" i="21"/>
  <c r="AB4" i="21"/>
  <c r="AA4" i="21"/>
  <c r="W4" i="21"/>
  <c r="V4" i="21"/>
  <c r="U4" i="21"/>
  <c r="T4" i="21"/>
  <c r="S4" i="21"/>
  <c r="R4" i="21"/>
  <c r="AE3" i="21"/>
  <c r="AD3" i="21"/>
  <c r="AC3" i="21"/>
  <c r="AB3" i="21"/>
  <c r="AA3" i="21"/>
  <c r="W3" i="21"/>
  <c r="V3" i="21"/>
  <c r="U3" i="21"/>
  <c r="T3" i="21"/>
  <c r="S3" i="21"/>
  <c r="R3" i="21"/>
  <c r="J367" i="21"/>
  <c r="J366" i="21"/>
  <c r="M366" i="21" s="1"/>
  <c r="J365" i="21"/>
  <c r="M365" i="21" s="1"/>
  <c r="J364" i="21"/>
  <c r="M364" i="21" s="1"/>
  <c r="J363" i="21"/>
  <c r="M363" i="21" s="1"/>
  <c r="J362" i="21"/>
  <c r="M362" i="21" s="1"/>
  <c r="J361" i="21"/>
  <c r="J360" i="21"/>
  <c r="M360" i="21" s="1"/>
  <c r="J359" i="21"/>
  <c r="M359" i="21" s="1"/>
  <c r="J358" i="21"/>
  <c r="M358" i="21" s="1"/>
  <c r="J357" i="21"/>
  <c r="M357" i="21" s="1"/>
  <c r="J356" i="21"/>
  <c r="M356" i="21" s="1"/>
  <c r="J379" i="21"/>
  <c r="M379" i="21" s="1"/>
  <c r="J378" i="21"/>
  <c r="M378" i="21" s="1"/>
  <c r="J377" i="21"/>
  <c r="M377" i="21" s="1"/>
  <c r="J376" i="21"/>
  <c r="M376" i="21" s="1"/>
  <c r="J375" i="21"/>
  <c r="M375" i="21" s="1"/>
  <c r="J374" i="21"/>
  <c r="M374" i="21" s="1"/>
  <c r="J373" i="21"/>
  <c r="M373" i="21" s="1"/>
  <c r="J372" i="21"/>
  <c r="M372" i="21" s="1"/>
  <c r="J371" i="21"/>
  <c r="M371" i="21" s="1"/>
  <c r="J370" i="21"/>
  <c r="M370" i="21" s="1"/>
  <c r="J369" i="21"/>
  <c r="M369" i="21" s="1"/>
  <c r="J368" i="21"/>
  <c r="M367" i="21"/>
  <c r="M361" i="21"/>
  <c r="J355" i="21"/>
  <c r="M355" i="21" s="1"/>
  <c r="J354" i="21"/>
  <c r="M354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J306" i="21"/>
  <c r="M306" i="21" s="1"/>
  <c r="J305" i="21"/>
  <c r="M305" i="21" s="1"/>
  <c r="J304" i="21"/>
  <c r="M304" i="21" s="1"/>
  <c r="J303" i="21"/>
  <c r="M303" i="21" s="1"/>
  <c r="J302" i="21"/>
  <c r="M302" i="21" s="1"/>
  <c r="J301" i="21"/>
  <c r="M301" i="21" s="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M279" i="21" s="1"/>
  <c r="J278" i="21"/>
  <c r="M278" i="21" s="1"/>
  <c r="J277" i="21"/>
  <c r="M277" i="21" s="1"/>
  <c r="J276" i="21"/>
  <c r="M276" i="21" s="1"/>
  <c r="J275" i="21"/>
  <c r="M275" i="21" s="1"/>
  <c r="J274" i="21"/>
  <c r="M274" i="21" s="1"/>
  <c r="J273" i="21"/>
  <c r="M273" i="21" s="1"/>
  <c r="J272" i="21"/>
  <c r="M272" i="21" s="1"/>
  <c r="J271" i="21"/>
  <c r="M271" i="21" s="1"/>
  <c r="J270" i="21"/>
  <c r="M270" i="21" s="1"/>
  <c r="J269" i="21"/>
  <c r="M269" i="21" s="1"/>
  <c r="J268" i="21"/>
  <c r="M268" i="21" s="1"/>
  <c r="J267" i="21"/>
  <c r="M267" i="21" s="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J259" i="21"/>
  <c r="M259" i="21" s="1"/>
  <c r="J258" i="21"/>
  <c r="M258" i="21" s="1"/>
  <c r="J257" i="21"/>
  <c r="M257" i="21" s="1"/>
  <c r="J256" i="21"/>
  <c r="M256" i="21" s="1"/>
  <c r="J255" i="21"/>
  <c r="M255" i="21" s="1"/>
  <c r="J254" i="21"/>
  <c r="M254" i="21" s="1"/>
  <c r="J253" i="21"/>
  <c r="M253" i="21" s="1"/>
  <c r="J252" i="21"/>
  <c r="M252" i="21" s="1"/>
  <c r="J251" i="21"/>
  <c r="M251" i="21" s="1"/>
  <c r="J250" i="21"/>
  <c r="M250" i="21" s="1"/>
  <c r="J249" i="21"/>
  <c r="M249" i="21" s="1"/>
  <c r="J248" i="21"/>
  <c r="M248" i="21" s="1"/>
  <c r="J247" i="21"/>
  <c r="M247" i="21" s="1"/>
  <c r="J246" i="21"/>
  <c r="M246" i="21" s="1"/>
  <c r="J245" i="21"/>
  <c r="M245" i="21" s="1"/>
  <c r="M244" i="21"/>
  <c r="J244" i="2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J235" i="21"/>
  <c r="M235" i="21" s="1"/>
  <c r="J234" i="21"/>
  <c r="M234" i="21" s="1"/>
  <c r="J233" i="21"/>
  <c r="M233" i="21" s="1"/>
  <c r="J232" i="21"/>
  <c r="M232" i="21" s="1"/>
  <c r="J231" i="21"/>
  <c r="M231" i="21" s="1"/>
  <c r="J230" i="21"/>
  <c r="M230" i="21" s="1"/>
  <c r="J229" i="21"/>
  <c r="M229" i="21" s="1"/>
  <c r="J228" i="21"/>
  <c r="M228" i="21" s="1"/>
  <c r="J227" i="21"/>
  <c r="M227" i="21" s="1"/>
  <c r="J226" i="21"/>
  <c r="M226" i="21" s="1"/>
  <c r="J225" i="21"/>
  <c r="M225" i="21" s="1"/>
  <c r="J224" i="21"/>
  <c r="M224" i="21" s="1"/>
  <c r="J223" i="21"/>
  <c r="M223" i="21" s="1"/>
  <c r="J222" i="21"/>
  <c r="M222" i="21" s="1"/>
  <c r="J221" i="21"/>
  <c r="M221" i="21" s="1"/>
  <c r="J220" i="21"/>
  <c r="M220" i="21" s="1"/>
  <c r="J219" i="21"/>
  <c r="M219" i="21" s="1"/>
  <c r="J218" i="21"/>
  <c r="M218" i="21" s="1"/>
  <c r="J217" i="21"/>
  <c r="M217" i="21" s="1"/>
  <c r="J216" i="21"/>
  <c r="M216" i="21" s="1"/>
  <c r="J215" i="21"/>
  <c r="M215" i="21" s="1"/>
  <c r="J214" i="21"/>
  <c r="M214" i="21" s="1"/>
  <c r="J213" i="21"/>
  <c r="M213" i="21" s="1"/>
  <c r="J212" i="21"/>
  <c r="M212" i="21" s="1"/>
  <c r="J211" i="21"/>
  <c r="M211" i="21" s="1"/>
  <c r="J210" i="21"/>
  <c r="M210" i="21" s="1"/>
  <c r="J209" i="21"/>
  <c r="M209" i="21" s="1"/>
  <c r="J208" i="21"/>
  <c r="M208" i="21" s="1"/>
  <c r="J207" i="21"/>
  <c r="M207" i="21" s="1"/>
  <c r="J206" i="21"/>
  <c r="M206" i="21" s="1"/>
  <c r="J205" i="21"/>
  <c r="M205" i="21" s="1"/>
  <c r="J204" i="21"/>
  <c r="M204" i="21" s="1"/>
  <c r="J203" i="21"/>
  <c r="M203" i="21" s="1"/>
  <c r="J202" i="21"/>
  <c r="M202" i="21" s="1"/>
  <c r="J201" i="21"/>
  <c r="M201" i="21" s="1"/>
  <c r="J200" i="21"/>
  <c r="M200" i="21" s="1"/>
  <c r="J199" i="21"/>
  <c r="M199" i="21" s="1"/>
  <c r="J198" i="21"/>
  <c r="M198" i="21" s="1"/>
  <c r="J197" i="21"/>
  <c r="M197" i="21" s="1"/>
  <c r="J196" i="21"/>
  <c r="M196" i="21" s="1"/>
  <c r="J195" i="21"/>
  <c r="M195" i="21" s="1"/>
  <c r="J194" i="21"/>
  <c r="M194" i="21" s="1"/>
  <c r="J193" i="21"/>
  <c r="M193" i="21" s="1"/>
  <c r="J192" i="21"/>
  <c r="M192" i="21" s="1"/>
  <c r="J191" i="21"/>
  <c r="M191" i="21" s="1"/>
  <c r="J190" i="21"/>
  <c r="M190" i="21" s="1"/>
  <c r="J189" i="21"/>
  <c r="M189" i="21" s="1"/>
  <c r="J188" i="21"/>
  <c r="M188" i="21" s="1"/>
  <c r="J187" i="21"/>
  <c r="M187" i="21" s="1"/>
  <c r="J186" i="21"/>
  <c r="M186" i="21" s="1"/>
  <c r="J185" i="21"/>
  <c r="M185" i="21" s="1"/>
  <c r="J184" i="21"/>
  <c r="M184" i="21" s="1"/>
  <c r="J183" i="21"/>
  <c r="M183" i="21" s="1"/>
  <c r="J182" i="21"/>
  <c r="M182" i="21" s="1"/>
  <c r="J181" i="21"/>
  <c r="M181" i="21" s="1"/>
  <c r="J180" i="21"/>
  <c r="M180" i="21" s="1"/>
  <c r="J179" i="21"/>
  <c r="M179" i="21" s="1"/>
  <c r="J178" i="21"/>
  <c r="M178" i="21" s="1"/>
  <c r="J177" i="21"/>
  <c r="M177" i="21" s="1"/>
  <c r="J176" i="21"/>
  <c r="M176" i="21" s="1"/>
  <c r="J175" i="21"/>
  <c r="M175" i="21" s="1"/>
  <c r="J174" i="21"/>
  <c r="M174" i="21" s="1"/>
  <c r="J173" i="21"/>
  <c r="M173" i="21" s="1"/>
  <c r="J172" i="21"/>
  <c r="M172" i="21" s="1"/>
  <c r="J171" i="21"/>
  <c r="M171" i="21" s="1"/>
  <c r="J170" i="21"/>
  <c r="M170" i="21" s="1"/>
  <c r="J169" i="21"/>
  <c r="M169" i="21" s="1"/>
  <c r="J168" i="21"/>
  <c r="M168" i="21" s="1"/>
  <c r="J167" i="21"/>
  <c r="M167" i="21" s="1"/>
  <c r="J166" i="21"/>
  <c r="M166" i="21" s="1"/>
  <c r="J165" i="21"/>
  <c r="M165" i="21" s="1"/>
  <c r="J164" i="21"/>
  <c r="M164" i="21" s="1"/>
  <c r="J163" i="21"/>
  <c r="M163" i="21" s="1"/>
  <c r="J162" i="21"/>
  <c r="M162" i="21" s="1"/>
  <c r="J161" i="21"/>
  <c r="M161" i="21" s="1"/>
  <c r="J160" i="21"/>
  <c r="M160" i="21" s="1"/>
  <c r="J159" i="21"/>
  <c r="M159" i="21" s="1"/>
  <c r="J158" i="21"/>
  <c r="M158" i="21" s="1"/>
  <c r="J157" i="21"/>
  <c r="M157" i="21" s="1"/>
  <c r="J156" i="21"/>
  <c r="M156" i="21" s="1"/>
  <c r="J155" i="21"/>
  <c r="M155" i="21" s="1"/>
  <c r="J154" i="21"/>
  <c r="M154" i="21" s="1"/>
  <c r="J153" i="21"/>
  <c r="M153" i="21" s="1"/>
  <c r="J152" i="21"/>
  <c r="M152" i="21" s="1"/>
  <c r="J151" i="21"/>
  <c r="M151" i="21" s="1"/>
  <c r="J150" i="21"/>
  <c r="M150" i="21" s="1"/>
  <c r="J149" i="21"/>
  <c r="M149" i="21" s="1"/>
  <c r="J148" i="21"/>
  <c r="M148" i="21" s="1"/>
  <c r="J147" i="21"/>
  <c r="M147" i="21" s="1"/>
  <c r="J146" i="21"/>
  <c r="M146" i="21" s="1"/>
  <c r="J145" i="21"/>
  <c r="M145" i="21" s="1"/>
  <c r="J144" i="21"/>
  <c r="M144" i="21" s="1"/>
  <c r="J143" i="21"/>
  <c r="M143" i="21" s="1"/>
  <c r="J142" i="21"/>
  <c r="M142" i="21" s="1"/>
  <c r="J141" i="21"/>
  <c r="M141" i="21" s="1"/>
  <c r="J140" i="21"/>
  <c r="M140" i="21" s="1"/>
  <c r="J139" i="21"/>
  <c r="M139" i="21" s="1"/>
  <c r="J138" i="21"/>
  <c r="M138" i="21" s="1"/>
  <c r="J137" i="21"/>
  <c r="M137" i="21" s="1"/>
  <c r="J136" i="21"/>
  <c r="M136" i="21" s="1"/>
  <c r="J135" i="21"/>
  <c r="M135" i="21" s="1"/>
  <c r="J134" i="21"/>
  <c r="M134" i="21" s="1"/>
  <c r="J133" i="21"/>
  <c r="M133" i="21" s="1"/>
  <c r="J132" i="21"/>
  <c r="M132" i="21" s="1"/>
  <c r="J131" i="21"/>
  <c r="M131" i="21" s="1"/>
  <c r="J130" i="21"/>
  <c r="M130" i="21" s="1"/>
  <c r="J129" i="21"/>
  <c r="M129" i="21" s="1"/>
  <c r="J128" i="21"/>
  <c r="M128" i="21" s="1"/>
  <c r="J127" i="21"/>
  <c r="M127" i="21" s="1"/>
  <c r="J126" i="21"/>
  <c r="M126" i="21" s="1"/>
  <c r="J125" i="21"/>
  <c r="M125" i="21" s="1"/>
  <c r="J124" i="21"/>
  <c r="M124" i="21" s="1"/>
  <c r="J123" i="21"/>
  <c r="M123" i="21" s="1"/>
  <c r="J122" i="21"/>
  <c r="M122" i="21" s="1"/>
  <c r="J121" i="21"/>
  <c r="M121" i="21" s="1"/>
  <c r="J120" i="21"/>
  <c r="M120" i="21" s="1"/>
  <c r="J119" i="21"/>
  <c r="M119" i="21" s="1"/>
  <c r="J118" i="21"/>
  <c r="M118" i="21" s="1"/>
  <c r="M117" i="21"/>
  <c r="J117" i="21"/>
  <c r="J116" i="21"/>
  <c r="M116" i="21" s="1"/>
  <c r="J115" i="21"/>
  <c r="M115" i="21" s="1"/>
  <c r="J114" i="21"/>
  <c r="M114" i="21" s="1"/>
  <c r="J113" i="21"/>
  <c r="M113" i="21" s="1"/>
  <c r="J112" i="21"/>
  <c r="M112" i="21" s="1"/>
  <c r="J111" i="21"/>
  <c r="M111" i="21" s="1"/>
  <c r="J110" i="21"/>
  <c r="M110" i="21" s="1"/>
  <c r="J109" i="21"/>
  <c r="M109" i="21" s="1"/>
  <c r="J108" i="21"/>
  <c r="M108" i="21" s="1"/>
  <c r="J107" i="21"/>
  <c r="M107" i="21" s="1"/>
  <c r="J106" i="21"/>
  <c r="M106" i="21" s="1"/>
  <c r="J105" i="21"/>
  <c r="M105" i="21" s="1"/>
  <c r="J104" i="21"/>
  <c r="M104" i="21" s="1"/>
  <c r="J103" i="21"/>
  <c r="M103" i="21" s="1"/>
  <c r="J102" i="21"/>
  <c r="M102" i="21" s="1"/>
  <c r="J101" i="21"/>
  <c r="M101" i="21" s="1"/>
  <c r="J100" i="21"/>
  <c r="M100" i="21" s="1"/>
  <c r="J99" i="21"/>
  <c r="M99" i="21" s="1"/>
  <c r="J98" i="21"/>
  <c r="M98" i="21" s="1"/>
  <c r="L97" i="21"/>
  <c r="O97" i="21" s="1"/>
  <c r="K97" i="21"/>
  <c r="N97" i="21" s="1"/>
  <c r="L96" i="21"/>
  <c r="O96" i="21" s="1"/>
  <c r="K96" i="21"/>
  <c r="N96" i="21" s="1"/>
  <c r="L95" i="21"/>
  <c r="O95" i="21" s="1"/>
  <c r="K95" i="21"/>
  <c r="N95" i="21" s="1"/>
  <c r="L94" i="21"/>
  <c r="O94" i="21" s="1"/>
  <c r="K94" i="21"/>
  <c r="N94" i="21" s="1"/>
  <c r="L93" i="21"/>
  <c r="O93" i="21" s="1"/>
  <c r="K93" i="21"/>
  <c r="N93" i="21" s="1"/>
  <c r="L92" i="21"/>
  <c r="O92" i="21" s="1"/>
  <c r="K92" i="21"/>
  <c r="N92" i="21" s="1"/>
  <c r="L91" i="21"/>
  <c r="O91" i="21" s="1"/>
  <c r="K91" i="21"/>
  <c r="N91" i="21" s="1"/>
  <c r="L90" i="21"/>
  <c r="O90" i="21" s="1"/>
  <c r="K90" i="21"/>
  <c r="N90" i="21" s="1"/>
  <c r="L89" i="21"/>
  <c r="O89" i="21" s="1"/>
  <c r="K89" i="21"/>
  <c r="N89" i="21" s="1"/>
  <c r="L88" i="21"/>
  <c r="O88" i="21" s="1"/>
  <c r="K88" i="21"/>
  <c r="N88" i="21" s="1"/>
  <c r="L87" i="21"/>
  <c r="O87" i="21" s="1"/>
  <c r="K87" i="21"/>
  <c r="N87" i="21" s="1"/>
  <c r="L86" i="21"/>
  <c r="O86" i="21" s="1"/>
  <c r="K86" i="21"/>
  <c r="N86" i="21" s="1"/>
  <c r="J85" i="21"/>
  <c r="M85" i="21" s="1"/>
  <c r="J84" i="21"/>
  <c r="M84" i="21" s="1"/>
  <c r="J83" i="21"/>
  <c r="M83" i="21" s="1"/>
  <c r="J82" i="21"/>
  <c r="M82" i="21" s="1"/>
  <c r="J81" i="21"/>
  <c r="M81" i="21" s="1"/>
  <c r="J80" i="21"/>
  <c r="M80" i="21" s="1"/>
  <c r="J79" i="21"/>
  <c r="M79" i="21" s="1"/>
  <c r="J78" i="21"/>
  <c r="M78" i="21" s="1"/>
  <c r="J77" i="21"/>
  <c r="M77" i="21" s="1"/>
  <c r="J76" i="21"/>
  <c r="M76" i="21" s="1"/>
  <c r="J75" i="21"/>
  <c r="M75" i="21" s="1"/>
  <c r="J74" i="21"/>
  <c r="M74" i="21" s="1"/>
  <c r="L73" i="21"/>
  <c r="O73" i="21" s="1"/>
  <c r="J73" i="21"/>
  <c r="M73" i="21" s="1"/>
  <c r="L72" i="21"/>
  <c r="O72" i="21" s="1"/>
  <c r="J72" i="21"/>
  <c r="M72" i="21" s="1"/>
  <c r="L71" i="21"/>
  <c r="O71" i="21" s="1"/>
  <c r="J71" i="21"/>
  <c r="M71" i="21" s="1"/>
  <c r="L70" i="21"/>
  <c r="O70" i="21" s="1"/>
  <c r="J70" i="21"/>
  <c r="M70" i="21" s="1"/>
  <c r="L69" i="21"/>
  <c r="O69" i="21" s="1"/>
  <c r="J69" i="21"/>
  <c r="M69" i="21" s="1"/>
  <c r="L68" i="21"/>
  <c r="O68" i="21" s="1"/>
  <c r="J68" i="21"/>
  <c r="M68" i="21" s="1"/>
  <c r="L67" i="21"/>
  <c r="O67" i="21" s="1"/>
  <c r="J67" i="21"/>
  <c r="M67" i="21" s="1"/>
  <c r="L66" i="21"/>
  <c r="O66" i="21" s="1"/>
  <c r="J66" i="21"/>
  <c r="M66" i="21" s="1"/>
  <c r="L65" i="21"/>
  <c r="O65" i="21" s="1"/>
  <c r="J65" i="21"/>
  <c r="M65" i="21" s="1"/>
  <c r="L64" i="21"/>
  <c r="O64" i="21" s="1"/>
  <c r="J64" i="21"/>
  <c r="M64" i="21" s="1"/>
  <c r="L63" i="21"/>
  <c r="O63" i="21" s="1"/>
  <c r="J63" i="21"/>
  <c r="M63" i="21" s="1"/>
  <c r="L62" i="21"/>
  <c r="O62" i="21" s="1"/>
  <c r="J62" i="21"/>
  <c r="M62" i="21" s="1"/>
  <c r="L61" i="21"/>
  <c r="O61" i="21" s="1"/>
  <c r="K61" i="21"/>
  <c r="N61" i="21" s="1"/>
  <c r="L60" i="21"/>
  <c r="O60" i="21" s="1"/>
  <c r="K60" i="21"/>
  <c r="N60" i="21" s="1"/>
  <c r="L59" i="21"/>
  <c r="O59" i="21" s="1"/>
  <c r="K59" i="21"/>
  <c r="N59" i="21" s="1"/>
  <c r="L58" i="21"/>
  <c r="O58" i="21" s="1"/>
  <c r="K58" i="21"/>
  <c r="N58" i="21" s="1"/>
  <c r="L57" i="21"/>
  <c r="O57" i="21" s="1"/>
  <c r="K57" i="21"/>
  <c r="N57" i="21" s="1"/>
  <c r="L56" i="21"/>
  <c r="O56" i="21" s="1"/>
  <c r="K56" i="21"/>
  <c r="N56" i="21" s="1"/>
  <c r="L55" i="21"/>
  <c r="O55" i="21" s="1"/>
  <c r="K55" i="21"/>
  <c r="N55" i="21" s="1"/>
  <c r="L54" i="21"/>
  <c r="O54" i="21" s="1"/>
  <c r="K54" i="21"/>
  <c r="N54" i="21" s="1"/>
  <c r="L53" i="21"/>
  <c r="O53" i="21" s="1"/>
  <c r="K53" i="21"/>
  <c r="N53" i="21" s="1"/>
  <c r="L52" i="21"/>
  <c r="O52" i="21" s="1"/>
  <c r="K52" i="21"/>
  <c r="N52" i="21" s="1"/>
  <c r="L51" i="21"/>
  <c r="O51" i="21" s="1"/>
  <c r="K51" i="21"/>
  <c r="N51" i="21" s="1"/>
  <c r="L50" i="21"/>
  <c r="O50" i="21" s="1"/>
  <c r="K50" i="21"/>
  <c r="N50" i="21" s="1"/>
  <c r="L49" i="21"/>
  <c r="O49" i="21" s="1"/>
  <c r="J49" i="21"/>
  <c r="M49" i="21" s="1"/>
  <c r="L48" i="21"/>
  <c r="O48" i="21" s="1"/>
  <c r="J48" i="21"/>
  <c r="M48" i="21" s="1"/>
  <c r="L47" i="21"/>
  <c r="O47" i="21" s="1"/>
  <c r="J47" i="21"/>
  <c r="M47" i="21" s="1"/>
  <c r="L46" i="21"/>
  <c r="O46" i="21" s="1"/>
  <c r="J46" i="21"/>
  <c r="M46" i="21" s="1"/>
  <c r="L45" i="21"/>
  <c r="O45" i="21" s="1"/>
  <c r="J45" i="21"/>
  <c r="M45" i="21" s="1"/>
  <c r="L44" i="21"/>
  <c r="O44" i="21" s="1"/>
  <c r="J44" i="21"/>
  <c r="M44" i="21" s="1"/>
  <c r="L43" i="21"/>
  <c r="O43" i="21" s="1"/>
  <c r="J43" i="21"/>
  <c r="M43" i="21" s="1"/>
  <c r="L42" i="21"/>
  <c r="O42" i="21" s="1"/>
  <c r="J42" i="21"/>
  <c r="M42" i="21" s="1"/>
  <c r="L41" i="21"/>
  <c r="O41" i="21" s="1"/>
  <c r="J41" i="21"/>
  <c r="M41" i="21" s="1"/>
  <c r="L40" i="21"/>
  <c r="O40" i="21" s="1"/>
  <c r="J40" i="21"/>
  <c r="M40" i="21" s="1"/>
  <c r="L39" i="21"/>
  <c r="O39" i="21" s="1"/>
  <c r="J39" i="21"/>
  <c r="M39" i="21" s="1"/>
  <c r="L38" i="21"/>
  <c r="O38" i="21" s="1"/>
  <c r="J38" i="21"/>
  <c r="M38" i="21" s="1"/>
  <c r="J37" i="21"/>
  <c r="M37" i="21" s="1"/>
  <c r="J36" i="21"/>
  <c r="M36" i="21" s="1"/>
  <c r="J35" i="21"/>
  <c r="M35" i="21" s="1"/>
  <c r="J34" i="21"/>
  <c r="M34" i="21" s="1"/>
  <c r="J33" i="21"/>
  <c r="M33" i="21" s="1"/>
  <c r="J32" i="21"/>
  <c r="M32" i="21" s="1"/>
  <c r="J31" i="21"/>
  <c r="M31" i="21" s="1"/>
  <c r="J30" i="21"/>
  <c r="M30" i="21" s="1"/>
  <c r="J29" i="21"/>
  <c r="M29" i="21" s="1"/>
  <c r="J28" i="21"/>
  <c r="M28" i="21" s="1"/>
  <c r="J27" i="21"/>
  <c r="M27" i="21" s="1"/>
  <c r="J26" i="21"/>
  <c r="M26" i="21" s="1"/>
  <c r="L25" i="21"/>
  <c r="O25" i="21" s="1"/>
  <c r="K25" i="21"/>
  <c r="N25" i="21" s="1"/>
  <c r="L24" i="21"/>
  <c r="O24" i="21" s="1"/>
  <c r="K24" i="21"/>
  <c r="N24" i="21" s="1"/>
  <c r="L23" i="21"/>
  <c r="O23" i="21" s="1"/>
  <c r="K23" i="21"/>
  <c r="N23" i="21" s="1"/>
  <c r="L22" i="21"/>
  <c r="O22" i="21" s="1"/>
  <c r="K22" i="21"/>
  <c r="N22" i="21" s="1"/>
  <c r="L21" i="21"/>
  <c r="O21" i="21" s="1"/>
  <c r="K21" i="21"/>
  <c r="N21" i="21" s="1"/>
  <c r="L20" i="21"/>
  <c r="O20" i="21" s="1"/>
  <c r="K20" i="21"/>
  <c r="N20" i="21" s="1"/>
  <c r="L19" i="21"/>
  <c r="O19" i="21" s="1"/>
  <c r="K19" i="21"/>
  <c r="N19" i="21" s="1"/>
  <c r="L18" i="21"/>
  <c r="O18" i="21" s="1"/>
  <c r="K18" i="21"/>
  <c r="N18" i="21" s="1"/>
  <c r="L17" i="21"/>
  <c r="O17" i="21" s="1"/>
  <c r="K17" i="21"/>
  <c r="N17" i="21" s="1"/>
  <c r="L16" i="21"/>
  <c r="O16" i="21" s="1"/>
  <c r="K16" i="21"/>
  <c r="N16" i="21" s="1"/>
  <c r="L15" i="21"/>
  <c r="O15" i="21" s="1"/>
  <c r="K15" i="21"/>
  <c r="N15" i="21" s="1"/>
  <c r="L14" i="21"/>
  <c r="O14" i="21" s="1"/>
  <c r="K14" i="21"/>
  <c r="N14" i="21" s="1"/>
  <c r="J13" i="21"/>
  <c r="M13" i="21" s="1"/>
  <c r="J12" i="21"/>
  <c r="M12" i="21" s="1"/>
  <c r="J11" i="21"/>
  <c r="M11" i="21" s="1"/>
  <c r="J10" i="21"/>
  <c r="M10" i="21" s="1"/>
  <c r="J9" i="21"/>
  <c r="M9" i="21" s="1"/>
  <c r="J8" i="21"/>
  <c r="M8" i="21" s="1"/>
  <c r="J7" i="21"/>
  <c r="M7" i="21" s="1"/>
  <c r="J6" i="21"/>
  <c r="M6" i="21" s="1"/>
  <c r="J5" i="21"/>
  <c r="M5" i="21" s="1"/>
  <c r="J4" i="21"/>
  <c r="M4" i="21" s="1"/>
  <c r="J3" i="21"/>
  <c r="M3" i="21" s="1"/>
  <c r="J2" i="21"/>
  <c r="M2" i="21" s="1"/>
  <c r="X367" i="16"/>
  <c r="AD367" i="16" s="1"/>
  <c r="W367" i="16"/>
  <c r="AC367" i="16" s="1"/>
  <c r="X366" i="16"/>
  <c r="AD366" i="16" s="1"/>
  <c r="W366" i="16"/>
  <c r="AC366" i="16" s="1"/>
  <c r="X365" i="16"/>
  <c r="AD365" i="16" s="1"/>
  <c r="W365" i="16"/>
  <c r="X364" i="16"/>
  <c r="AD364" i="16" s="1"/>
  <c r="W364" i="16"/>
  <c r="X363" i="16"/>
  <c r="AD363" i="16" s="1"/>
  <c r="W363" i="16"/>
  <c r="AC363" i="16" s="1"/>
  <c r="X362" i="16"/>
  <c r="AD362" i="16" s="1"/>
  <c r="W362" i="16"/>
  <c r="AC362" i="16" s="1"/>
  <c r="X361" i="16"/>
  <c r="AD361" i="16" s="1"/>
  <c r="W361" i="16"/>
  <c r="AC361" i="16" s="1"/>
  <c r="X360" i="16"/>
  <c r="AD360" i="16" s="1"/>
  <c r="W360" i="16"/>
  <c r="AC360" i="16" s="1"/>
  <c r="X359" i="16"/>
  <c r="AD359" i="16" s="1"/>
  <c r="W359" i="16"/>
  <c r="AC359" i="16" s="1"/>
  <c r="X358" i="16"/>
  <c r="AD358" i="16" s="1"/>
  <c r="W358" i="16"/>
  <c r="AC358" i="16" s="1"/>
  <c r="X357" i="16"/>
  <c r="AD357" i="16" s="1"/>
  <c r="W357" i="16"/>
  <c r="AC357" i="16" s="1"/>
  <c r="X356" i="16"/>
  <c r="AD356" i="16" s="1"/>
  <c r="W356" i="16"/>
  <c r="AC356" i="16" s="1"/>
  <c r="AD110" i="17"/>
  <c r="X110" i="17"/>
  <c r="W110" i="17"/>
  <c r="AD109" i="17"/>
  <c r="X109" i="17"/>
  <c r="W109" i="17"/>
  <c r="AD108" i="17"/>
  <c r="X108" i="17"/>
  <c r="W108" i="17"/>
  <c r="AD107" i="17"/>
  <c r="X107" i="17"/>
  <c r="W107" i="17"/>
  <c r="AD106" i="17"/>
  <c r="X106" i="17"/>
  <c r="W106" i="17"/>
  <c r="AD105" i="17"/>
  <c r="X105" i="17"/>
  <c r="W105" i="17"/>
  <c r="AD104" i="17"/>
  <c r="X104" i="17"/>
  <c r="W104" i="17"/>
  <c r="AD103" i="17"/>
  <c r="X103" i="17"/>
  <c r="W103" i="17"/>
  <c r="AD102" i="17"/>
  <c r="X102" i="17"/>
  <c r="W102" i="17"/>
  <c r="AD101" i="17"/>
  <c r="X101" i="17"/>
  <c r="W101" i="17"/>
  <c r="AD100" i="17"/>
  <c r="X100" i="17"/>
  <c r="W100" i="17"/>
  <c r="AD99" i="17"/>
  <c r="X99" i="17"/>
  <c r="W99" i="17"/>
  <c r="M40" i="5"/>
  <c r="M39" i="5"/>
  <c r="M38" i="5"/>
  <c r="AK31" i="25" s="1"/>
  <c r="AI9" i="17"/>
  <c r="AJ7" i="17"/>
  <c r="AI7" i="17"/>
  <c r="AJ4" i="17"/>
  <c r="AI4" i="17"/>
  <c r="AJ3" i="17"/>
  <c r="AI3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E25" i="17"/>
  <c r="AE24" i="17"/>
  <c r="AE23" i="17"/>
  <c r="AE22" i="17"/>
  <c r="AE21" i="17"/>
  <c r="AE20" i="17"/>
  <c r="AE19" i="17"/>
  <c r="AE18" i="17"/>
  <c r="AE17" i="17"/>
  <c r="AE16" i="17"/>
  <c r="AE15" i="17"/>
  <c r="AE14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V110" i="17"/>
  <c r="AB110" i="17" s="1"/>
  <c r="V109" i="17"/>
  <c r="AB109" i="17" s="1"/>
  <c r="V108" i="17"/>
  <c r="AB108" i="17" s="1"/>
  <c r="V107" i="17"/>
  <c r="AB107" i="17" s="1"/>
  <c r="V106" i="17"/>
  <c r="AB106" i="17" s="1"/>
  <c r="V105" i="17"/>
  <c r="AB105" i="17" s="1"/>
  <c r="V104" i="17"/>
  <c r="AB104" i="17" s="1"/>
  <c r="V103" i="17"/>
  <c r="AB103" i="17" s="1"/>
  <c r="V102" i="17"/>
  <c r="AB102" i="17" s="1"/>
  <c r="V101" i="17"/>
  <c r="AB101" i="17" s="1"/>
  <c r="V100" i="17"/>
  <c r="AB100" i="17" s="1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C365" i="16"/>
  <c r="AE364" i="16"/>
  <c r="AC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G97" i="16"/>
  <c r="AF97" i="16"/>
  <c r="AG96" i="16"/>
  <c r="AF96" i="16"/>
  <c r="AG95" i="16"/>
  <c r="AF95" i="16"/>
  <c r="AG94" i="16"/>
  <c r="AF94" i="16"/>
  <c r="AG93" i="16"/>
  <c r="AF93" i="16"/>
  <c r="AG92" i="16"/>
  <c r="AF92" i="16"/>
  <c r="AG91" i="16"/>
  <c r="AF91" i="16"/>
  <c r="AG90" i="16"/>
  <c r="AF90" i="16"/>
  <c r="AG89" i="16"/>
  <c r="AF89" i="16"/>
  <c r="AG88" i="16"/>
  <c r="AF88" i="16"/>
  <c r="AG87" i="16"/>
  <c r="AF87" i="16"/>
  <c r="AG86" i="16"/>
  <c r="AF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G73" i="16"/>
  <c r="AE73" i="16"/>
  <c r="AG72" i="16"/>
  <c r="AE72" i="16"/>
  <c r="AG71" i="16"/>
  <c r="AE71" i="16"/>
  <c r="AG70" i="16"/>
  <c r="AE70" i="16"/>
  <c r="AG69" i="16"/>
  <c r="AE69" i="16"/>
  <c r="AG68" i="16"/>
  <c r="AE68" i="16"/>
  <c r="AG67" i="16"/>
  <c r="AE67" i="16"/>
  <c r="AG66" i="16"/>
  <c r="AE66" i="16"/>
  <c r="AG65" i="16"/>
  <c r="AE65" i="16"/>
  <c r="AG64" i="16"/>
  <c r="AE64" i="16"/>
  <c r="AG63" i="16"/>
  <c r="AE63" i="16"/>
  <c r="AG62" i="16"/>
  <c r="AE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G49" i="16"/>
  <c r="AE49" i="16"/>
  <c r="AG48" i="16"/>
  <c r="AE48" i="16"/>
  <c r="AG47" i="16"/>
  <c r="AE47" i="16"/>
  <c r="AG46" i="16"/>
  <c r="AE46" i="16"/>
  <c r="AG45" i="16"/>
  <c r="AE45" i="16"/>
  <c r="AG44" i="16"/>
  <c r="AE44" i="16"/>
  <c r="AG43" i="16"/>
  <c r="AE43" i="16"/>
  <c r="AG42" i="16"/>
  <c r="AE42" i="16"/>
  <c r="AG41" i="16"/>
  <c r="AE41" i="16"/>
  <c r="AG40" i="16"/>
  <c r="AE40" i="16"/>
  <c r="AG39" i="16"/>
  <c r="AE39" i="16"/>
  <c r="AG38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G18" i="16"/>
  <c r="AF18" i="16"/>
  <c r="AG17" i="16"/>
  <c r="AF17" i="16"/>
  <c r="AG16" i="16"/>
  <c r="AF16" i="16"/>
  <c r="AG15" i="16"/>
  <c r="AF15" i="16"/>
  <c r="AG14" i="16"/>
  <c r="AF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V367" i="16"/>
  <c r="AB367" i="16" s="1"/>
  <c r="V366" i="16"/>
  <c r="AB366" i="16" s="1"/>
  <c r="V365" i="16"/>
  <c r="AB365" i="16" s="1"/>
  <c r="V364" i="16"/>
  <c r="AB364" i="16" s="1"/>
  <c r="V363" i="16"/>
  <c r="AB363" i="16" s="1"/>
  <c r="V362" i="16"/>
  <c r="AB362" i="16" s="1"/>
  <c r="V361" i="16"/>
  <c r="AB361" i="16" s="1"/>
  <c r="V360" i="16"/>
  <c r="AB360" i="16" s="1"/>
  <c r="V359" i="16"/>
  <c r="AB359" i="16" s="1"/>
  <c r="V358" i="16"/>
  <c r="AB358" i="16" s="1"/>
  <c r="V357" i="16"/>
  <c r="AB357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Z51" i="7" s="1"/>
  <c r="X51" i="6"/>
  <c r="W51" i="6"/>
  <c r="V51" i="6"/>
  <c r="U51" i="6"/>
  <c r="AD50" i="6"/>
  <c r="AB50" i="6"/>
  <c r="AA50" i="6"/>
  <c r="AA50" i="7" s="1"/>
  <c r="Z50" i="6"/>
  <c r="Z50" i="7" s="1"/>
  <c r="X50" i="6"/>
  <c r="W50" i="6"/>
  <c r="V50" i="6"/>
  <c r="U50" i="6"/>
  <c r="AD49" i="6"/>
  <c r="AB49" i="6"/>
  <c r="AA49" i="6"/>
  <c r="AA49" i="7" s="1"/>
  <c r="Z49" i="6"/>
  <c r="Z49" i="7" s="1"/>
  <c r="X49" i="6"/>
  <c r="W49" i="6"/>
  <c r="V49" i="6"/>
  <c r="U49" i="6"/>
  <c r="AD48" i="6"/>
  <c r="AB48" i="6"/>
  <c r="AA48" i="6"/>
  <c r="AA48" i="7" s="1"/>
  <c r="Z48" i="6"/>
  <c r="Z48" i="7" s="1"/>
  <c r="X48" i="6"/>
  <c r="W48" i="6"/>
  <c r="V48" i="6"/>
  <c r="U48" i="6"/>
  <c r="AD47" i="6"/>
  <c r="AB47" i="6"/>
  <c r="AA47" i="6"/>
  <c r="AA47" i="7" s="1"/>
  <c r="Z47" i="6"/>
  <c r="Z47" i="7" s="1"/>
  <c r="X47" i="6"/>
  <c r="W47" i="6"/>
  <c r="V47" i="6"/>
  <c r="U47" i="6"/>
  <c r="AD46" i="6"/>
  <c r="AB46" i="6"/>
  <c r="AA46" i="6"/>
  <c r="AA46" i="7" s="1"/>
  <c r="Z46" i="6"/>
  <c r="Z46" i="7" s="1"/>
  <c r="X46" i="6"/>
  <c r="W46" i="6"/>
  <c r="V46" i="6"/>
  <c r="U46" i="6"/>
  <c r="AD45" i="6"/>
  <c r="AB45" i="6"/>
  <c r="AA45" i="6"/>
  <c r="AA45" i="7" s="1"/>
  <c r="Z45" i="6"/>
  <c r="Z45" i="7" s="1"/>
  <c r="X45" i="6"/>
  <c r="W45" i="6"/>
  <c r="V45" i="6"/>
  <c r="U45" i="6"/>
  <c r="AD44" i="6"/>
  <c r="AB44" i="6"/>
  <c r="AA44" i="6"/>
  <c r="AA44" i="7" s="1"/>
  <c r="Z44" i="6"/>
  <c r="Z44" i="7" s="1"/>
  <c r="X44" i="6"/>
  <c r="W44" i="6"/>
  <c r="V44" i="6"/>
  <c r="U44" i="6"/>
  <c r="AD43" i="6"/>
  <c r="AB43" i="6"/>
  <c r="AA43" i="6"/>
  <c r="AA43" i="7" s="1"/>
  <c r="Z43" i="6"/>
  <c r="Z43" i="7" s="1"/>
  <c r="X43" i="6"/>
  <c r="W43" i="6"/>
  <c r="V43" i="6"/>
  <c r="U43" i="6"/>
  <c r="AD42" i="6"/>
  <c r="AB42" i="6"/>
  <c r="AA42" i="6"/>
  <c r="AA42" i="7" s="1"/>
  <c r="Z42" i="6"/>
  <c r="Z42" i="7" s="1"/>
  <c r="X42" i="6"/>
  <c r="W42" i="6"/>
  <c r="V42" i="6"/>
  <c r="U42" i="6"/>
  <c r="AD41" i="6"/>
  <c r="AB41" i="6"/>
  <c r="AA41" i="6"/>
  <c r="AA41" i="7" s="1"/>
  <c r="Z41" i="6"/>
  <c r="Z41" i="7" s="1"/>
  <c r="X41" i="6"/>
  <c r="W41" i="6"/>
  <c r="V41" i="6"/>
  <c r="U41" i="6"/>
  <c r="AD40" i="6"/>
  <c r="AC40" i="6"/>
  <c r="AB40" i="6"/>
  <c r="AA40" i="6"/>
  <c r="AA40" i="7" s="1"/>
  <c r="Z40" i="6"/>
  <c r="Y40" i="6"/>
  <c r="X40" i="6"/>
  <c r="W40" i="6"/>
  <c r="V40" i="6"/>
  <c r="U40" i="6"/>
  <c r="AD39" i="6"/>
  <c r="AC39" i="6"/>
  <c r="AB39" i="6"/>
  <c r="AA39" i="6"/>
  <c r="Z39" i="6"/>
  <c r="Z39" i="7" s="1"/>
  <c r="Y39" i="6"/>
  <c r="X39" i="6"/>
  <c r="W39" i="6"/>
  <c r="V39" i="6"/>
  <c r="U39" i="6"/>
  <c r="AD38" i="6"/>
  <c r="AC38" i="6"/>
  <c r="AB38" i="6"/>
  <c r="AA38" i="6"/>
  <c r="AA38" i="7" s="1"/>
  <c r="Z38" i="6"/>
  <c r="Z38" i="7" s="1"/>
  <c r="Y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C36" i="6"/>
  <c r="AB36" i="6"/>
  <c r="AA36" i="6"/>
  <c r="Z36" i="6"/>
  <c r="Z36" i="7" s="1"/>
  <c r="Y36" i="6"/>
  <c r="X36" i="6"/>
  <c r="W36" i="6"/>
  <c r="V36" i="6"/>
  <c r="U36" i="6"/>
  <c r="AD35" i="6"/>
  <c r="AC35" i="6"/>
  <c r="AB35" i="6"/>
  <c r="AA35" i="6"/>
  <c r="AA35" i="7" s="1"/>
  <c r="Z35" i="6"/>
  <c r="Z35" i="7" s="1"/>
  <c r="Y35" i="6"/>
  <c r="X35" i="6"/>
  <c r="W35" i="6"/>
  <c r="V35" i="6"/>
  <c r="U35" i="6"/>
  <c r="AD34" i="6"/>
  <c r="AC34" i="6"/>
  <c r="AB34" i="6"/>
  <c r="AA34" i="6"/>
  <c r="AA34" i="7" s="1"/>
  <c r="Z34" i="6"/>
  <c r="Z34" i="7" s="1"/>
  <c r="Y34" i="6"/>
  <c r="X34" i="6"/>
  <c r="W34" i="6"/>
  <c r="V34" i="6"/>
  <c r="U34" i="6"/>
  <c r="AD33" i="6"/>
  <c r="AB33" i="6"/>
  <c r="AA33" i="6"/>
  <c r="AA33" i="7" s="1"/>
  <c r="Z33" i="6"/>
  <c r="Z33" i="7" s="1"/>
  <c r="X33" i="6"/>
  <c r="W33" i="6"/>
  <c r="V33" i="6"/>
  <c r="U33" i="6"/>
  <c r="AD32" i="6"/>
  <c r="AC32" i="6"/>
  <c r="AB32" i="6"/>
  <c r="AA32" i="6"/>
  <c r="AA32" i="7" s="1"/>
  <c r="Z32" i="6"/>
  <c r="Z32" i="7" s="1"/>
  <c r="Y32" i="6"/>
  <c r="X32" i="6"/>
  <c r="W32" i="6"/>
  <c r="V32" i="6"/>
  <c r="U32" i="6"/>
  <c r="AD31" i="6"/>
  <c r="AC31" i="6"/>
  <c r="AB31" i="6"/>
  <c r="AA31" i="6"/>
  <c r="AA31" i="7" s="1"/>
  <c r="Z31" i="6"/>
  <c r="Z31" i="7" s="1"/>
  <c r="Y31" i="6"/>
  <c r="X31" i="6"/>
  <c r="W31" i="6"/>
  <c r="V31" i="6"/>
  <c r="U31" i="6"/>
  <c r="AD30" i="6"/>
  <c r="AC30" i="6"/>
  <c r="AB30" i="6"/>
  <c r="AA30" i="6"/>
  <c r="AA30" i="7" s="1"/>
  <c r="Z30" i="6"/>
  <c r="Y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AA28" i="7" s="1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AA26" i="7" s="1"/>
  <c r="Z26" i="6"/>
  <c r="X26" i="6"/>
  <c r="W26" i="6"/>
  <c r="V26" i="6"/>
  <c r="U26" i="6"/>
  <c r="AD25" i="6"/>
  <c r="AC25" i="6"/>
  <c r="AB25" i="6"/>
  <c r="AA25" i="6"/>
  <c r="Z25" i="6"/>
  <c r="Z25" i="7" s="1"/>
  <c r="Y25" i="6"/>
  <c r="X25" i="6"/>
  <c r="W25" i="6"/>
  <c r="V25" i="6"/>
  <c r="U25" i="6"/>
  <c r="AD24" i="6"/>
  <c r="AB24" i="6"/>
  <c r="AA24" i="6"/>
  <c r="AA24" i="7" s="1"/>
  <c r="Z24" i="6"/>
  <c r="Z24" i="7" s="1"/>
  <c r="X24" i="6"/>
  <c r="W24" i="6"/>
  <c r="V24" i="6"/>
  <c r="U24" i="6"/>
  <c r="AD23" i="6"/>
  <c r="AB23" i="6"/>
  <c r="AA23" i="6"/>
  <c r="AA23" i="7" s="1"/>
  <c r="Z23" i="6"/>
  <c r="Z23" i="7" s="1"/>
  <c r="X23" i="6"/>
  <c r="W23" i="6"/>
  <c r="V23" i="6"/>
  <c r="U23" i="6"/>
  <c r="AD22" i="6"/>
  <c r="AB22" i="6"/>
  <c r="AA22" i="6"/>
  <c r="AA22" i="7" s="1"/>
  <c r="Z22" i="6"/>
  <c r="Z22" i="7" s="1"/>
  <c r="X22" i="6"/>
  <c r="W22" i="6"/>
  <c r="V22" i="6"/>
  <c r="U22" i="6"/>
  <c r="AD21" i="6"/>
  <c r="AB21" i="6"/>
  <c r="AA21" i="6"/>
  <c r="AA21" i="7" s="1"/>
  <c r="Z21" i="6"/>
  <c r="Z21" i="7" s="1"/>
  <c r="X21" i="6"/>
  <c r="W21" i="6"/>
  <c r="V21" i="6"/>
  <c r="U21" i="6"/>
  <c r="AD20" i="6"/>
  <c r="AC20" i="6"/>
  <c r="AB20" i="6"/>
  <c r="AA20" i="6"/>
  <c r="AA20" i="7" s="1"/>
  <c r="Z20" i="6"/>
  <c r="Z20" i="7" s="1"/>
  <c r="Y20" i="6"/>
  <c r="X20" i="6"/>
  <c r="W20" i="6"/>
  <c r="V20" i="6"/>
  <c r="U20" i="6"/>
  <c r="AD19" i="6"/>
  <c r="AC19" i="6"/>
  <c r="AB19" i="6"/>
  <c r="AA19" i="6"/>
  <c r="Z19" i="6"/>
  <c r="Z19" i="7" s="1"/>
  <c r="Y19" i="6"/>
  <c r="X19" i="6"/>
  <c r="W19" i="6"/>
  <c r="V19" i="6"/>
  <c r="U19" i="6"/>
  <c r="AD18" i="6"/>
  <c r="AC18" i="6"/>
  <c r="AB18" i="6"/>
  <c r="AA18" i="6"/>
  <c r="AA18" i="7" s="1"/>
  <c r="Z18" i="6"/>
  <c r="Z18" i="7" s="1"/>
  <c r="Y18" i="6"/>
  <c r="X18" i="6"/>
  <c r="W18" i="6"/>
  <c r="V18" i="6"/>
  <c r="U18" i="6"/>
  <c r="AD17" i="6"/>
  <c r="AC17" i="6"/>
  <c r="AB17" i="6"/>
  <c r="AA17" i="6"/>
  <c r="Z17" i="6"/>
  <c r="Z17" i="7" s="1"/>
  <c r="Y17" i="6"/>
  <c r="X17" i="6"/>
  <c r="W17" i="6"/>
  <c r="V17" i="6"/>
  <c r="U17" i="6"/>
  <c r="AD16" i="6"/>
  <c r="AC16" i="6"/>
  <c r="AB16" i="6"/>
  <c r="AA16" i="6"/>
  <c r="AA16" i="7" s="1"/>
  <c r="Z16" i="6"/>
  <c r="Y16" i="6"/>
  <c r="X16" i="6"/>
  <c r="W16" i="6"/>
  <c r="V16" i="6"/>
  <c r="U16" i="6"/>
  <c r="AD15" i="6"/>
  <c r="AC15" i="6"/>
  <c r="AB15" i="6"/>
  <c r="AA15" i="6"/>
  <c r="AA15" i="7" s="1"/>
  <c r="Z15" i="6"/>
  <c r="Z15" i="7" s="1"/>
  <c r="Y15" i="6"/>
  <c r="X15" i="6"/>
  <c r="W15" i="6"/>
  <c r="V15" i="6"/>
  <c r="U15" i="6"/>
  <c r="AD14" i="6"/>
  <c r="AC14" i="6"/>
  <c r="AB14" i="6"/>
  <c r="AA14" i="6"/>
  <c r="Z14" i="6"/>
  <c r="Z14" i="7" s="1"/>
  <c r="Y14" i="6"/>
  <c r="X14" i="6"/>
  <c r="W14" i="6"/>
  <c r="V14" i="6"/>
  <c r="U14" i="6"/>
  <c r="AD13" i="6"/>
  <c r="AC13" i="6"/>
  <c r="AB13" i="6"/>
  <c r="AA13" i="6"/>
  <c r="AA13" i="7" s="1"/>
  <c r="Z13" i="6"/>
  <c r="Z13" i="7" s="1"/>
  <c r="Y13" i="6"/>
  <c r="X13" i="6"/>
  <c r="W13" i="6"/>
  <c r="V13" i="6"/>
  <c r="U13" i="6"/>
  <c r="AD12" i="6"/>
  <c r="AC12" i="6"/>
  <c r="AB12" i="6"/>
  <c r="AA12" i="6"/>
  <c r="AA12" i="7" s="1"/>
  <c r="Z12" i="6"/>
  <c r="Z12" i="7" s="1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AA10" i="7" s="1"/>
  <c r="Z10" i="6"/>
  <c r="Z10" i="7" s="1"/>
  <c r="Y10" i="6"/>
  <c r="X10" i="6"/>
  <c r="W10" i="6"/>
  <c r="V10" i="6"/>
  <c r="U10" i="6"/>
  <c r="AD9" i="6"/>
  <c r="AC9" i="6"/>
  <c r="AB9" i="6"/>
  <c r="AA9" i="6"/>
  <c r="Z9" i="6"/>
  <c r="Z9" i="7" s="1"/>
  <c r="Y9" i="6"/>
  <c r="X9" i="6"/>
  <c r="W9" i="6"/>
  <c r="V9" i="6"/>
  <c r="U9" i="6"/>
  <c r="AD8" i="6"/>
  <c r="AC8" i="6"/>
  <c r="AB8" i="6"/>
  <c r="AA8" i="6"/>
  <c r="AA8" i="7" s="1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AA6" i="7" s="1"/>
  <c r="Z6" i="6"/>
  <c r="Z6" i="7" s="1"/>
  <c r="Y6" i="6"/>
  <c r="X6" i="6"/>
  <c r="W6" i="6"/>
  <c r="V6" i="6"/>
  <c r="U6" i="6"/>
  <c r="AD5" i="6"/>
  <c r="AC5" i="6"/>
  <c r="AB5" i="6"/>
  <c r="AA5" i="6"/>
  <c r="Z5" i="6"/>
  <c r="Z5" i="7" s="1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P39" i="14"/>
  <c r="AP38" i="14"/>
  <c r="AP37" i="14"/>
  <c r="AC37" i="14"/>
  <c r="AC37" i="6" s="1"/>
  <c r="Y37" i="14"/>
  <c r="Y37" i="6" s="1"/>
  <c r="AP36" i="14"/>
  <c r="AP35" i="14"/>
  <c r="AP34" i="14"/>
  <c r="AP33" i="14"/>
  <c r="AC33" i="14"/>
  <c r="AC33" i="6" s="1"/>
  <c r="Y33" i="14"/>
  <c r="Y33" i="6" s="1"/>
  <c r="AP32" i="14"/>
  <c r="AP31" i="14"/>
  <c r="AP30" i="14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7" i="13"/>
  <c r="V47" i="13"/>
  <c r="T47" i="13"/>
  <c r="P47" i="13"/>
  <c r="O47" i="13"/>
  <c r="N47" i="13"/>
  <c r="M47" i="13"/>
  <c r="V46" i="13"/>
  <c r="U46" i="13"/>
  <c r="T46" i="13"/>
  <c r="P46" i="13"/>
  <c r="O46" i="13"/>
  <c r="N46" i="13"/>
  <c r="M46" i="13"/>
  <c r="X45" i="13"/>
  <c r="V45" i="13"/>
  <c r="U45" i="13"/>
  <c r="T45" i="13"/>
  <c r="P45" i="13"/>
  <c r="O45" i="13"/>
  <c r="N45" i="13"/>
  <c r="M45" i="13"/>
  <c r="X47" i="12"/>
  <c r="V47" i="12"/>
  <c r="T47" i="12"/>
  <c r="P47" i="12"/>
  <c r="O47" i="12"/>
  <c r="N47" i="12"/>
  <c r="M47" i="12"/>
  <c r="V46" i="12"/>
  <c r="U46" i="12"/>
  <c r="T46" i="12"/>
  <c r="P46" i="12"/>
  <c r="O46" i="12"/>
  <c r="N46" i="12"/>
  <c r="M46" i="12"/>
  <c r="X45" i="12"/>
  <c r="V45" i="12"/>
  <c r="V49" i="12" s="1"/>
  <c r="U45" i="12"/>
  <c r="U49" i="12" s="1"/>
  <c r="T45" i="12"/>
  <c r="T49" i="12" s="1"/>
  <c r="P45" i="12"/>
  <c r="P49" i="12" s="1"/>
  <c r="O45" i="12"/>
  <c r="N45" i="12"/>
  <c r="N49" i="12" s="1"/>
  <c r="M45" i="12"/>
  <c r="M49" i="12" s="1"/>
  <c r="Y42" i="1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7" i="11"/>
  <c r="V47" i="11"/>
  <c r="T47" i="11"/>
  <c r="P47" i="11"/>
  <c r="O47" i="11"/>
  <c r="N47" i="11"/>
  <c r="M47" i="11"/>
  <c r="V46" i="11"/>
  <c r="U46" i="11"/>
  <c r="T46" i="11"/>
  <c r="P46" i="11"/>
  <c r="O46" i="11"/>
  <c r="N46" i="11"/>
  <c r="M46" i="11"/>
  <c r="X45" i="11"/>
  <c r="V45" i="11"/>
  <c r="V49" i="11" s="1"/>
  <c r="U45" i="11"/>
  <c r="U49" i="11" s="1"/>
  <c r="T45" i="11"/>
  <c r="T49" i="11" s="1"/>
  <c r="P45" i="11"/>
  <c r="P49" i="11" s="1"/>
  <c r="O45" i="11"/>
  <c r="N45" i="11"/>
  <c r="N49" i="11" s="1"/>
  <c r="M45" i="11"/>
  <c r="M49" i="11" s="1"/>
  <c r="X47" i="10"/>
  <c r="X45" i="10"/>
  <c r="V47" i="10"/>
  <c r="V46" i="10"/>
  <c r="V45" i="10"/>
  <c r="U46" i="10"/>
  <c r="U45" i="10"/>
  <c r="T47" i="10"/>
  <c r="T46" i="10"/>
  <c r="T45" i="10"/>
  <c r="R48" i="10"/>
  <c r="P47" i="10"/>
  <c r="P46" i="10"/>
  <c r="P45" i="10"/>
  <c r="O47" i="10"/>
  <c r="O46" i="10"/>
  <c r="O45" i="10"/>
  <c r="N47" i="10"/>
  <c r="N46" i="10"/>
  <c r="N45" i="10"/>
  <c r="M47" i="10"/>
  <c r="M46" i="10"/>
  <c r="M45" i="10"/>
  <c r="Z42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5" i="10"/>
  <c r="Z14" i="10"/>
  <c r="Z13" i="10"/>
  <c r="Z12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5" i="10"/>
  <c r="V14" i="10"/>
  <c r="V13" i="10"/>
  <c r="V12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5" i="10"/>
  <c r="U14" i="10"/>
  <c r="U13" i="10"/>
  <c r="U12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5" i="10"/>
  <c r="T14" i="10"/>
  <c r="T13" i="10"/>
  <c r="T12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5" i="10"/>
  <c r="R14" i="10"/>
  <c r="R13" i="10"/>
  <c r="R12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5" i="10"/>
  <c r="P14" i="10"/>
  <c r="P13" i="10"/>
  <c r="P12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5" i="10"/>
  <c r="O14" i="10"/>
  <c r="O13" i="10"/>
  <c r="O12" i="10"/>
  <c r="N42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5" i="10"/>
  <c r="N14" i="10"/>
  <c r="N13" i="10"/>
  <c r="N12" i="10"/>
  <c r="M42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5" i="10"/>
  <c r="M14" i="10"/>
  <c r="M13" i="10"/>
  <c r="M12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5" i="10"/>
  <c r="L14" i="10"/>
  <c r="L13" i="10"/>
  <c r="L12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Z40" i="7"/>
  <c r="AG39" i="7"/>
  <c r="AA39" i="7"/>
  <c r="AG38" i="7"/>
  <c r="AG37" i="7"/>
  <c r="Z37" i="7"/>
  <c r="AG36" i="7"/>
  <c r="AA36" i="7"/>
  <c r="AG35" i="7"/>
  <c r="AG34" i="7"/>
  <c r="AG33" i="7"/>
  <c r="AG32" i="7"/>
  <c r="AG31" i="7"/>
  <c r="AG30" i="7"/>
  <c r="Z30" i="7"/>
  <c r="AG29" i="7"/>
  <c r="Z29" i="7"/>
  <c r="AG28" i="7"/>
  <c r="Z28" i="7"/>
  <c r="AG27" i="7"/>
  <c r="AA27" i="7"/>
  <c r="Z27" i="7"/>
  <c r="AG26" i="7"/>
  <c r="Z26" i="7"/>
  <c r="AG25" i="7"/>
  <c r="AA25" i="7"/>
  <c r="AG24" i="7"/>
  <c r="AG23" i="7"/>
  <c r="AG22" i="7"/>
  <c r="AG21" i="7"/>
  <c r="AG20" i="7"/>
  <c r="AG19" i="7"/>
  <c r="AA19" i="7"/>
  <c r="AG18" i="7"/>
  <c r="AG17" i="7"/>
  <c r="AA17" i="7"/>
  <c r="AG16" i="7"/>
  <c r="Z16" i="7"/>
  <c r="AG15" i="7"/>
  <c r="AG14" i="7"/>
  <c r="AA14" i="7"/>
  <c r="AG13" i="7"/>
  <c r="AG12" i="7"/>
  <c r="AG11" i="7"/>
  <c r="AA11" i="7"/>
  <c r="Z11" i="7"/>
  <c r="AG10" i="7"/>
  <c r="AG9" i="7"/>
  <c r="AA9" i="7"/>
  <c r="AG8" i="7"/>
  <c r="Z8" i="7"/>
  <c r="AG7" i="7"/>
  <c r="AA7" i="7"/>
  <c r="Z7" i="7"/>
  <c r="AG6" i="7"/>
  <c r="AG5" i="7"/>
  <c r="AA5" i="7"/>
  <c r="AK56" i="7"/>
  <c r="AF56" i="7"/>
  <c r="AE56" i="7"/>
  <c r="AC56" i="7"/>
  <c r="Y56" i="7"/>
  <c r="X56" i="7"/>
  <c r="W56" i="7"/>
  <c r="U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AA54" i="24" s="1"/>
  <c r="AA58" i="24" s="1"/>
  <c r="Z56" i="6"/>
  <c r="Z54" i="24" s="1"/>
  <c r="Z58" i="24" s="1"/>
  <c r="AK58" i="6"/>
  <c r="AK57" i="6"/>
  <c r="AK56" i="6"/>
  <c r="AK54" i="24" s="1"/>
  <c r="AK58" i="24" s="1"/>
  <c r="AJ58" i="6"/>
  <c r="AI57" i="6"/>
  <c r="AH56" i="6"/>
  <c r="AH54" i="24" s="1"/>
  <c r="AH58" i="24" s="1"/>
  <c r="AF58" i="6"/>
  <c r="AF57" i="6"/>
  <c r="AF56" i="6"/>
  <c r="AF54" i="24" s="1"/>
  <c r="AE58" i="6"/>
  <c r="AE56" i="6"/>
  <c r="AE54" i="24" s="1"/>
  <c r="AC58" i="6"/>
  <c r="AC57" i="6"/>
  <c r="AC56" i="6"/>
  <c r="AC54" i="24" s="1"/>
  <c r="AC58" i="24" s="1"/>
  <c r="AA57" i="6"/>
  <c r="Z57" i="6"/>
  <c r="Y58" i="6"/>
  <c r="Y57" i="6"/>
  <c r="X58" i="6"/>
  <c r="X57" i="6"/>
  <c r="X56" i="6"/>
  <c r="X54" i="24" s="1"/>
  <c r="X58" i="24" s="1"/>
  <c r="W58" i="6"/>
  <c r="W57" i="6"/>
  <c r="V57" i="6"/>
  <c r="U57" i="6"/>
  <c r="U56" i="6"/>
  <c r="U54" i="24" s="1"/>
  <c r="U58" i="24" s="1"/>
  <c r="S58" i="6"/>
  <c r="S57" i="6"/>
  <c r="S56" i="6"/>
  <c r="S54" i="24" s="1"/>
  <c r="R58" i="6"/>
  <c r="R57" i="6"/>
  <c r="R56" i="6"/>
  <c r="R54" i="24" s="1"/>
  <c r="R58" i="24" s="1"/>
  <c r="Q58" i="6"/>
  <c r="Q57" i="6"/>
  <c r="Q56" i="6"/>
  <c r="Q54" i="24" s="1"/>
  <c r="Q58" i="24" s="1"/>
  <c r="P58" i="6"/>
  <c r="P57" i="6"/>
  <c r="P56" i="6"/>
  <c r="P54" i="24" s="1"/>
  <c r="P58" i="24" s="1"/>
  <c r="O58" i="6"/>
  <c r="O57" i="6"/>
  <c r="O56" i="6"/>
  <c r="O54" i="24" s="1"/>
  <c r="O58" i="24" s="1"/>
  <c r="M58" i="6"/>
  <c r="M57" i="6"/>
  <c r="M56" i="6"/>
  <c r="M54" i="24" s="1"/>
  <c r="M58" i="24" s="1"/>
  <c r="L58" i="6"/>
  <c r="L57" i="6"/>
  <c r="L56" i="6"/>
  <c r="L54" i="9" s="1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N16" i="6"/>
  <c r="N15" i="6"/>
  <c r="N9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9"/>
  <c r="AJ55" i="9"/>
  <c r="AJ56" i="6"/>
  <c r="AJ54" i="24" s="1"/>
  <c r="AI58" i="6"/>
  <c r="AI56" i="6"/>
  <c r="AI54" i="24" s="1"/>
  <c r="AI58" i="24" s="1"/>
  <c r="AH56" i="9"/>
  <c r="AH55" i="9"/>
  <c r="D18" i="5"/>
  <c r="AB56" i="6" s="1"/>
  <c r="AB54" i="24" s="1"/>
  <c r="Z56" i="9"/>
  <c r="V56" i="9"/>
  <c r="U58" i="6"/>
  <c r="F45" i="5"/>
  <c r="AA47" i="25" s="1"/>
  <c r="E45" i="5"/>
  <c r="AA46" i="25" s="1"/>
  <c r="D45" i="5"/>
  <c r="AA45" i="25" s="1"/>
  <c r="F43" i="5"/>
  <c r="Y47" i="25" s="1"/>
  <c r="D43" i="5"/>
  <c r="Y45" i="25" s="1"/>
  <c r="F41" i="5"/>
  <c r="W47" i="25" s="1"/>
  <c r="E41" i="5"/>
  <c r="W46" i="25" s="1"/>
  <c r="D41" i="5"/>
  <c r="W45" i="25" s="1"/>
  <c r="F28" i="5"/>
  <c r="AL56" i="9" s="1"/>
  <c r="F23" i="5"/>
  <c r="AG56" i="7" s="1"/>
  <c r="D23" i="5"/>
  <c r="AG56" i="6" s="1"/>
  <c r="AG54" i="24" s="1"/>
  <c r="F20" i="5"/>
  <c r="AD56" i="9" s="1"/>
  <c r="E20" i="5"/>
  <c r="AD55" i="9" s="1"/>
  <c r="D20" i="5"/>
  <c r="AD56" i="6" s="1"/>
  <c r="AD54" i="24" s="1"/>
  <c r="F18" i="5"/>
  <c r="AB56" i="9" s="1"/>
  <c r="E18" i="5"/>
  <c r="AB55" i="9" s="1"/>
  <c r="T39" i="4"/>
  <c r="S39" i="4"/>
  <c r="R39" i="4"/>
  <c r="Q39" i="4"/>
  <c r="P39" i="4"/>
  <c r="O39" i="4"/>
  <c r="N39" i="4"/>
  <c r="M39" i="4"/>
  <c r="L39" i="4"/>
  <c r="K39" i="4"/>
  <c r="J39" i="4"/>
  <c r="I39" i="4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AI5" i="21" l="1"/>
  <c r="O49" i="11"/>
  <c r="AI4" i="21"/>
  <c r="AD9" i="21"/>
  <c r="R49" i="25"/>
  <c r="AG13" i="21"/>
  <c r="F30" i="5"/>
  <c r="U2" i="3"/>
  <c r="U3" i="3"/>
  <c r="U4" i="3"/>
  <c r="U5" i="3"/>
  <c r="U6" i="3"/>
  <c r="U7" i="3"/>
  <c r="U8" i="3"/>
  <c r="U9" i="3"/>
  <c r="I12" i="14" s="1"/>
  <c r="U10" i="3"/>
  <c r="I13" i="8" s="1"/>
  <c r="U11" i="3"/>
  <c r="I14" i="7" s="1"/>
  <c r="U12" i="3"/>
  <c r="U13" i="3"/>
  <c r="U14" i="3"/>
  <c r="I17" i="14" s="1"/>
  <c r="U15" i="3"/>
  <c r="U16" i="3"/>
  <c r="U17" i="3"/>
  <c r="U18" i="3"/>
  <c r="U19" i="3"/>
  <c r="U20" i="3"/>
  <c r="U21" i="3"/>
  <c r="I24" i="9" s="1"/>
  <c r="U22" i="3"/>
  <c r="I25" i="14" s="1"/>
  <c r="U23" i="3"/>
  <c r="I26" i="24" s="1"/>
  <c r="U24" i="3"/>
  <c r="U25" i="3"/>
  <c r="I28" i="6" s="1"/>
  <c r="U26" i="3"/>
  <c r="U27" i="3"/>
  <c r="I30" i="6" s="1"/>
  <c r="U28" i="3"/>
  <c r="U29" i="3"/>
  <c r="I32" i="8" s="1"/>
  <c r="U30" i="3"/>
  <c r="U31" i="3"/>
  <c r="U32" i="3"/>
  <c r="U33" i="3"/>
  <c r="U34" i="3"/>
  <c r="I37" i="7" s="1"/>
  <c r="U35" i="3"/>
  <c r="U36" i="3"/>
  <c r="U37" i="3"/>
  <c r="U38" i="3"/>
  <c r="U39" i="3"/>
  <c r="I42" i="9" s="1"/>
  <c r="U40" i="3"/>
  <c r="U41" i="3"/>
  <c r="I44" i="7" s="1"/>
  <c r="U42" i="3"/>
  <c r="U43" i="3"/>
  <c r="U44" i="3"/>
  <c r="U45" i="3"/>
  <c r="U46" i="3"/>
  <c r="I49" i="9" s="1"/>
  <c r="U47" i="3"/>
  <c r="U48" i="3"/>
  <c r="U2" i="4"/>
  <c r="I5" i="10" s="1"/>
  <c r="U3" i="4"/>
  <c r="I6" i="29" s="1"/>
  <c r="U4" i="4"/>
  <c r="U5" i="4"/>
  <c r="U6" i="4"/>
  <c r="U7" i="4"/>
  <c r="U8" i="4"/>
  <c r="I11" i="25" s="1"/>
  <c r="U9" i="4"/>
  <c r="U10" i="4"/>
  <c r="U11" i="4"/>
  <c r="I14" i="12" s="1"/>
  <c r="U12" i="4"/>
  <c r="I15" i="25" s="1"/>
  <c r="U13" i="4"/>
  <c r="U14" i="4"/>
  <c r="I17" i="13" s="1"/>
  <c r="U15" i="4"/>
  <c r="I18" i="25" s="1"/>
  <c r="U16" i="4"/>
  <c r="U17" i="4"/>
  <c r="I20" i="13" s="1"/>
  <c r="U18" i="4"/>
  <c r="U19" i="4"/>
  <c r="U20" i="4"/>
  <c r="I23" i="12" s="1"/>
  <c r="U21" i="4"/>
  <c r="U22" i="4"/>
  <c r="U23" i="4"/>
  <c r="I26" i="10" s="1"/>
  <c r="U24" i="4"/>
  <c r="I27" i="10" s="1"/>
  <c r="U25" i="4"/>
  <c r="U26" i="4"/>
  <c r="I29" i="13" s="1"/>
  <c r="U27" i="4"/>
  <c r="I30" i="12" s="1"/>
  <c r="U28" i="4"/>
  <c r="I31" i="13" s="1"/>
  <c r="U29" i="4"/>
  <c r="U30" i="4"/>
  <c r="U31" i="4"/>
  <c r="U32" i="4"/>
  <c r="I35" i="10" s="1"/>
  <c r="U33" i="4"/>
  <c r="U34" i="4"/>
  <c r="U35" i="4"/>
  <c r="I38" i="10" s="1"/>
  <c r="U36" i="4"/>
  <c r="I39" i="12" s="1"/>
  <c r="U37" i="4"/>
  <c r="U38" i="4"/>
  <c r="I41" i="29" s="1"/>
  <c r="O49" i="12"/>
  <c r="AD11" i="21"/>
  <c r="I7" i="28"/>
  <c r="AR59" i="28" s="1"/>
  <c r="I9" i="28"/>
  <c r="I9" i="24"/>
  <c r="I9" i="8"/>
  <c r="I9" i="7"/>
  <c r="I9" i="9"/>
  <c r="I9" i="14"/>
  <c r="I9" i="6"/>
  <c r="I14" i="28"/>
  <c r="I14" i="24"/>
  <c r="I14" i="9"/>
  <c r="I14" i="14"/>
  <c r="I14" i="8"/>
  <c r="I14" i="6"/>
  <c r="I17" i="28"/>
  <c r="AT69" i="28" s="1"/>
  <c r="I17" i="24"/>
  <c r="I17" i="8"/>
  <c r="I17" i="7"/>
  <c r="I17" i="9"/>
  <c r="I17" i="6"/>
  <c r="I19" i="28"/>
  <c r="I21" i="28"/>
  <c r="BA73" i="28" s="1"/>
  <c r="I21" i="24"/>
  <c r="I21" i="8"/>
  <c r="I21" i="7"/>
  <c r="I21" i="9"/>
  <c r="I21" i="14"/>
  <c r="I21" i="6"/>
  <c r="I26" i="28"/>
  <c r="I26" i="9"/>
  <c r="I26" i="14"/>
  <c r="I26" i="8"/>
  <c r="I26" i="7"/>
  <c r="I26" i="6"/>
  <c r="I30" i="24"/>
  <c r="I30" i="9"/>
  <c r="I30" i="14"/>
  <c r="I30" i="8"/>
  <c r="I30" i="7"/>
  <c r="I35" i="28"/>
  <c r="I37" i="24"/>
  <c r="I37" i="14"/>
  <c r="I42" i="28"/>
  <c r="AR94" i="28" s="1"/>
  <c r="I42" i="24"/>
  <c r="I42" i="14"/>
  <c r="I42" i="8"/>
  <c r="I42" i="7"/>
  <c r="I42" i="6"/>
  <c r="I45" i="28"/>
  <c r="I45" i="24"/>
  <c r="I45" i="14"/>
  <c r="I45" i="8"/>
  <c r="I45" i="9"/>
  <c r="I45" i="7"/>
  <c r="I45" i="6"/>
  <c r="I6" i="25"/>
  <c r="I6" i="13"/>
  <c r="I6" i="11"/>
  <c r="I6" i="10"/>
  <c r="I6" i="12"/>
  <c r="I10" i="25"/>
  <c r="I10" i="29"/>
  <c r="AH53" i="29" s="1"/>
  <c r="I10" i="12"/>
  <c r="I10" i="13"/>
  <c r="I10" i="11"/>
  <c r="I10" i="10"/>
  <c r="I11" i="29"/>
  <c r="I11" i="13"/>
  <c r="I11" i="11"/>
  <c r="I11" i="10"/>
  <c r="I11" i="12"/>
  <c r="I14" i="25"/>
  <c r="I14" i="10"/>
  <c r="I15" i="29"/>
  <c r="I15" i="12"/>
  <c r="I15" i="11"/>
  <c r="I15" i="13"/>
  <c r="I15" i="10"/>
  <c r="I17" i="11"/>
  <c r="I18" i="29"/>
  <c r="I18" i="11"/>
  <c r="I18" i="12"/>
  <c r="I18" i="10"/>
  <c r="I18" i="13"/>
  <c r="I20" i="12"/>
  <c r="I22" i="25"/>
  <c r="I22" i="29"/>
  <c r="AB65" i="29" s="1"/>
  <c r="I22" i="13"/>
  <c r="I22" i="11"/>
  <c r="I22" i="10"/>
  <c r="I22" i="12"/>
  <c r="I23" i="29"/>
  <c r="I23" i="25"/>
  <c r="I23" i="11"/>
  <c r="I23" i="10"/>
  <c r="I23" i="13"/>
  <c r="I26" i="29"/>
  <c r="I26" i="12"/>
  <c r="I26" i="13"/>
  <c r="I27" i="29"/>
  <c r="AG70" i="29" s="1"/>
  <c r="I27" i="25"/>
  <c r="I27" i="13"/>
  <c r="I27" i="11"/>
  <c r="I27" i="12"/>
  <c r="I29" i="10"/>
  <c r="I30" i="25"/>
  <c r="I30" i="29"/>
  <c r="Y73" i="29" s="1"/>
  <c r="I30" i="11"/>
  <c r="I30" i="13"/>
  <c r="I30" i="10"/>
  <c r="I31" i="29"/>
  <c r="AD74" i="29" s="1"/>
  <c r="I31" i="25"/>
  <c r="I31" i="12"/>
  <c r="I31" i="11"/>
  <c r="I31" i="10"/>
  <c r="I34" i="25"/>
  <c r="I34" i="29"/>
  <c r="AA77" i="29" s="1"/>
  <c r="I34" i="11"/>
  <c r="I34" i="12"/>
  <c r="I34" i="10"/>
  <c r="I34" i="13"/>
  <c r="I35" i="29"/>
  <c r="I35" i="25"/>
  <c r="I35" i="12"/>
  <c r="I35" i="13"/>
  <c r="I35" i="11"/>
  <c r="I38" i="25"/>
  <c r="I38" i="29"/>
  <c r="I38" i="11"/>
  <c r="I39" i="29"/>
  <c r="I39" i="25"/>
  <c r="I39" i="10"/>
  <c r="I39" i="13"/>
  <c r="I39" i="11"/>
  <c r="I41" i="25"/>
  <c r="I5" i="28"/>
  <c r="I5" i="24"/>
  <c r="I5" i="8"/>
  <c r="I5" i="7"/>
  <c r="I5" i="9"/>
  <c r="I5" i="14"/>
  <c r="I5" i="6"/>
  <c r="I6" i="28"/>
  <c r="I6" i="24"/>
  <c r="I6" i="9"/>
  <c r="I6" i="14"/>
  <c r="I6" i="8"/>
  <c r="I6" i="7"/>
  <c r="I6" i="6"/>
  <c r="I10" i="28"/>
  <c r="AN62" i="28" s="1"/>
  <c r="I10" i="24"/>
  <c r="I10" i="9"/>
  <c r="I10" i="14"/>
  <c r="I10" i="8"/>
  <c r="I10" i="7"/>
  <c r="I10" i="6"/>
  <c r="I11" i="24"/>
  <c r="I11" i="14"/>
  <c r="I13" i="28"/>
  <c r="AO65" i="28" s="1"/>
  <c r="I13" i="24"/>
  <c r="I13" i="14"/>
  <c r="I13" i="7"/>
  <c r="I13" i="9"/>
  <c r="I13" i="6"/>
  <c r="I15" i="8"/>
  <c r="I18" i="28"/>
  <c r="AQ70" i="28" s="1"/>
  <c r="I18" i="24"/>
  <c r="I18" i="14"/>
  <c r="I18" i="9"/>
  <c r="I18" i="8"/>
  <c r="I18" i="7"/>
  <c r="I18" i="6"/>
  <c r="I22" i="28"/>
  <c r="I22" i="24"/>
  <c r="I22" i="9"/>
  <c r="I22" i="14"/>
  <c r="I22" i="7"/>
  <c r="I22" i="8"/>
  <c r="I22" i="6"/>
  <c r="I25" i="28"/>
  <c r="AU77" i="28" s="1"/>
  <c r="I25" i="24"/>
  <c r="I25" i="8"/>
  <c r="I25" i="7"/>
  <c r="I25" i="9"/>
  <c r="I25" i="6"/>
  <c r="I29" i="28"/>
  <c r="I29" i="24"/>
  <c r="I29" i="8"/>
  <c r="I29" i="14"/>
  <c r="I29" i="9"/>
  <c r="I29" i="7"/>
  <c r="I29" i="6"/>
  <c r="I33" i="28"/>
  <c r="AW85" i="28" s="1"/>
  <c r="I33" i="24"/>
  <c r="I33" i="14"/>
  <c r="I33" i="8"/>
  <c r="I33" i="9"/>
  <c r="I33" i="7"/>
  <c r="I33" i="6"/>
  <c r="I34" i="28"/>
  <c r="I34" i="24"/>
  <c r="I34" i="14"/>
  <c r="I34" i="9"/>
  <c r="I34" i="8"/>
  <c r="I34" i="7"/>
  <c r="I34" i="6"/>
  <c r="I38" i="28"/>
  <c r="I38" i="24"/>
  <c r="I38" i="9"/>
  <c r="I38" i="14"/>
  <c r="I38" i="8"/>
  <c r="I38" i="7"/>
  <c r="I38" i="6"/>
  <c r="I41" i="28"/>
  <c r="I41" i="24"/>
  <c r="I41" i="14"/>
  <c r="I41" i="8"/>
  <c r="I41" i="9"/>
  <c r="I41" i="7"/>
  <c r="I41" i="6"/>
  <c r="I46" i="28"/>
  <c r="AZ98" i="28" s="1"/>
  <c r="I46" i="24"/>
  <c r="I46" i="14"/>
  <c r="I46" i="9"/>
  <c r="I46" i="8"/>
  <c r="I46" i="7"/>
  <c r="I46" i="6"/>
  <c r="I49" i="28"/>
  <c r="I49" i="24"/>
  <c r="I49" i="14"/>
  <c r="I49" i="8"/>
  <c r="I49" i="7"/>
  <c r="I49" i="6"/>
  <c r="I50" i="28"/>
  <c r="I50" i="24"/>
  <c r="I50" i="14"/>
  <c r="I50" i="9"/>
  <c r="I50" i="8"/>
  <c r="I50" i="7"/>
  <c r="I50" i="6"/>
  <c r="I7" i="29"/>
  <c r="I7" i="25"/>
  <c r="I7" i="11"/>
  <c r="I7" i="10"/>
  <c r="I7" i="12"/>
  <c r="I7" i="13"/>
  <c r="I19" i="29"/>
  <c r="I19" i="25"/>
  <c r="I19" i="11"/>
  <c r="I19" i="12"/>
  <c r="I19" i="10"/>
  <c r="I19" i="13"/>
  <c r="U39" i="4"/>
  <c r="E17" i="23"/>
  <c r="AI3" i="21"/>
  <c r="Y5" i="21"/>
  <c r="AG5" i="21" s="1"/>
  <c r="AI8" i="21"/>
  <c r="AR21" i="24"/>
  <c r="AV21" i="24" s="1"/>
  <c r="AV34" i="24"/>
  <c r="AR35" i="24"/>
  <c r="AY34" i="24"/>
  <c r="AY39" i="24"/>
  <c r="AR46" i="24"/>
  <c r="AV46" i="24" s="1"/>
  <c r="AK23" i="25"/>
  <c r="AK30" i="25"/>
  <c r="AK27" i="25"/>
  <c r="AK22" i="25"/>
  <c r="AK21" i="25"/>
  <c r="AY36" i="24"/>
  <c r="AY31" i="24"/>
  <c r="AY38" i="24"/>
  <c r="AK25" i="25"/>
  <c r="AK29" i="25"/>
  <c r="AD10" i="21"/>
  <c r="E18" i="23"/>
  <c r="J8" i="23"/>
  <c r="AR11" i="24"/>
  <c r="AV11" i="24" s="1"/>
  <c r="AY30" i="24"/>
  <c r="AR39" i="24"/>
  <c r="AY40" i="24"/>
  <c r="AI13" i="21"/>
  <c r="AY32" i="24"/>
  <c r="AY35" i="24"/>
  <c r="AK26" i="25"/>
  <c r="X3" i="21"/>
  <c r="Y4" i="21"/>
  <c r="AG4" i="21" s="1"/>
  <c r="F4" i="5"/>
  <c r="E4" i="5"/>
  <c r="E30" i="5"/>
  <c r="AB55" i="24"/>
  <c r="AG56" i="24"/>
  <c r="AD58" i="6"/>
  <c r="AD56" i="24"/>
  <c r="AL56" i="24"/>
  <c r="AD55" i="8"/>
  <c r="AD55" i="24"/>
  <c r="AB56" i="24"/>
  <c r="AC15" i="17"/>
  <c r="AC3" i="17"/>
  <c r="AC7" i="17"/>
  <c r="AC11" i="17"/>
  <c r="AC19" i="17"/>
  <c r="AC23" i="17"/>
  <c r="AC27" i="17"/>
  <c r="AC31" i="17"/>
  <c r="AC35" i="17"/>
  <c r="AC43" i="17"/>
  <c r="AC51" i="17"/>
  <c r="AC59" i="17"/>
  <c r="AC67" i="17"/>
  <c r="AC75" i="17"/>
  <c r="AC2" i="17"/>
  <c r="AC10" i="17"/>
  <c r="AC101" i="17"/>
  <c r="AC105" i="17"/>
  <c r="AC109" i="17"/>
  <c r="AC4" i="17"/>
  <c r="AC8" i="17"/>
  <c r="AC12" i="17"/>
  <c r="AC16" i="17"/>
  <c r="AC17" i="17"/>
  <c r="AC20" i="17"/>
  <c r="AC21" i="17"/>
  <c r="AC24" i="17"/>
  <c r="AC25" i="17"/>
  <c r="AC28" i="17"/>
  <c r="AC32" i="17"/>
  <c r="AC36" i="17"/>
  <c r="AC40" i="17"/>
  <c r="AC44" i="17"/>
  <c r="AC48" i="17"/>
  <c r="AC52" i="17"/>
  <c r="AC56" i="17"/>
  <c r="AC60" i="17"/>
  <c r="AC64" i="17"/>
  <c r="AC68" i="17"/>
  <c r="AC88" i="17"/>
  <c r="AC92" i="17"/>
  <c r="AC96" i="17"/>
  <c r="AO6" i="26"/>
  <c r="AC6" i="17"/>
  <c r="AC14" i="17"/>
  <c r="AC18" i="17"/>
  <c r="AC22" i="17"/>
  <c r="AC102" i="17"/>
  <c r="AC106" i="17"/>
  <c r="AC110" i="17"/>
  <c r="AO4" i="26"/>
  <c r="AO5" i="26"/>
  <c r="AC83" i="17"/>
  <c r="AT4" i="26"/>
  <c r="AC26" i="17"/>
  <c r="AC30" i="17"/>
  <c r="AC34" i="17"/>
  <c r="AC38" i="17"/>
  <c r="AC39" i="17"/>
  <c r="AC47" i="17"/>
  <c r="AC55" i="17"/>
  <c r="AC63" i="17"/>
  <c r="AC71" i="17"/>
  <c r="AC79" i="17"/>
  <c r="AC100" i="17"/>
  <c r="AC104" i="17"/>
  <c r="AC108" i="17"/>
  <c r="AJ4" i="26"/>
  <c r="AC5" i="17"/>
  <c r="AC9" i="17"/>
  <c r="AC13" i="17"/>
  <c r="AC29" i="17"/>
  <c r="AC33" i="17"/>
  <c r="AC37" i="17"/>
  <c r="AC41" i="17"/>
  <c r="AC45" i="17"/>
  <c r="AC49" i="17"/>
  <c r="AC53" i="17"/>
  <c r="AC57" i="17"/>
  <c r="AC61" i="17"/>
  <c r="AC65" i="17"/>
  <c r="AC69" i="17"/>
  <c r="AC73" i="17"/>
  <c r="AC77" i="17"/>
  <c r="AC81" i="17"/>
  <c r="AC99" i="17"/>
  <c r="AC103" i="17"/>
  <c r="AC107" i="17"/>
  <c r="AT2" i="26"/>
  <c r="AT7" i="26" s="1"/>
  <c r="AJ5" i="26"/>
  <c r="AJ6" i="26"/>
  <c r="AC85" i="17"/>
  <c r="R54" i="7"/>
  <c r="Z54" i="7"/>
  <c r="L54" i="8"/>
  <c r="L58" i="8" s="1"/>
  <c r="L54" i="24"/>
  <c r="L58" i="24" s="1"/>
  <c r="R48" i="25"/>
  <c r="X6" i="21"/>
  <c r="AF6" i="21" s="1"/>
  <c r="Y8" i="21"/>
  <c r="AJ4" i="21"/>
  <c r="AO2" i="16"/>
  <c r="AO7" i="16" s="1"/>
  <c r="AT2" i="16"/>
  <c r="AT7" i="16" s="1"/>
  <c r="AJ2" i="16"/>
  <c r="AJ7" i="16" s="1"/>
  <c r="AT3" i="16"/>
  <c r="AJ3" i="16"/>
  <c r="AT4" i="16"/>
  <c r="AJ4" i="16"/>
  <c r="AO6" i="16"/>
  <c r="AO3" i="16"/>
  <c r="AO4" i="16"/>
  <c r="AO5" i="16"/>
  <c r="AJ5" i="16"/>
  <c r="AJ6" i="16"/>
  <c r="AT6" i="16"/>
  <c r="AA9" i="21"/>
  <c r="AA10" i="21"/>
  <c r="AA11" i="21"/>
  <c r="AA12" i="21"/>
  <c r="U10" i="21"/>
  <c r="AF3" i="21"/>
  <c r="X4" i="21"/>
  <c r="AF4" i="21" s="1"/>
  <c r="X8" i="21"/>
  <c r="AF8" i="21" s="1"/>
  <c r="Y3" i="21"/>
  <c r="AG3" i="21" s="1"/>
  <c r="AJ8" i="21"/>
  <c r="AT5" i="26"/>
  <c r="AT6" i="26"/>
  <c r="AP57" i="28"/>
  <c r="BB61" i="28"/>
  <c r="AX61" i="28"/>
  <c r="AP61" i="28"/>
  <c r="AL61" i="28"/>
  <c r="BA61" i="28"/>
  <c r="AS61" i="28"/>
  <c r="AO61" i="28"/>
  <c r="AK61" i="28"/>
  <c r="BB65" i="28"/>
  <c r="AX65" i="28"/>
  <c r="AT65" i="28"/>
  <c r="AP65" i="28"/>
  <c r="AL65" i="28"/>
  <c r="BA65" i="28"/>
  <c r="AW65" i="28"/>
  <c r="AS65" i="28"/>
  <c r="AK65" i="28"/>
  <c r="BA69" i="28"/>
  <c r="AW69" i="28"/>
  <c r="AS69" i="28"/>
  <c r="AO69" i="28"/>
  <c r="AK69" i="28"/>
  <c r="BC69" i="28"/>
  <c r="AX69" i="28"/>
  <c r="AR69" i="28"/>
  <c r="AM69" i="28"/>
  <c r="BB69" i="28"/>
  <c r="AV69" i="28"/>
  <c r="AQ69" i="28"/>
  <c r="AL69" i="28"/>
  <c r="AZ69" i="28"/>
  <c r="AU69" i="28"/>
  <c r="AP69" i="28"/>
  <c r="AJ69" i="28"/>
  <c r="AK73" i="28"/>
  <c r="AS77" i="28"/>
  <c r="BA81" i="28"/>
  <c r="AW81" i="28"/>
  <c r="AS81" i="28"/>
  <c r="AK81" i="28"/>
  <c r="P81" i="28"/>
  <c r="BC81" i="28"/>
  <c r="AR81" i="28"/>
  <c r="AM81" i="28"/>
  <c r="BB81" i="28"/>
  <c r="AQ81" i="28"/>
  <c r="AL81" i="28"/>
  <c r="AZ81" i="28"/>
  <c r="AP81" i="28"/>
  <c r="AJ81" i="28"/>
  <c r="BB85" i="28"/>
  <c r="BC93" i="28"/>
  <c r="AY93" i="28"/>
  <c r="AU93" i="28"/>
  <c r="AQ93" i="28"/>
  <c r="AM93" i="28"/>
  <c r="AI93" i="28"/>
  <c r="BB93" i="28"/>
  <c r="AX93" i="28"/>
  <c r="AT93" i="28"/>
  <c r="AP93" i="28"/>
  <c r="AL93" i="28"/>
  <c r="BA93" i="28"/>
  <c r="AW93" i="28"/>
  <c r="AS93" i="28"/>
  <c r="AO93" i="28"/>
  <c r="AK93" i="28"/>
  <c r="AZ93" i="28"/>
  <c r="AJ93" i="28"/>
  <c r="AV93" i="28"/>
  <c r="AR93" i="28"/>
  <c r="AZ97" i="28"/>
  <c r="AV97" i="28"/>
  <c r="AR97" i="28"/>
  <c r="AJ97" i="28"/>
  <c r="BC97" i="28"/>
  <c r="AY97" i="28"/>
  <c r="AQ97" i="28"/>
  <c r="AM97" i="28"/>
  <c r="AI97" i="28"/>
  <c r="AX97" i="28"/>
  <c r="AT97" i="28"/>
  <c r="AP97" i="28"/>
  <c r="AS97" i="28"/>
  <c r="AO97" i="28"/>
  <c r="BA97" i="28"/>
  <c r="AW97" i="28"/>
  <c r="BD101" i="28"/>
  <c r="AZ101" i="28"/>
  <c r="AR101" i="28"/>
  <c r="AN101" i="28"/>
  <c r="AJ101" i="28"/>
  <c r="AY101" i="28"/>
  <c r="AU101" i="28"/>
  <c r="AQ101" i="28"/>
  <c r="AI101" i="28"/>
  <c r="BB101" i="28"/>
  <c r="AX101" i="28"/>
  <c r="AP101" i="28"/>
  <c r="AL101" i="28"/>
  <c r="AS101" i="28"/>
  <c r="BA101" i="28"/>
  <c r="AK101" i="28"/>
  <c r="AW101" i="28"/>
  <c r="AN58" i="28"/>
  <c r="AV58" i="28"/>
  <c r="AR61" i="28"/>
  <c r="AZ61" i="28"/>
  <c r="AJ65" i="28"/>
  <c r="AR65" i="28"/>
  <c r="AZ65" i="28"/>
  <c r="AN66" i="28"/>
  <c r="AV66" i="28"/>
  <c r="AY69" i="28"/>
  <c r="AV71" i="28"/>
  <c r="BD81" i="28"/>
  <c r="AN93" i="28"/>
  <c r="BB58" i="28"/>
  <c r="AX58" i="28"/>
  <c r="AT58" i="28"/>
  <c r="AP58" i="28"/>
  <c r="AL58" i="28"/>
  <c r="BA58" i="28"/>
  <c r="AW58" i="28"/>
  <c r="AS58" i="28"/>
  <c r="AO58" i="28"/>
  <c r="AK58" i="28"/>
  <c r="AL62" i="28"/>
  <c r="BB66" i="28"/>
  <c r="AX66" i="28"/>
  <c r="AT66" i="28"/>
  <c r="AP66" i="28"/>
  <c r="AL66" i="28"/>
  <c r="BA66" i="28"/>
  <c r="AW66" i="28"/>
  <c r="AS66" i="28"/>
  <c r="AO66" i="28"/>
  <c r="AK66" i="28"/>
  <c r="AT70" i="28"/>
  <c r="BA74" i="28"/>
  <c r="AW74" i="28"/>
  <c r="AO74" i="28"/>
  <c r="P74" i="28"/>
  <c r="AV74" i="28"/>
  <c r="AQ74" i="28"/>
  <c r="AU74" i="28"/>
  <c r="AP74" i="28"/>
  <c r="AJ74" i="28"/>
  <c r="AT74" i="28"/>
  <c r="AN74" i="28"/>
  <c r="R74" i="28"/>
  <c r="BA78" i="28"/>
  <c r="AW78" i="28"/>
  <c r="AS78" i="28"/>
  <c r="AO78" i="28"/>
  <c r="AK78" i="28"/>
  <c r="P78" i="28"/>
  <c r="BB78" i="28"/>
  <c r="AV78" i="28"/>
  <c r="AQ78" i="28"/>
  <c r="AL78" i="28"/>
  <c r="AZ78" i="28"/>
  <c r="AU78" i="28"/>
  <c r="AP78" i="28"/>
  <c r="AJ78" i="28"/>
  <c r="BD78" i="28"/>
  <c r="AY78" i="28"/>
  <c r="AT78" i="28"/>
  <c r="AN78" i="28"/>
  <c r="AI78" i="28"/>
  <c r="R78" i="28"/>
  <c r="BC86" i="28"/>
  <c r="AY86" i="28"/>
  <c r="AU86" i="28"/>
  <c r="AQ86" i="28"/>
  <c r="AM86" i="28"/>
  <c r="AI86" i="28"/>
  <c r="BA86" i="28"/>
  <c r="AW86" i="28"/>
  <c r="AS86" i="28"/>
  <c r="AO86" i="28"/>
  <c r="AK86" i="28"/>
  <c r="AX86" i="28"/>
  <c r="AP86" i="28"/>
  <c r="BD86" i="28"/>
  <c r="AV86" i="28"/>
  <c r="AN86" i="28"/>
  <c r="BB86" i="28"/>
  <c r="AT86" i="28"/>
  <c r="AL86" i="28"/>
  <c r="BC90" i="28"/>
  <c r="AY90" i="28"/>
  <c r="AQ90" i="28"/>
  <c r="AM90" i="28"/>
  <c r="AI90" i="28"/>
  <c r="AX90" i="28"/>
  <c r="AT90" i="28"/>
  <c r="AP90" i="28"/>
  <c r="BA90" i="28"/>
  <c r="AW90" i="28"/>
  <c r="AS90" i="28"/>
  <c r="AK90" i="28"/>
  <c r="BD90" i="28"/>
  <c r="AN90" i="28"/>
  <c r="AJ90" i="28"/>
  <c r="AV90" i="28"/>
  <c r="BC94" i="28"/>
  <c r="AY94" i="28"/>
  <c r="AU94" i="28"/>
  <c r="AQ94" i="28"/>
  <c r="AM94" i="28"/>
  <c r="AI94" i="28"/>
  <c r="BB94" i="28"/>
  <c r="AX94" i="28"/>
  <c r="AT94" i="28"/>
  <c r="AP94" i="28"/>
  <c r="AL94" i="28"/>
  <c r="BA94" i="28"/>
  <c r="AW94" i="28"/>
  <c r="AS94" i="28"/>
  <c r="AO94" i="28"/>
  <c r="AK94" i="28"/>
  <c r="BD94" i="28"/>
  <c r="AN94" i="28"/>
  <c r="AZ94" i="28"/>
  <c r="AJ94" i="28"/>
  <c r="AV94" i="28"/>
  <c r="AJ98" i="28"/>
  <c r="BD102" i="28"/>
  <c r="AZ102" i="28"/>
  <c r="AV102" i="28"/>
  <c r="AR102" i="28"/>
  <c r="AN102" i="28"/>
  <c r="AJ102" i="28"/>
  <c r="BC102" i="28"/>
  <c r="AY102" i="28"/>
  <c r="AU102" i="28"/>
  <c r="AQ102" i="28"/>
  <c r="AM102" i="28"/>
  <c r="AI102" i="28"/>
  <c r="BB102" i="28"/>
  <c r="AX102" i="28"/>
  <c r="AT102" i="28"/>
  <c r="AP102" i="28"/>
  <c r="AL102" i="28"/>
  <c r="AW102" i="28"/>
  <c r="AS102" i="28"/>
  <c r="AO102" i="28"/>
  <c r="AK102" i="28"/>
  <c r="AI58" i="28"/>
  <c r="AQ58" i="28"/>
  <c r="AY58" i="28"/>
  <c r="AM61" i="28"/>
  <c r="AU61" i="28"/>
  <c r="AM65" i="28"/>
  <c r="AU65" i="28"/>
  <c r="BC65" i="28"/>
  <c r="AI66" i="28"/>
  <c r="AQ66" i="28"/>
  <c r="AY66" i="28"/>
  <c r="AI69" i="28"/>
  <c r="BD69" i="28"/>
  <c r="AX74" i="28"/>
  <c r="AR78" i="28"/>
  <c r="AN81" i="28"/>
  <c r="AZ86" i="28"/>
  <c r="BD93" i="28"/>
  <c r="BA59" i="28"/>
  <c r="AS71" i="28"/>
  <c r="AZ71" i="28"/>
  <c r="AP71" i="28"/>
  <c r="BD71" i="28"/>
  <c r="AI71" i="28"/>
  <c r="BC71" i="28"/>
  <c r="AX71" i="28"/>
  <c r="BC87" i="28"/>
  <c r="AY87" i="28"/>
  <c r="AU87" i="28"/>
  <c r="BB87" i="28"/>
  <c r="AT87" i="28"/>
  <c r="AL87" i="28"/>
  <c r="AS87" i="28"/>
  <c r="AR87" i="28"/>
  <c r="BD87" i="28"/>
  <c r="AJ58" i="28"/>
  <c r="AR58" i="28"/>
  <c r="AZ58" i="28"/>
  <c r="AV59" i="28"/>
  <c r="AN61" i="28"/>
  <c r="AV61" i="28"/>
  <c r="AZ62" i="28"/>
  <c r="AN65" i="28"/>
  <c r="AV65" i="28"/>
  <c r="BD65" i="28"/>
  <c r="AJ66" i="28"/>
  <c r="AR66" i="28"/>
  <c r="AZ66" i="28"/>
  <c r="AN69" i="28"/>
  <c r="AL71" i="28"/>
  <c r="BC74" i="28"/>
  <c r="AX78" i="28"/>
  <c r="AT81" i="28"/>
  <c r="BA102" i="28"/>
  <c r="X84" i="29"/>
  <c r="AG61" i="29"/>
  <c r="AC61" i="29"/>
  <c r="Y61" i="29"/>
  <c r="AE61" i="29"/>
  <c r="AA61" i="29"/>
  <c r="AE65" i="29"/>
  <c r="AG73" i="29"/>
  <c r="AH81" i="29"/>
  <c r="Z61" i="29"/>
  <c r="AH61" i="29"/>
  <c r="AH65" i="29"/>
  <c r="AE50" i="29"/>
  <c r="AG50" i="29"/>
  <c r="AC50" i="29"/>
  <c r="Y50" i="29"/>
  <c r="AE54" i="29"/>
  <c r="AA54" i="29"/>
  <c r="AG54" i="29"/>
  <c r="AC54" i="29"/>
  <c r="Y54" i="29"/>
  <c r="AE58" i="29"/>
  <c r="AA58" i="29"/>
  <c r="AG58" i="29"/>
  <c r="AC58" i="29"/>
  <c r="Y58" i="29"/>
  <c r="AE62" i="29"/>
  <c r="AA62" i="29"/>
  <c r="AG62" i="29"/>
  <c r="AC62" i="29"/>
  <c r="Y62" i="29"/>
  <c r="AE66" i="29"/>
  <c r="AA66" i="29"/>
  <c r="AH66" i="29"/>
  <c r="AG66" i="29"/>
  <c r="AC66" i="29"/>
  <c r="Y66" i="29"/>
  <c r="AF70" i="29"/>
  <c r="AB70" i="29"/>
  <c r="X70" i="29"/>
  <c r="AE70" i="29"/>
  <c r="Z70" i="29"/>
  <c r="AD70" i="29"/>
  <c r="Y70" i="29"/>
  <c r="AH70" i="29"/>
  <c r="AC70" i="29"/>
  <c r="AF74" i="29"/>
  <c r="AB74" i="29"/>
  <c r="AH74" i="29"/>
  <c r="AC74" i="29"/>
  <c r="AG74" i="29"/>
  <c r="AE74" i="29"/>
  <c r="Z74" i="29"/>
  <c r="AH78" i="29"/>
  <c r="AD78" i="29"/>
  <c r="Z78" i="29"/>
  <c r="AG78" i="29"/>
  <c r="AB78" i="29"/>
  <c r="AE78" i="29"/>
  <c r="X78" i="29"/>
  <c r="AC78" i="29"/>
  <c r="AA78" i="29"/>
  <c r="AH82" i="29"/>
  <c r="AD82" i="29"/>
  <c r="Z82" i="29"/>
  <c r="AF82" i="29"/>
  <c r="AB82" i="29"/>
  <c r="X82" i="29"/>
  <c r="AA82" i="29"/>
  <c r="Y82" i="29"/>
  <c r="AG82" i="29"/>
  <c r="AE82" i="29"/>
  <c r="X50" i="29"/>
  <c r="AD50" i="29"/>
  <c r="AD54" i="29"/>
  <c r="AD58" i="29"/>
  <c r="AB61" i="29"/>
  <c r="AD62" i="29"/>
  <c r="AD66" i="29"/>
  <c r="Z50" i="29"/>
  <c r="AF50" i="29"/>
  <c r="X54" i="29"/>
  <c r="AF54" i="29"/>
  <c r="X58" i="29"/>
  <c r="AF58" i="29"/>
  <c r="AD61" i="29"/>
  <c r="X62" i="29"/>
  <c r="AF62" i="29"/>
  <c r="X66" i="29"/>
  <c r="AF66" i="29"/>
  <c r="AA70" i="29"/>
  <c r="Y74" i="29"/>
  <c r="AC82" i="29"/>
  <c r="AJ58" i="24"/>
  <c r="AQ6" i="24"/>
  <c r="AC7" i="25"/>
  <c r="AR31" i="24"/>
  <c r="AR43" i="24"/>
  <c r="AR47" i="24"/>
  <c r="AV47" i="24" s="1"/>
  <c r="AR51" i="24"/>
  <c r="AV51" i="24" s="1"/>
  <c r="AO3" i="26"/>
  <c r="AR6" i="24"/>
  <c r="AR12" i="24"/>
  <c r="AR16" i="24"/>
  <c r="AV16" i="24" s="1"/>
  <c r="AR18" i="24"/>
  <c r="AR26" i="24"/>
  <c r="AO2" i="26"/>
  <c r="AJ3" i="26"/>
  <c r="AT3" i="26"/>
  <c r="AJ2" i="26"/>
  <c r="AJ13" i="21"/>
  <c r="Z8" i="21"/>
  <c r="AH8" i="21" s="1"/>
  <c r="Z5" i="21"/>
  <c r="AH5" i="21" s="1"/>
  <c r="Z6" i="21"/>
  <c r="AH6" i="21" s="1"/>
  <c r="Z4" i="21"/>
  <c r="AH4" i="21" s="1"/>
  <c r="AJ5" i="21"/>
  <c r="AJ6" i="21"/>
  <c r="Z13" i="21"/>
  <c r="AH13" i="21" s="1"/>
  <c r="U9" i="21"/>
  <c r="AI9" i="21" s="1"/>
  <c r="R9" i="21"/>
  <c r="U11" i="21"/>
  <c r="AI11" i="21" s="1"/>
  <c r="R10" i="21"/>
  <c r="X10" i="21" s="1"/>
  <c r="AF10" i="21" s="1"/>
  <c r="R11" i="21"/>
  <c r="R12" i="21"/>
  <c r="M368" i="21"/>
  <c r="U12" i="21" s="1"/>
  <c r="AI12" i="21" s="1"/>
  <c r="AJ3" i="21"/>
  <c r="Z3" i="21"/>
  <c r="AH3" i="21" s="1"/>
  <c r="X5" i="21"/>
  <c r="AF5" i="21" s="1"/>
  <c r="AI6" i="21"/>
  <c r="AG8" i="21"/>
  <c r="Y6" i="21"/>
  <c r="AG6" i="21" s="1"/>
  <c r="X13" i="21"/>
  <c r="AF13" i="21" s="1"/>
  <c r="AT5" i="16"/>
  <c r="AC89" i="17"/>
  <c r="AC93" i="17"/>
  <c r="AC97" i="17"/>
  <c r="AC72" i="17"/>
  <c r="AC80" i="17"/>
  <c r="AC42" i="17"/>
  <c r="AC46" i="17"/>
  <c r="AC50" i="17"/>
  <c r="AC54" i="17"/>
  <c r="AC58" i="17"/>
  <c r="AC62" i="17"/>
  <c r="AC66" i="17"/>
  <c r="AC70" i="17"/>
  <c r="AC74" i="17"/>
  <c r="AC78" i="17"/>
  <c r="AC82" i="17"/>
  <c r="AC86" i="17"/>
  <c r="AC90" i="17"/>
  <c r="AC94" i="17"/>
  <c r="AC98" i="17"/>
  <c r="AC76" i="17"/>
  <c r="AC84" i="17"/>
  <c r="AC87" i="17"/>
  <c r="AC91" i="17"/>
  <c r="AC95" i="17"/>
  <c r="AG54" i="8"/>
  <c r="AG54" i="9"/>
  <c r="AG54" i="7"/>
  <c r="AD54" i="8"/>
  <c r="AD54" i="9"/>
  <c r="AD54" i="7"/>
  <c r="AJ54" i="8"/>
  <c r="AJ54" i="9"/>
  <c r="AJ54" i="7"/>
  <c r="AB54" i="8"/>
  <c r="AB54" i="9"/>
  <c r="AB54" i="7"/>
  <c r="AI54" i="8"/>
  <c r="AI58" i="8" s="1"/>
  <c r="AI54" i="9"/>
  <c r="AI54" i="7"/>
  <c r="AB56" i="8"/>
  <c r="AG56" i="9"/>
  <c r="AG56" i="8"/>
  <c r="W45" i="13"/>
  <c r="W45" i="12"/>
  <c r="W45" i="10"/>
  <c r="W45" i="11"/>
  <c r="Y47" i="13"/>
  <c r="Y47" i="12"/>
  <c r="Y47" i="10"/>
  <c r="Y47" i="11"/>
  <c r="R45" i="13"/>
  <c r="R45" i="10"/>
  <c r="R45" i="12"/>
  <c r="R45" i="11"/>
  <c r="AI55" i="9"/>
  <c r="AI55" i="8"/>
  <c r="M54" i="8"/>
  <c r="M58" i="8" s="1"/>
  <c r="M54" i="9"/>
  <c r="M54" i="7"/>
  <c r="R54" i="8"/>
  <c r="R58" i="8" s="1"/>
  <c r="R54" i="9"/>
  <c r="Z58" i="6"/>
  <c r="AB57" i="6"/>
  <c r="AE54" i="8"/>
  <c r="AE54" i="9"/>
  <c r="AE54" i="7"/>
  <c r="AH57" i="6"/>
  <c r="AK54" i="8"/>
  <c r="AK58" i="8" s="1"/>
  <c r="AK54" i="9"/>
  <c r="AK54" i="7"/>
  <c r="AD55" i="7"/>
  <c r="AH55" i="7"/>
  <c r="V56" i="7"/>
  <c r="Z56" i="7"/>
  <c r="AD56" i="7"/>
  <c r="AH56" i="7"/>
  <c r="AL56" i="7"/>
  <c r="L54" i="7"/>
  <c r="AH56" i="8"/>
  <c r="Y45" i="13"/>
  <c r="Y45" i="12"/>
  <c r="Y45" i="11"/>
  <c r="Y45" i="10"/>
  <c r="AA47" i="13"/>
  <c r="AA47" i="12"/>
  <c r="AA47" i="11"/>
  <c r="AA47" i="10"/>
  <c r="Z47" i="13"/>
  <c r="Z47" i="12"/>
  <c r="Z47" i="11"/>
  <c r="Z47" i="10"/>
  <c r="W56" i="6"/>
  <c r="W54" i="24" s="1"/>
  <c r="W58" i="24" s="1"/>
  <c r="AH54" i="8"/>
  <c r="AH54" i="9"/>
  <c r="AH54" i="7"/>
  <c r="D28" i="5"/>
  <c r="AL56" i="6" s="1"/>
  <c r="AL54" i="24" s="1"/>
  <c r="W46" i="13"/>
  <c r="W46" i="12"/>
  <c r="W46" i="10"/>
  <c r="W46" i="11"/>
  <c r="AA45" i="13"/>
  <c r="AA45" i="12"/>
  <c r="AA45" i="10"/>
  <c r="AA45" i="11"/>
  <c r="AA56" i="9"/>
  <c r="AA56" i="8"/>
  <c r="AI56" i="9"/>
  <c r="AI56" i="8"/>
  <c r="Z45" i="13"/>
  <c r="Z45" i="10"/>
  <c r="Z45" i="12"/>
  <c r="Z49" i="12" s="1"/>
  <c r="Z45" i="11"/>
  <c r="Z49" i="11" s="1"/>
  <c r="Q54" i="8"/>
  <c r="Q58" i="8" s="1"/>
  <c r="Q54" i="9"/>
  <c r="Q54" i="7"/>
  <c r="AB58" i="6"/>
  <c r="AH58" i="6"/>
  <c r="AL58" i="6"/>
  <c r="AI55" i="7"/>
  <c r="AA56" i="7"/>
  <c r="AI56" i="7"/>
  <c r="AB55" i="8"/>
  <c r="AH55" i="8"/>
  <c r="AD56" i="8"/>
  <c r="AJ56" i="8"/>
  <c r="O54" i="8"/>
  <c r="O58" i="8" s="1"/>
  <c r="O54" i="9"/>
  <c r="O54" i="7"/>
  <c r="S54" i="8"/>
  <c r="S54" i="9"/>
  <c r="S54" i="7"/>
  <c r="AA54" i="8"/>
  <c r="AA58" i="8" s="1"/>
  <c r="AA45" i="9" s="1"/>
  <c r="AA54" i="9"/>
  <c r="AA54" i="7"/>
  <c r="AL56" i="8"/>
  <c r="E28" i="5"/>
  <c r="AL55" i="24" s="1"/>
  <c r="W47" i="13"/>
  <c r="W47" i="12"/>
  <c r="W47" i="11"/>
  <c r="W47" i="10"/>
  <c r="AA46" i="13"/>
  <c r="AA46" i="12"/>
  <c r="AA46" i="10"/>
  <c r="AA46" i="11"/>
  <c r="U56" i="9"/>
  <c r="U56" i="8"/>
  <c r="U47" i="13"/>
  <c r="U47" i="12"/>
  <c r="U47" i="10"/>
  <c r="U47" i="11"/>
  <c r="Z46" i="13"/>
  <c r="Z46" i="12"/>
  <c r="Z46" i="11"/>
  <c r="Z46" i="10"/>
  <c r="P54" i="8"/>
  <c r="P58" i="8" s="1"/>
  <c r="P54" i="9"/>
  <c r="U54" i="8"/>
  <c r="U58" i="8" s="1"/>
  <c r="U54" i="9"/>
  <c r="U54" i="7"/>
  <c r="V58" i="6"/>
  <c r="X54" i="8"/>
  <c r="X58" i="8" s="1"/>
  <c r="X54" i="9"/>
  <c r="AA58" i="6"/>
  <c r="AC54" i="8"/>
  <c r="AC58" i="8" s="1"/>
  <c r="AC54" i="9"/>
  <c r="AC54" i="7"/>
  <c r="AD57" i="6"/>
  <c r="AF54" i="8"/>
  <c r="AF54" i="9"/>
  <c r="AG58" i="6"/>
  <c r="AJ57" i="6"/>
  <c r="Z54" i="8"/>
  <c r="Z58" i="8" s="1"/>
  <c r="Z47" i="9" s="1"/>
  <c r="Z54" i="9"/>
  <c r="AB55" i="7"/>
  <c r="AJ55" i="7"/>
  <c r="AB56" i="7"/>
  <c r="AJ56" i="7"/>
  <c r="P54" i="7"/>
  <c r="X54" i="7"/>
  <c r="AF54" i="7"/>
  <c r="AJ55" i="8"/>
  <c r="V56" i="8"/>
  <c r="Z56" i="8"/>
  <c r="Z50" i="9"/>
  <c r="Z28" i="9"/>
  <c r="Z12" i="9"/>
  <c r="AA18" i="9"/>
  <c r="AM57" i="7"/>
  <c r="D37" i="5"/>
  <c r="S45" i="25" s="1"/>
  <c r="AT8" i="16" l="1"/>
  <c r="Z49" i="29"/>
  <c r="AE49" i="29"/>
  <c r="AA10" i="9"/>
  <c r="AA32" i="9"/>
  <c r="AA27" i="9"/>
  <c r="AA49" i="9"/>
  <c r="I38" i="13"/>
  <c r="I26" i="11"/>
  <c r="I14" i="29"/>
  <c r="I37" i="9"/>
  <c r="I30" i="28"/>
  <c r="AA19" i="9"/>
  <c r="P13" i="5"/>
  <c r="P16" i="5" s="1"/>
  <c r="I37" i="8"/>
  <c r="AA39" i="9"/>
  <c r="AA8" i="9"/>
  <c r="AA13" i="9"/>
  <c r="AA28" i="9"/>
  <c r="I26" i="25"/>
  <c r="I37" i="28"/>
  <c r="AA30" i="9"/>
  <c r="AA21" i="9"/>
  <c r="AA47" i="9"/>
  <c r="AA50" i="9"/>
  <c r="AA15" i="9"/>
  <c r="AA41" i="9"/>
  <c r="AA5" i="9"/>
  <c r="AA34" i="9"/>
  <c r="AA9" i="9"/>
  <c r="AA36" i="9"/>
  <c r="I14" i="13"/>
  <c r="I38" i="12"/>
  <c r="I14" i="11"/>
  <c r="I37" i="6"/>
  <c r="AG84" i="29"/>
  <c r="AE84" i="29"/>
  <c r="AH84" i="29"/>
  <c r="AF84" i="29"/>
  <c r="Y84" i="29"/>
  <c r="AB84" i="29"/>
  <c r="AD84" i="29"/>
  <c r="AC84" i="29"/>
  <c r="Z84" i="29"/>
  <c r="AA84" i="29"/>
  <c r="AR62" i="28"/>
  <c r="AT59" i="28"/>
  <c r="AX62" i="28"/>
  <c r="I8" i="7"/>
  <c r="AV87" i="28"/>
  <c r="AQ87" i="28"/>
  <c r="AX87" i="28"/>
  <c r="BA87" i="28"/>
  <c r="AK87" i="28"/>
  <c r="AZ87" i="28"/>
  <c r="AM87" i="28"/>
  <c r="AP87" i="28"/>
  <c r="AO87" i="28"/>
  <c r="AJ87" i="28"/>
  <c r="BA71" i="28"/>
  <c r="AK71" i="28"/>
  <c r="AJ71" i="28"/>
  <c r="AN71" i="28"/>
  <c r="AR71" i="28"/>
  <c r="AW71" i="28"/>
  <c r="AU71" i="28"/>
  <c r="AT71" i="28"/>
  <c r="AM71" i="28"/>
  <c r="I40" i="29"/>
  <c r="I40" i="10"/>
  <c r="I40" i="25"/>
  <c r="I40" i="11"/>
  <c r="I40" i="13"/>
  <c r="I40" i="12"/>
  <c r="I36" i="29"/>
  <c r="I36" i="10"/>
  <c r="I36" i="25"/>
  <c r="I36" i="11"/>
  <c r="I32" i="29"/>
  <c r="I32" i="11"/>
  <c r="I32" i="25"/>
  <c r="I32" i="10"/>
  <c r="I32" i="13"/>
  <c r="I32" i="12"/>
  <c r="I28" i="29"/>
  <c r="I28" i="10"/>
  <c r="I28" i="25"/>
  <c r="I28" i="11"/>
  <c r="I28" i="13"/>
  <c r="I28" i="12"/>
  <c r="I24" i="29"/>
  <c r="I24" i="10"/>
  <c r="I24" i="25"/>
  <c r="I24" i="11"/>
  <c r="I24" i="13"/>
  <c r="I24" i="12"/>
  <c r="I20" i="29"/>
  <c r="I20" i="10"/>
  <c r="I20" i="25"/>
  <c r="I20" i="11"/>
  <c r="I16" i="13"/>
  <c r="I16" i="12"/>
  <c r="I16" i="10"/>
  <c r="I16" i="11"/>
  <c r="I16" i="29"/>
  <c r="I16" i="25"/>
  <c r="I12" i="29"/>
  <c r="AB55" i="29" s="1"/>
  <c r="I12" i="10"/>
  <c r="I12" i="25"/>
  <c r="I12" i="11"/>
  <c r="I12" i="13"/>
  <c r="I12" i="12"/>
  <c r="I8" i="13"/>
  <c r="I8" i="12"/>
  <c r="I8" i="10"/>
  <c r="I8" i="11"/>
  <c r="I51" i="7"/>
  <c r="M69" i="6" s="1"/>
  <c r="I51" i="28"/>
  <c r="I51" i="8"/>
  <c r="I51" i="9"/>
  <c r="I51" i="6"/>
  <c r="I47" i="28"/>
  <c r="I47" i="8"/>
  <c r="I47" i="24"/>
  <c r="I47" i="9"/>
  <c r="I47" i="7"/>
  <c r="I47" i="6"/>
  <c r="I43" i="24"/>
  <c r="I43" i="9"/>
  <c r="I43" i="14"/>
  <c r="I43" i="6"/>
  <c r="I43" i="28"/>
  <c r="I43" i="7"/>
  <c r="I43" i="8"/>
  <c r="I39" i="7"/>
  <c r="I39" i="28"/>
  <c r="I39" i="8"/>
  <c r="I39" i="24"/>
  <c r="I39" i="14"/>
  <c r="I39" i="9"/>
  <c r="I39" i="6"/>
  <c r="I35" i="24"/>
  <c r="I35" i="9"/>
  <c r="I35" i="14"/>
  <c r="I35" i="6"/>
  <c r="I35" i="8"/>
  <c r="I35" i="7"/>
  <c r="I31" i="14"/>
  <c r="I31" i="6"/>
  <c r="I31" i="7"/>
  <c r="I31" i="8"/>
  <c r="I31" i="9"/>
  <c r="I31" i="24"/>
  <c r="I27" i="14"/>
  <c r="I27" i="6"/>
  <c r="I27" i="7"/>
  <c r="I27" i="28"/>
  <c r="I27" i="24"/>
  <c r="I27" i="8"/>
  <c r="I23" i="28"/>
  <c r="I23" i="8"/>
  <c r="I23" i="24"/>
  <c r="I23" i="9"/>
  <c r="I23" i="6"/>
  <c r="I23" i="7"/>
  <c r="I23" i="14"/>
  <c r="I19" i="8"/>
  <c r="I19" i="6"/>
  <c r="I19" i="7"/>
  <c r="I19" i="24"/>
  <c r="I19" i="14"/>
  <c r="I19" i="9"/>
  <c r="P12" i="5"/>
  <c r="P15" i="5" s="1"/>
  <c r="I15" i="24"/>
  <c r="I15" i="9"/>
  <c r="I15" i="14"/>
  <c r="I15" i="6"/>
  <c r="I15" i="28"/>
  <c r="I15" i="7"/>
  <c r="I11" i="8"/>
  <c r="I11" i="28"/>
  <c r="I11" i="7"/>
  <c r="I11" i="9"/>
  <c r="I11" i="6"/>
  <c r="I7" i="24"/>
  <c r="I7" i="9"/>
  <c r="I7" i="14"/>
  <c r="I7" i="6"/>
  <c r="I7" i="8"/>
  <c r="I7" i="7"/>
  <c r="AV62" i="28"/>
  <c r="AP62" i="28"/>
  <c r="AS62" i="28"/>
  <c r="AT62" i="28"/>
  <c r="AO62" i="28"/>
  <c r="AI62" i="28"/>
  <c r="I41" i="12"/>
  <c r="I41" i="11"/>
  <c r="I41" i="13"/>
  <c r="I41" i="10"/>
  <c r="I33" i="13"/>
  <c r="I33" i="12"/>
  <c r="I33" i="11"/>
  <c r="I33" i="10"/>
  <c r="I33" i="29"/>
  <c r="I33" i="25"/>
  <c r="I25" i="12"/>
  <c r="I25" i="13"/>
  <c r="I25" i="11"/>
  <c r="I25" i="10"/>
  <c r="I17" i="29"/>
  <c r="I17" i="12"/>
  <c r="I17" i="25"/>
  <c r="I17" i="10"/>
  <c r="I9" i="12"/>
  <c r="I9" i="13"/>
  <c r="I9" i="29"/>
  <c r="I9" i="25"/>
  <c r="I48" i="14"/>
  <c r="I48" i="6"/>
  <c r="I48" i="8"/>
  <c r="I48" i="9"/>
  <c r="I48" i="7"/>
  <c r="I48" i="28"/>
  <c r="I48" i="24"/>
  <c r="I40" i="14"/>
  <c r="I40" i="28"/>
  <c r="AR92" i="28" s="1"/>
  <c r="I40" i="9"/>
  <c r="I40" i="7"/>
  <c r="I40" i="6"/>
  <c r="I40" i="8"/>
  <c r="I12" i="8"/>
  <c r="I12" i="28"/>
  <c r="AU64" i="28" s="1"/>
  <c r="I12" i="7"/>
  <c r="I12" i="6"/>
  <c r="I12" i="24"/>
  <c r="I12" i="9"/>
  <c r="AY62" i="28"/>
  <c r="AK62" i="28"/>
  <c r="AJ62" i="28"/>
  <c r="AS59" i="28"/>
  <c r="AX59" i="28"/>
  <c r="AQ62" i="28"/>
  <c r="AU59" i="28"/>
  <c r="AW62" i="28"/>
  <c r="BB62" i="28"/>
  <c r="I8" i="25"/>
  <c r="I47" i="14"/>
  <c r="I31" i="28"/>
  <c r="AS74" i="28"/>
  <c r="BB74" i="28"/>
  <c r="AZ74" i="28"/>
  <c r="BD74" i="28"/>
  <c r="AI74" i="28"/>
  <c r="AK74" i="28"/>
  <c r="AL74" i="28"/>
  <c r="AY74" i="28"/>
  <c r="I36" i="12"/>
  <c r="I25" i="25"/>
  <c r="I9" i="10"/>
  <c r="I51" i="14"/>
  <c r="I27" i="9"/>
  <c r="AZ59" i="28"/>
  <c r="BB59" i="28"/>
  <c r="AL59" i="28"/>
  <c r="AO59" i="28"/>
  <c r="AN59" i="28"/>
  <c r="AJ59" i="28"/>
  <c r="AP59" i="28"/>
  <c r="AK59" i="28"/>
  <c r="I37" i="12"/>
  <c r="I37" i="11"/>
  <c r="I37" i="29"/>
  <c r="I37" i="25"/>
  <c r="I37" i="13"/>
  <c r="I37" i="10"/>
  <c r="I29" i="12"/>
  <c r="I29" i="11"/>
  <c r="I29" i="29"/>
  <c r="I29" i="25"/>
  <c r="I21" i="12"/>
  <c r="I21" i="13"/>
  <c r="I21" i="29"/>
  <c r="I21" i="25"/>
  <c r="I21" i="11"/>
  <c r="I21" i="10"/>
  <c r="I13" i="29"/>
  <c r="I13" i="13"/>
  <c r="I13" i="25"/>
  <c r="I13" i="10"/>
  <c r="I13" i="12"/>
  <c r="I13" i="11"/>
  <c r="I5" i="12"/>
  <c r="P14" i="5"/>
  <c r="P17" i="5" s="1"/>
  <c r="I5" i="13"/>
  <c r="I5" i="29"/>
  <c r="I5" i="25"/>
  <c r="I44" i="14"/>
  <c r="I44" i="6"/>
  <c r="I44" i="8"/>
  <c r="I44" i="28"/>
  <c r="I44" i="24"/>
  <c r="I36" i="24"/>
  <c r="I36" i="7"/>
  <c r="I36" i="14"/>
  <c r="I36" i="6"/>
  <c r="I36" i="28"/>
  <c r="I36" i="8"/>
  <c r="I32" i="28"/>
  <c r="I32" i="9"/>
  <c r="I32" i="24"/>
  <c r="I32" i="7"/>
  <c r="I32" i="14"/>
  <c r="I32" i="6"/>
  <c r="I28" i="28"/>
  <c r="I28" i="9"/>
  <c r="I28" i="24"/>
  <c r="I28" i="7"/>
  <c r="I28" i="14"/>
  <c r="I28" i="8"/>
  <c r="I24" i="8"/>
  <c r="I24" i="6"/>
  <c r="I24" i="14"/>
  <c r="I24" i="7"/>
  <c r="I24" i="28"/>
  <c r="I20" i="28"/>
  <c r="I20" i="7"/>
  <c r="I20" i="24"/>
  <c r="I20" i="9"/>
  <c r="I20" i="8"/>
  <c r="I20" i="6"/>
  <c r="I16" i="14"/>
  <c r="I16" i="6"/>
  <c r="I16" i="8"/>
  <c r="I16" i="28"/>
  <c r="I16" i="24"/>
  <c r="I16" i="7"/>
  <c r="I8" i="24"/>
  <c r="I8" i="9"/>
  <c r="I8" i="14"/>
  <c r="I8" i="6"/>
  <c r="S55" i="6" s="1"/>
  <c r="S60" i="6" s="1"/>
  <c r="I8" i="28"/>
  <c r="I8" i="8"/>
  <c r="AA14" i="9"/>
  <c r="AA12" i="9"/>
  <c r="AA29" i="9"/>
  <c r="AA37" i="9"/>
  <c r="AA44" i="9"/>
  <c r="AA43" i="9"/>
  <c r="AA51" i="9"/>
  <c r="AA74" i="29"/>
  <c r="X74" i="29"/>
  <c r="BD59" i="28"/>
  <c r="AN87" i="28"/>
  <c r="AW87" i="28"/>
  <c r="AI87" i="28"/>
  <c r="AY71" i="28"/>
  <c r="AO71" i="28"/>
  <c r="AW59" i="28"/>
  <c r="AM59" i="28"/>
  <c r="BA62" i="28"/>
  <c r="I8" i="29"/>
  <c r="AF51" i="29" s="1"/>
  <c r="I5" i="11"/>
  <c r="I44" i="9"/>
  <c r="I40" i="24"/>
  <c r="I36" i="9"/>
  <c r="I24" i="24"/>
  <c r="I20" i="14"/>
  <c r="I16" i="9"/>
  <c r="I36" i="13"/>
  <c r="I25" i="29"/>
  <c r="I9" i="11"/>
  <c r="I51" i="24"/>
  <c r="BD97" i="28"/>
  <c r="AN97" i="28"/>
  <c r="AU97" i="28"/>
  <c r="BB97" i="28"/>
  <c r="AL97" i="28"/>
  <c r="AK97" i="28"/>
  <c r="AV101" i="28"/>
  <c r="BC101" i="28"/>
  <c r="AM101" i="28"/>
  <c r="AT101" i="28"/>
  <c r="AO101" i="28"/>
  <c r="AR90" i="28"/>
  <c r="AU90" i="28"/>
  <c r="BB90" i="28"/>
  <c r="AL90" i="28"/>
  <c r="AO90" i="28"/>
  <c r="AZ90" i="28"/>
  <c r="AY81" i="28"/>
  <c r="AO81" i="28"/>
  <c r="AX81" i="28"/>
  <c r="AV81" i="28"/>
  <c r="AU81" i="28"/>
  <c r="AI81" i="28"/>
  <c r="R81" i="28"/>
  <c r="AT61" i="28"/>
  <c r="AW61" i="28"/>
  <c r="AJ61" i="28"/>
  <c r="BC61" i="28"/>
  <c r="BD61" i="28"/>
  <c r="E19" i="23"/>
  <c r="AY57" i="28"/>
  <c r="AQ57" i="28"/>
  <c r="AI57" i="28"/>
  <c r="BB57" i="28"/>
  <c r="AL57" i="28"/>
  <c r="AO57" i="28"/>
  <c r="AR57" i="28"/>
  <c r="AM57" i="28"/>
  <c r="AV57" i="28"/>
  <c r="AX57" i="28"/>
  <c r="BA57" i="28"/>
  <c r="AK57" i="28"/>
  <c r="AZ57" i="28"/>
  <c r="AU57" i="28"/>
  <c r="BD57" i="28"/>
  <c r="AT57" i="28"/>
  <c r="AW57" i="28"/>
  <c r="BC57" i="28"/>
  <c r="AF81" i="29"/>
  <c r="AD81" i="29"/>
  <c r="AA81" i="29"/>
  <c r="AB81" i="29"/>
  <c r="Z81" i="29"/>
  <c r="AE81" i="29"/>
  <c r="AC81" i="29"/>
  <c r="X81" i="29"/>
  <c r="AG81" i="29"/>
  <c r="AR103" i="28"/>
  <c r="AY103" i="28"/>
  <c r="AI103" i="28"/>
  <c r="AP103" i="28"/>
  <c r="AW103" i="28"/>
  <c r="BD103" i="28"/>
  <c r="AN103" i="28"/>
  <c r="AU103" i="28"/>
  <c r="BB103" i="28"/>
  <c r="AL103" i="28"/>
  <c r="AS103" i="28"/>
  <c r="AZ103" i="28"/>
  <c r="AJ103" i="28"/>
  <c r="AQ103" i="28"/>
  <c r="AX103" i="28"/>
  <c r="BA103" i="28"/>
  <c r="AO103" i="28"/>
  <c r="X55" i="6"/>
  <c r="X60" i="6" s="1"/>
  <c r="X49" i="7" s="1"/>
  <c r="M45" i="6"/>
  <c r="Z19" i="9"/>
  <c r="Z35" i="9"/>
  <c r="Z49" i="9"/>
  <c r="AR22" i="24"/>
  <c r="Z65" i="29"/>
  <c r="AD73" i="29"/>
  <c r="AT103" i="28"/>
  <c r="AO91" i="28"/>
  <c r="AO63" i="28"/>
  <c r="BB64" i="28"/>
  <c r="AW98" i="28"/>
  <c r="AP70" i="28"/>
  <c r="AP73" i="28"/>
  <c r="AK98" i="28"/>
  <c r="AV98" i="28"/>
  <c r="BC98" i="28"/>
  <c r="AM98" i="28"/>
  <c r="AT98" i="28"/>
  <c r="AS98" i="28"/>
  <c r="AR98" i="28"/>
  <c r="AY98" i="28"/>
  <c r="AI98" i="28"/>
  <c r="AP98" i="28"/>
  <c r="AO98" i="28"/>
  <c r="BD98" i="28"/>
  <c r="AN98" i="28"/>
  <c r="AU98" i="28"/>
  <c r="BB98" i="28"/>
  <c r="AL98" i="28"/>
  <c r="BA98" i="28"/>
  <c r="AV85" i="28"/>
  <c r="BC85" i="28"/>
  <c r="AM85" i="28"/>
  <c r="AS85" i="28"/>
  <c r="AT85" i="28"/>
  <c r="AJ85" i="28"/>
  <c r="AY85" i="28"/>
  <c r="AI85" i="28"/>
  <c r="AO85" i="28"/>
  <c r="AL85" i="28"/>
  <c r="AX85" i="28"/>
  <c r="BD85" i="28"/>
  <c r="AN85" i="28"/>
  <c r="AU85" i="28"/>
  <c r="BA85" i="28"/>
  <c r="AK85" i="28"/>
  <c r="AZ85" i="28"/>
  <c r="AP85" i="28"/>
  <c r="BD77" i="28"/>
  <c r="AI77" i="28"/>
  <c r="AO77" i="28"/>
  <c r="AR77" i="28"/>
  <c r="AQ77" i="28"/>
  <c r="AP77" i="28"/>
  <c r="BA77" i="28"/>
  <c r="AK77" i="28"/>
  <c r="AM77" i="28"/>
  <c r="AL77" i="28"/>
  <c r="AJ77" i="28"/>
  <c r="AW77" i="28"/>
  <c r="BC77" i="28"/>
  <c r="BB77" i="28"/>
  <c r="AZ77" i="28"/>
  <c r="AN77" i="28"/>
  <c r="AT77" i="28"/>
  <c r="AY77" i="28"/>
  <c r="AB77" i="29"/>
  <c r="AE77" i="29"/>
  <c r="Z77" i="29"/>
  <c r="AG77" i="29"/>
  <c r="X77" i="29"/>
  <c r="Y77" i="29"/>
  <c r="AH77" i="29"/>
  <c r="AD77" i="29"/>
  <c r="AG69" i="29"/>
  <c r="AF69" i="29"/>
  <c r="AC69" i="29"/>
  <c r="AB69" i="29"/>
  <c r="AH69" i="29"/>
  <c r="AA69" i="29"/>
  <c r="X69" i="29"/>
  <c r="AD69" i="29"/>
  <c r="AE69" i="29"/>
  <c r="AF53" i="29"/>
  <c r="X53" i="29"/>
  <c r="AE53" i="29"/>
  <c r="AG53" i="29"/>
  <c r="AA53" i="29"/>
  <c r="Z53" i="29"/>
  <c r="AB53" i="29"/>
  <c r="AD53" i="29"/>
  <c r="AC53" i="29"/>
  <c r="AZ82" i="28"/>
  <c r="AU82" i="28"/>
  <c r="AO82" i="28"/>
  <c r="AL82" i="28"/>
  <c r="AJ82" i="28"/>
  <c r="AI82" i="28"/>
  <c r="BA82" i="28"/>
  <c r="AK82" i="28"/>
  <c r="BD82" i="28"/>
  <c r="BB82" i="28"/>
  <c r="BC82" i="28"/>
  <c r="AW82" i="28"/>
  <c r="AX82" i="28"/>
  <c r="AV82" i="28"/>
  <c r="AT82" i="28"/>
  <c r="AM82" i="28"/>
  <c r="AN73" i="28"/>
  <c r="R73" i="28"/>
  <c r="AW73" i="28"/>
  <c r="P73" i="28"/>
  <c r="AM73" i="28"/>
  <c r="AL73" i="28"/>
  <c r="AJ73" i="28"/>
  <c r="AT73" i="28"/>
  <c r="AS73" i="28"/>
  <c r="BC73" i="28"/>
  <c r="BB73" i="28"/>
  <c r="AZ73" i="28"/>
  <c r="AI73" i="28"/>
  <c r="AO73" i="28"/>
  <c r="AX73" i="28"/>
  <c r="AV73" i="28"/>
  <c r="AU73" i="28"/>
  <c r="BD73" i="28"/>
  <c r="AY64" i="28"/>
  <c r="AQ64" i="28"/>
  <c r="AX64" i="28"/>
  <c r="BA64" i="28"/>
  <c r="AK64" i="28"/>
  <c r="AJ64" i="28"/>
  <c r="AT64" i="28"/>
  <c r="AW64" i="28"/>
  <c r="AR64" i="28"/>
  <c r="AN64" i="28"/>
  <c r="AM64" i="28"/>
  <c r="AS64" i="28"/>
  <c r="AZ64" i="28"/>
  <c r="U55" i="6"/>
  <c r="U60" i="6" s="1"/>
  <c r="U50" i="7" s="1"/>
  <c r="O55" i="6"/>
  <c r="O60" i="6" s="1"/>
  <c r="O50" i="7" s="1"/>
  <c r="O50" i="9" s="1"/>
  <c r="M17" i="6"/>
  <c r="Z8" i="9"/>
  <c r="Z27" i="9"/>
  <c r="Z34" i="9"/>
  <c r="X12" i="21"/>
  <c r="AF12" i="21" s="1"/>
  <c r="AC77" i="29"/>
  <c r="Y69" i="29"/>
  <c r="AR82" i="28"/>
  <c r="AM103" i="28"/>
  <c r="AX98" i="28"/>
  <c r="AS82" i="28"/>
  <c r="AJ57" i="28"/>
  <c r="AQ85" i="28"/>
  <c r="AV77" i="28"/>
  <c r="AQ73" i="28"/>
  <c r="AJ92" i="28"/>
  <c r="AK92" i="28"/>
  <c r="AM92" i="28"/>
  <c r="AY92" i="28"/>
  <c r="AX70" i="28"/>
  <c r="AR70" i="28"/>
  <c r="BA70" i="28"/>
  <c r="AK70" i="28"/>
  <c r="AL70" i="28"/>
  <c r="AJ70" i="28"/>
  <c r="AN70" i="28"/>
  <c r="AW70" i="28"/>
  <c r="BB70" i="28"/>
  <c r="AZ70" i="28"/>
  <c r="BD70" i="28"/>
  <c r="AI70" i="28"/>
  <c r="BC70" i="28"/>
  <c r="AS70" i="28"/>
  <c r="AV70" i="28"/>
  <c r="AU70" i="28"/>
  <c r="AY70" i="28"/>
  <c r="AM70" i="28"/>
  <c r="BC63" i="28"/>
  <c r="AI63" i="28"/>
  <c r="AY63" i="28"/>
  <c r="AQ63" i="28"/>
  <c r="AR63" i="28"/>
  <c r="AX63" i="28"/>
  <c r="BA63" i="28"/>
  <c r="AK63" i="28"/>
  <c r="AZ63" i="28"/>
  <c r="AM63" i="28"/>
  <c r="AT63" i="28"/>
  <c r="AW63" i="28"/>
  <c r="AN63" i="28"/>
  <c r="AU63" i="28"/>
  <c r="AP63" i="28"/>
  <c r="AS63" i="28"/>
  <c r="AV63" i="28"/>
  <c r="AE73" i="29"/>
  <c r="Z73" i="29"/>
  <c r="AB73" i="29"/>
  <c r="AC73" i="29"/>
  <c r="AF73" i="29"/>
  <c r="AH73" i="29"/>
  <c r="X73" i="29"/>
  <c r="AA73" i="29"/>
  <c r="AF65" i="29"/>
  <c r="X65" i="29"/>
  <c r="AG65" i="29"/>
  <c r="AA65" i="29"/>
  <c r="AD65" i="29"/>
  <c r="AC65" i="29"/>
  <c r="Y65" i="29"/>
  <c r="AG49" i="29"/>
  <c r="AB49" i="29"/>
  <c r="AA49" i="29"/>
  <c r="Y49" i="29"/>
  <c r="AF49" i="29"/>
  <c r="X49" i="29"/>
  <c r="AD49" i="29"/>
  <c r="AC49" i="29"/>
  <c r="AV91" i="28"/>
  <c r="AQ91" i="28"/>
  <c r="AX91" i="28"/>
  <c r="BA91" i="28"/>
  <c r="AK91" i="28"/>
  <c r="AZ91" i="28"/>
  <c r="BC91" i="28"/>
  <c r="AM91" i="28"/>
  <c r="AT91" i="28"/>
  <c r="AW91" i="28"/>
  <c r="AR91" i="28"/>
  <c r="AJ91" i="28"/>
  <c r="AY91" i="28"/>
  <c r="AI91" i="28"/>
  <c r="AP91" i="28"/>
  <c r="AS91" i="28"/>
  <c r="BD91" i="28"/>
  <c r="AH55" i="6"/>
  <c r="AH60" i="6" s="1"/>
  <c r="AH28" i="7" s="1"/>
  <c r="M42" i="6"/>
  <c r="M48" i="6"/>
  <c r="M51" i="6"/>
  <c r="M25" i="6"/>
  <c r="AA7" i="9"/>
  <c r="AA17" i="9"/>
  <c r="AA22" i="9"/>
  <c r="AA26" i="9"/>
  <c r="AA20" i="9"/>
  <c r="AA31" i="9"/>
  <c r="AA35" i="9"/>
  <c r="AA33" i="9"/>
  <c r="AA48" i="9"/>
  <c r="Z7" i="9"/>
  <c r="Z20" i="9"/>
  <c r="Z42" i="9"/>
  <c r="X11" i="21"/>
  <c r="AF11" i="21" s="1"/>
  <c r="AH49" i="29"/>
  <c r="Y81" i="29"/>
  <c r="AF77" i="29"/>
  <c r="Z69" i="29"/>
  <c r="Y53" i="29"/>
  <c r="BD63" i="28"/>
  <c r="AN57" i="28"/>
  <c r="BC103" i="28"/>
  <c r="BB91" i="28"/>
  <c r="BB63" i="28"/>
  <c r="AO64" i="28"/>
  <c r="AY73" i="28"/>
  <c r="AQ98" i="28"/>
  <c r="AN82" i="28"/>
  <c r="AY82" i="28"/>
  <c r="AO70" i="28"/>
  <c r="AV64" i="28"/>
  <c r="AR85" i="28"/>
  <c r="AX77" i="28"/>
  <c r="AR73" i="28"/>
  <c r="AS57" i="28"/>
  <c r="AI10" i="21"/>
  <c r="I42" i="25"/>
  <c r="I42" i="29"/>
  <c r="I42" i="11"/>
  <c r="I42" i="12"/>
  <c r="I42" i="13"/>
  <c r="I42" i="10"/>
  <c r="AB50" i="29"/>
  <c r="AH50" i="29"/>
  <c r="AA50" i="29"/>
  <c r="AR86" i="28"/>
  <c r="AJ86" i="28"/>
  <c r="AQ65" i="28"/>
  <c r="AI65" i="28"/>
  <c r="AY65" i="28"/>
  <c r="BD58" i="28"/>
  <c r="AM58" i="28"/>
  <c r="BC58" i="28"/>
  <c r="AU58" i="28"/>
  <c r="AF63" i="29"/>
  <c r="AB63" i="29"/>
  <c r="AB58" i="29"/>
  <c r="AH58" i="29"/>
  <c r="Z58" i="29"/>
  <c r="AV75" i="28"/>
  <c r="AL75" i="28"/>
  <c r="BD66" i="28"/>
  <c r="BC66" i="28"/>
  <c r="AU66" i="28"/>
  <c r="AM66" i="28"/>
  <c r="AV35" i="24"/>
  <c r="AR36" i="24"/>
  <c r="AV36" i="24" s="1"/>
  <c r="AR74" i="28"/>
  <c r="AM74" i="28"/>
  <c r="AU67" i="28"/>
  <c r="AZ67" i="28"/>
  <c r="AP67" i="28"/>
  <c r="X61" i="29"/>
  <c r="AF61" i="29"/>
  <c r="AF57" i="29"/>
  <c r="X57" i="29"/>
  <c r="AM78" i="28"/>
  <c r="BC78" i="28"/>
  <c r="BC59" i="28"/>
  <c r="AQ59" i="28"/>
  <c r="AI59" i="28"/>
  <c r="AY59" i="28"/>
  <c r="AR40" i="24"/>
  <c r="AV40" i="24" s="1"/>
  <c r="AV39" i="24"/>
  <c r="AB62" i="29"/>
  <c r="AH62" i="29"/>
  <c r="Z62" i="29"/>
  <c r="AB51" i="29"/>
  <c r="BD83" i="28"/>
  <c r="AN83" i="28"/>
  <c r="BD62" i="28"/>
  <c r="BC62" i="28"/>
  <c r="AU62" i="28"/>
  <c r="AM62" i="28"/>
  <c r="AF78" i="29"/>
  <c r="Y78" i="29"/>
  <c r="AB66" i="29"/>
  <c r="Z66" i="29"/>
  <c r="AF59" i="29"/>
  <c r="AB59" i="29"/>
  <c r="AB54" i="29"/>
  <c r="Z54" i="29"/>
  <c r="AH54" i="29"/>
  <c r="AQ79" i="28"/>
  <c r="BB79" i="28"/>
  <c r="BB71" i="28"/>
  <c r="AQ71" i="28"/>
  <c r="M66" i="6"/>
  <c r="AY61" i="28"/>
  <c r="AQ61" i="28"/>
  <c r="AI61" i="28"/>
  <c r="Z10" i="9"/>
  <c r="Z9" i="9"/>
  <c r="Z14" i="9"/>
  <c r="Z53" i="9" s="1"/>
  <c r="Z21" i="9"/>
  <c r="Z29" i="9"/>
  <c r="Z22" i="9"/>
  <c r="Z30" i="9"/>
  <c r="Z37" i="9"/>
  <c r="Z36" i="9"/>
  <c r="Z44" i="9"/>
  <c r="Z43" i="9"/>
  <c r="Z51" i="9"/>
  <c r="Z13" i="9"/>
  <c r="Z11" i="9"/>
  <c r="Z16" i="9"/>
  <c r="Z23" i="9"/>
  <c r="Z31" i="9"/>
  <c r="Z24" i="9"/>
  <c r="Z32" i="9"/>
  <c r="Z39" i="9"/>
  <c r="Z38" i="9"/>
  <c r="Z46" i="9"/>
  <c r="Z45" i="9"/>
  <c r="Z6" i="9"/>
  <c r="Z5" i="9"/>
  <c r="Z15" i="9"/>
  <c r="Z17" i="9"/>
  <c r="Z25" i="9"/>
  <c r="Z18" i="9"/>
  <c r="Z26" i="9"/>
  <c r="Z33" i="9"/>
  <c r="Z41" i="9"/>
  <c r="Z40" i="9"/>
  <c r="Z48" i="9"/>
  <c r="X9" i="21"/>
  <c r="AF9" i="21" s="1"/>
  <c r="AI8" i="17"/>
  <c r="AI2" i="17"/>
  <c r="AI6" i="17"/>
  <c r="AJ8" i="16"/>
  <c r="AJ9" i="16" s="1"/>
  <c r="AI5" i="17"/>
  <c r="AA11" i="9"/>
  <c r="AA6" i="9"/>
  <c r="AA16" i="9"/>
  <c r="AA23" i="9"/>
  <c r="AA25" i="9"/>
  <c r="AA24" i="9"/>
  <c r="AA46" i="9"/>
  <c r="AA40" i="9"/>
  <c r="AA42" i="9"/>
  <c r="AA38" i="9"/>
  <c r="AO8" i="16"/>
  <c r="AO9" i="16" s="1"/>
  <c r="AO7" i="26"/>
  <c r="AR44" i="24"/>
  <c r="AV44" i="24" s="1"/>
  <c r="AV43" i="24"/>
  <c r="AQ7" i="24"/>
  <c r="AT8" i="26"/>
  <c r="AR27" i="24"/>
  <c r="AV26" i="24"/>
  <c r="AR13" i="24"/>
  <c r="AV12" i="24"/>
  <c r="AR32" i="24"/>
  <c r="AV32" i="24" s="1"/>
  <c r="AV31" i="24"/>
  <c r="AJ8" i="26"/>
  <c r="AR23" i="24"/>
  <c r="AV22" i="24"/>
  <c r="AR7" i="24"/>
  <c r="AV6" i="24"/>
  <c r="AJ7" i="26"/>
  <c r="AR19" i="24"/>
  <c r="AV19" i="24" s="1"/>
  <c r="AV18" i="24"/>
  <c r="AO8" i="26"/>
  <c r="AT9" i="16"/>
  <c r="S45" i="13"/>
  <c r="S45" i="12"/>
  <c r="S45" i="10"/>
  <c r="S45" i="11"/>
  <c r="AL54" i="8"/>
  <c r="AL54" i="9"/>
  <c r="AL54" i="7"/>
  <c r="W54" i="8"/>
  <c r="W58" i="8" s="1"/>
  <c r="W54" i="9"/>
  <c r="W54" i="7"/>
  <c r="E37" i="5"/>
  <c r="S46" i="25" s="1"/>
  <c r="R46" i="13"/>
  <c r="R46" i="12"/>
  <c r="R46" i="10"/>
  <c r="R46" i="11"/>
  <c r="F37" i="5"/>
  <c r="S47" i="25" s="1"/>
  <c r="R47" i="13"/>
  <c r="R47" i="12"/>
  <c r="R47" i="11"/>
  <c r="R47" i="10"/>
  <c r="X32" i="7"/>
  <c r="X12" i="7"/>
  <c r="AH5" i="7"/>
  <c r="AL55" i="9"/>
  <c r="AL55" i="8"/>
  <c r="AL55" i="7"/>
  <c r="AL57" i="6"/>
  <c r="R49" i="11"/>
  <c r="R48" i="11" s="1"/>
  <c r="AH58" i="8"/>
  <c r="R49" i="12"/>
  <c r="R48" i="12" s="1"/>
  <c r="AJ58" i="8"/>
  <c r="L45" i="25"/>
  <c r="S30" i="7" l="1"/>
  <c r="S39" i="7"/>
  <c r="S51" i="7"/>
  <c r="S28" i="7"/>
  <c r="S18" i="7"/>
  <c r="S36" i="7"/>
  <c r="S33" i="7"/>
  <c r="S19" i="7"/>
  <c r="S31" i="7"/>
  <c r="S8" i="7"/>
  <c r="S50" i="7"/>
  <c r="S41" i="7"/>
  <c r="O45" i="7"/>
  <c r="X40" i="7"/>
  <c r="X48" i="7"/>
  <c r="O46" i="7"/>
  <c r="AH21" i="7"/>
  <c r="U8" i="7"/>
  <c r="X43" i="7"/>
  <c r="O43" i="7"/>
  <c r="AP64" i="28"/>
  <c r="BD64" i="28"/>
  <c r="AH14" i="7"/>
  <c r="O38" i="7"/>
  <c r="AH42" i="7"/>
  <c r="U36" i="7"/>
  <c r="X51" i="7"/>
  <c r="O11" i="7"/>
  <c r="AQ82" i="28"/>
  <c r="AP82" i="28"/>
  <c r="AA53" i="7"/>
  <c r="AA58" i="7" s="1"/>
  <c r="AA10" i="24" s="1"/>
  <c r="AB57" i="29"/>
  <c r="AG57" i="29"/>
  <c r="AC57" i="29"/>
  <c r="Z57" i="29"/>
  <c r="Y57" i="29"/>
  <c r="AH57" i="29"/>
  <c r="AE57" i="29"/>
  <c r="AA57" i="29"/>
  <c r="AD57" i="29"/>
  <c r="AP89" i="28"/>
  <c r="BD89" i="28"/>
  <c r="AL89" i="28"/>
  <c r="BA89" i="28"/>
  <c r="BC89" i="28"/>
  <c r="AW89" i="28"/>
  <c r="AY89" i="28"/>
  <c r="AS89" i="28"/>
  <c r="AU89" i="28"/>
  <c r="AO89" i="28"/>
  <c r="AQ89" i="28"/>
  <c r="AK89" i="28"/>
  <c r="AM89" i="28"/>
  <c r="AZ89" i="28"/>
  <c r="AI89" i="28"/>
  <c r="AJ89" i="28"/>
  <c r="BB89" i="28"/>
  <c r="AV89" i="28"/>
  <c r="AX89" i="28"/>
  <c r="AR89" i="28"/>
  <c r="AT89" i="28"/>
  <c r="AN89" i="28"/>
  <c r="AH20" i="7"/>
  <c r="O31" i="7"/>
  <c r="AH46" i="7"/>
  <c r="X8" i="7"/>
  <c r="O8" i="7"/>
  <c r="AH34" i="7"/>
  <c r="X25" i="7"/>
  <c r="O7" i="7"/>
  <c r="AH22" i="7"/>
  <c r="X28" i="7"/>
  <c r="O20" i="7"/>
  <c r="AH31" i="7"/>
  <c r="AH32" i="7"/>
  <c r="X18" i="7"/>
  <c r="O12" i="7"/>
  <c r="AH18" i="7"/>
  <c r="X21" i="7"/>
  <c r="AH44" i="7"/>
  <c r="M44" i="6"/>
  <c r="R55" i="6"/>
  <c r="R60" i="6" s="1"/>
  <c r="R39" i="7" s="1"/>
  <c r="M68" i="6"/>
  <c r="O23" i="7"/>
  <c r="AH8" i="7"/>
  <c r="U26" i="7"/>
  <c r="X35" i="7"/>
  <c r="O49" i="7"/>
  <c r="AH47" i="7"/>
  <c r="R25" i="7"/>
  <c r="R13" i="7"/>
  <c r="R48" i="7"/>
  <c r="R12" i="7"/>
  <c r="AA39" i="24"/>
  <c r="AA32" i="24"/>
  <c r="AA48" i="24"/>
  <c r="AA30" i="24"/>
  <c r="AA22" i="8"/>
  <c r="AA29" i="8"/>
  <c r="Z29" i="28" s="1"/>
  <c r="Z81" i="28" s="1"/>
  <c r="AA11" i="8"/>
  <c r="Z11" i="28" s="1"/>
  <c r="Z63" i="28" s="1"/>
  <c r="AA35" i="8"/>
  <c r="AA14" i="8"/>
  <c r="Z14" i="28" s="1"/>
  <c r="Z66" i="28" s="1"/>
  <c r="AA44" i="24"/>
  <c r="AA42" i="24"/>
  <c r="AA33" i="24"/>
  <c r="AA49" i="24"/>
  <c r="AA16" i="24"/>
  <c r="AA14" i="24"/>
  <c r="AA27" i="24"/>
  <c r="AA17" i="24"/>
  <c r="AA36" i="24"/>
  <c r="AA8" i="24"/>
  <c r="AA34" i="24"/>
  <c r="AA50" i="24"/>
  <c r="AA47" i="8"/>
  <c r="Z47" i="28" s="1"/>
  <c r="Z99" i="28" s="1"/>
  <c r="AA38" i="8"/>
  <c r="Z38" i="28" s="1"/>
  <c r="Z90" i="28" s="1"/>
  <c r="AA33" i="8"/>
  <c r="Z33" i="28" s="1"/>
  <c r="Z85" i="28" s="1"/>
  <c r="AA19" i="8"/>
  <c r="Z19" i="28" s="1"/>
  <c r="Z71" i="28" s="1"/>
  <c r="AA45" i="8"/>
  <c r="Z45" i="28" s="1"/>
  <c r="Z97" i="28" s="1"/>
  <c r="AA23" i="8"/>
  <c r="Z23" i="28" s="1"/>
  <c r="Z75" i="28" s="1"/>
  <c r="AA7" i="8"/>
  <c r="Z7" i="28" s="1"/>
  <c r="Z59" i="28" s="1"/>
  <c r="AA17" i="8"/>
  <c r="Z17" i="28" s="1"/>
  <c r="Z69" i="28" s="1"/>
  <c r="AA43" i="8"/>
  <c r="Z43" i="28" s="1"/>
  <c r="Z95" i="28" s="1"/>
  <c r="AA6" i="8"/>
  <c r="Z6" i="28" s="1"/>
  <c r="Z58" i="28" s="1"/>
  <c r="AA34" i="8"/>
  <c r="Z34" i="28" s="1"/>
  <c r="Z86" i="28" s="1"/>
  <c r="AA13" i="8"/>
  <c r="Z13" i="28" s="1"/>
  <c r="Z65" i="28" s="1"/>
  <c r="AA21" i="8"/>
  <c r="Z21" i="28" s="1"/>
  <c r="Z73" i="28" s="1"/>
  <c r="AA25" i="8"/>
  <c r="Z25" i="28" s="1"/>
  <c r="Z77" i="28" s="1"/>
  <c r="AA20" i="8"/>
  <c r="Z20" i="28" s="1"/>
  <c r="Z72" i="28" s="1"/>
  <c r="AA5" i="24"/>
  <c r="AA20" i="24"/>
  <c r="AA35" i="24"/>
  <c r="AA28" i="24"/>
  <c r="AA26" i="24"/>
  <c r="AA32" i="8"/>
  <c r="Z32" i="28" s="1"/>
  <c r="Z84" i="28" s="1"/>
  <c r="AA46" i="8"/>
  <c r="Z46" i="28" s="1"/>
  <c r="Z98" i="28" s="1"/>
  <c r="AA49" i="8"/>
  <c r="Z49" i="28" s="1"/>
  <c r="Z101" i="28" s="1"/>
  <c r="AA27" i="8"/>
  <c r="Z27" i="28" s="1"/>
  <c r="Z79" i="28" s="1"/>
  <c r="AA9" i="8"/>
  <c r="Z9" i="28" s="1"/>
  <c r="Z61" i="28" s="1"/>
  <c r="AA37" i="8"/>
  <c r="Z37" i="28" s="1"/>
  <c r="Z89" i="28" s="1"/>
  <c r="AA15" i="8"/>
  <c r="Z15" i="28" s="1"/>
  <c r="Z67" i="28" s="1"/>
  <c r="AA12" i="8"/>
  <c r="Z12" i="28" s="1"/>
  <c r="Z64" i="28" s="1"/>
  <c r="AA28" i="8"/>
  <c r="Z28" i="28" s="1"/>
  <c r="Z80" i="28" s="1"/>
  <c r="AA16" i="8"/>
  <c r="Z16" i="28" s="1"/>
  <c r="Z68" i="28" s="1"/>
  <c r="AA37" i="24"/>
  <c r="AA12" i="24"/>
  <c r="AA7" i="24"/>
  <c r="AA22" i="24"/>
  <c r="AA31" i="24"/>
  <c r="AA24" i="24"/>
  <c r="AA40" i="24"/>
  <c r="AA19" i="24"/>
  <c r="AA38" i="24"/>
  <c r="AA11" i="24"/>
  <c r="AA30" i="8"/>
  <c r="Z30" i="28" s="1"/>
  <c r="Z82" i="28" s="1"/>
  <c r="AA39" i="8"/>
  <c r="Z39" i="28" s="1"/>
  <c r="Z91" i="28" s="1"/>
  <c r="AA18" i="8"/>
  <c r="Z18" i="28" s="1"/>
  <c r="Z70" i="28" s="1"/>
  <c r="AA10" i="8"/>
  <c r="Z10" i="28" s="1"/>
  <c r="Z62" i="28" s="1"/>
  <c r="AG68" i="29"/>
  <c r="AD68" i="29"/>
  <c r="AF68" i="29"/>
  <c r="AA68" i="29"/>
  <c r="Y68" i="29"/>
  <c r="AB68" i="29"/>
  <c r="AC68" i="29"/>
  <c r="AE68" i="29"/>
  <c r="Z68" i="29"/>
  <c r="AH68" i="29"/>
  <c r="X68" i="29"/>
  <c r="AZ68" i="28"/>
  <c r="AO68" i="28"/>
  <c r="AR68" i="28"/>
  <c r="AQ68" i="28"/>
  <c r="AT68" i="28"/>
  <c r="AJ68" i="28"/>
  <c r="AK68" i="28"/>
  <c r="BB68" i="28"/>
  <c r="AN68" i="28"/>
  <c r="AY68" i="28"/>
  <c r="AS68" i="28"/>
  <c r="AV68" i="28"/>
  <c r="AU68" i="28"/>
  <c r="AW68" i="28"/>
  <c r="AP68" i="28"/>
  <c r="BC68" i="28"/>
  <c r="AL68" i="28"/>
  <c r="AI68" i="28"/>
  <c r="BD68" i="28"/>
  <c r="BA68" i="28"/>
  <c r="AX68" i="28"/>
  <c r="AM68" i="28"/>
  <c r="AG64" i="29"/>
  <c r="AH64" i="29"/>
  <c r="AD64" i="29"/>
  <c r="AC64" i="29"/>
  <c r="Z64" i="29"/>
  <c r="Y64" i="29"/>
  <c r="AE64" i="29"/>
  <c r="AF64" i="29"/>
  <c r="AA64" i="29"/>
  <c r="AB64" i="29"/>
  <c r="X64" i="29"/>
  <c r="AU92" i="28"/>
  <c r="AL92" i="28"/>
  <c r="AA60" i="29"/>
  <c r="AB60" i="29"/>
  <c r="X60" i="29"/>
  <c r="AG60" i="29"/>
  <c r="AH60" i="29"/>
  <c r="AD60" i="29"/>
  <c r="Z60" i="29"/>
  <c r="AC60" i="29"/>
  <c r="AE60" i="29"/>
  <c r="Y60" i="29"/>
  <c r="AF60" i="29"/>
  <c r="AH75" i="29"/>
  <c r="AF75" i="29"/>
  <c r="Y75" i="29"/>
  <c r="AC75" i="29"/>
  <c r="AA75" i="29"/>
  <c r="AB75" i="29"/>
  <c r="AG75" i="29"/>
  <c r="X75" i="29"/>
  <c r="Z75" i="29"/>
  <c r="AD75" i="29"/>
  <c r="AE75" i="29"/>
  <c r="O36" i="7"/>
  <c r="O36" i="9" s="1"/>
  <c r="AH51" i="7"/>
  <c r="AH11" i="7"/>
  <c r="U44" i="7"/>
  <c r="X20" i="7"/>
  <c r="X20" i="9" s="1"/>
  <c r="X34" i="7"/>
  <c r="X50" i="7"/>
  <c r="X37" i="7"/>
  <c r="O41" i="7"/>
  <c r="O41" i="9" s="1"/>
  <c r="O51" i="7"/>
  <c r="O37" i="7"/>
  <c r="O24" i="7"/>
  <c r="O33" i="7"/>
  <c r="O33" i="9" s="1"/>
  <c r="O34" i="7"/>
  <c r="O14" i="7"/>
  <c r="O13" i="7"/>
  <c r="O10" i="7"/>
  <c r="O10" i="9" s="1"/>
  <c r="O6" i="7"/>
  <c r="O17" i="7"/>
  <c r="S37" i="7"/>
  <c r="S40" i="7"/>
  <c r="S22" i="7"/>
  <c r="S43" i="7"/>
  <c r="S46" i="7"/>
  <c r="S29" i="7"/>
  <c r="S13" i="7"/>
  <c r="S7" i="7"/>
  <c r="S20" i="7"/>
  <c r="S9" i="7"/>
  <c r="AA53" i="9"/>
  <c r="AO92" i="28"/>
  <c r="M29" i="6"/>
  <c r="W55" i="6"/>
  <c r="W60" i="6" s="1"/>
  <c r="M18" i="6"/>
  <c r="AI55" i="6"/>
  <c r="AI60" i="6" s="1"/>
  <c r="AF55" i="6"/>
  <c r="AF60" i="6" s="1"/>
  <c r="Q55" i="6"/>
  <c r="Q60" i="6" s="1"/>
  <c r="AS92" i="28"/>
  <c r="AV92" i="28"/>
  <c r="BC92" i="28"/>
  <c r="BA92" i="28"/>
  <c r="BD92" i="28"/>
  <c r="L55" i="6"/>
  <c r="L60" i="6" s="1"/>
  <c r="M12" i="6"/>
  <c r="M28" i="6"/>
  <c r="M22" i="6"/>
  <c r="X51" i="29"/>
  <c r="Y51" i="29"/>
  <c r="AE51" i="29"/>
  <c r="AG51" i="29"/>
  <c r="Z51" i="29"/>
  <c r="AA51" i="29"/>
  <c r="AH51" i="29"/>
  <c r="AC51" i="29"/>
  <c r="AD51" i="29"/>
  <c r="BB60" i="28"/>
  <c r="AL60" i="28"/>
  <c r="AO60" i="28"/>
  <c r="AX60" i="28"/>
  <c r="AW60" i="28"/>
  <c r="AQ60" i="28"/>
  <c r="AM60" i="28"/>
  <c r="AR60" i="28"/>
  <c r="AP60" i="28"/>
  <c r="BD60" i="28"/>
  <c r="AI60" i="28"/>
  <c r="BA60" i="28"/>
  <c r="AV60" i="28"/>
  <c r="BC60" i="28"/>
  <c r="AS60" i="28"/>
  <c r="AJ60" i="28"/>
  <c r="AY60" i="28"/>
  <c r="AZ60" i="28"/>
  <c r="AT60" i="28"/>
  <c r="AU60" i="28"/>
  <c r="AK60" i="28"/>
  <c r="AN60" i="28"/>
  <c r="AS72" i="28"/>
  <c r="AY72" i="28"/>
  <c r="BC72" i="28"/>
  <c r="BB72" i="28"/>
  <c r="AW72" i="28"/>
  <c r="AT72" i="28"/>
  <c r="AR72" i="28"/>
  <c r="AL72" i="28"/>
  <c r="AU72" i="28"/>
  <c r="AZ72" i="28"/>
  <c r="AJ72" i="28"/>
  <c r="BA72" i="28"/>
  <c r="AN72" i="28"/>
  <c r="AV72" i="28"/>
  <c r="AK72" i="28"/>
  <c r="AM72" i="28"/>
  <c r="AO72" i="28"/>
  <c r="BD72" i="28"/>
  <c r="AQ72" i="28"/>
  <c r="AP72" i="28"/>
  <c r="AX72" i="28"/>
  <c r="AI72" i="28"/>
  <c r="AG53" i="7"/>
  <c r="AF53" i="7"/>
  <c r="M63" i="6"/>
  <c r="BB67" i="28"/>
  <c r="AS67" i="28"/>
  <c r="AY67" i="28"/>
  <c r="BC67" i="28"/>
  <c r="AK67" i="28"/>
  <c r="AI67" i="28"/>
  <c r="AQ67" i="28"/>
  <c r="AO67" i="28"/>
  <c r="AX67" i="28"/>
  <c r="AW67" i="28"/>
  <c r="AJ67" i="28"/>
  <c r="BD67" i="28"/>
  <c r="AR67" i="28"/>
  <c r="BA67" i="28"/>
  <c r="AT67" i="28"/>
  <c r="AM67" i="28"/>
  <c r="AL67" i="28"/>
  <c r="AN67" i="28"/>
  <c r="AV67" i="28"/>
  <c r="M67" i="6"/>
  <c r="M64" i="6" s="1"/>
  <c r="AR99" i="28"/>
  <c r="AY99" i="28"/>
  <c r="AI99" i="28"/>
  <c r="AP99" i="28"/>
  <c r="AW99" i="28"/>
  <c r="AV99" i="28"/>
  <c r="AU99" i="28"/>
  <c r="N10" i="30" s="1"/>
  <c r="AX99" i="28"/>
  <c r="AK99" i="28"/>
  <c r="D8" i="30" s="1"/>
  <c r="AN99" i="28"/>
  <c r="G10" i="30" s="1"/>
  <c r="AQ99" i="28"/>
  <c r="AT99" i="28"/>
  <c r="AS99" i="28"/>
  <c r="BD99" i="28"/>
  <c r="AO99" i="28"/>
  <c r="AJ99" i="28"/>
  <c r="AM99" i="28"/>
  <c r="AL99" i="28"/>
  <c r="AZ99" i="28"/>
  <c r="BC99" i="28"/>
  <c r="BB99" i="28"/>
  <c r="BA99" i="28"/>
  <c r="AK103" i="28"/>
  <c r="AV103" i="28"/>
  <c r="AP80" i="28"/>
  <c r="AW80" i="28"/>
  <c r="P80" i="28"/>
  <c r="AN80" i="28"/>
  <c r="AX80" i="28"/>
  <c r="AV80" i="28"/>
  <c r="AJ80" i="28"/>
  <c r="AS80" i="28"/>
  <c r="AY80" i="28"/>
  <c r="BC80" i="28"/>
  <c r="AQ80" i="28"/>
  <c r="AO80" i="28"/>
  <c r="AI80" i="28"/>
  <c r="BB80" i="28"/>
  <c r="AU80" i="28"/>
  <c r="AT80" i="28"/>
  <c r="AK80" i="28"/>
  <c r="R80" i="28"/>
  <c r="AL80" i="28"/>
  <c r="BD80" i="28"/>
  <c r="BA80" i="28"/>
  <c r="AM80" i="28"/>
  <c r="AZ80" i="28"/>
  <c r="AR80" i="28"/>
  <c r="AU88" i="28"/>
  <c r="BB88" i="28"/>
  <c r="AL88" i="28"/>
  <c r="AO88" i="28"/>
  <c r="BD88" i="28"/>
  <c r="AQ88" i="28"/>
  <c r="AT88" i="28"/>
  <c r="AS88" i="28"/>
  <c r="AN88" i="28"/>
  <c r="AI88" i="28"/>
  <c r="AW88" i="28"/>
  <c r="AZ88" i="28"/>
  <c r="AM88" i="28"/>
  <c r="AR88" i="28"/>
  <c r="BC88" i="28"/>
  <c r="AX88" i="28"/>
  <c r="AK88" i="28"/>
  <c r="AY88" i="28"/>
  <c r="AJ88" i="28"/>
  <c r="BA88" i="28"/>
  <c r="AP88" i="28"/>
  <c r="AV88" i="28"/>
  <c r="AC56" i="29"/>
  <c r="Z56" i="29"/>
  <c r="AD56" i="29"/>
  <c r="AE56" i="29"/>
  <c r="Y56" i="29"/>
  <c r="AF56" i="29"/>
  <c r="AB56" i="29"/>
  <c r="AA56" i="29"/>
  <c r="X56" i="29"/>
  <c r="AH56" i="29"/>
  <c r="AG56" i="29"/>
  <c r="AF72" i="29"/>
  <c r="Y72" i="29"/>
  <c r="AA72" i="29"/>
  <c r="AB72" i="29"/>
  <c r="AH72" i="29"/>
  <c r="Z72" i="29"/>
  <c r="X72" i="29"/>
  <c r="AE72" i="29"/>
  <c r="AC72" i="29"/>
  <c r="AD72" i="29"/>
  <c r="AG72" i="29"/>
  <c r="AD55" i="29"/>
  <c r="AC55" i="29"/>
  <c r="Y55" i="29"/>
  <c r="X55" i="29"/>
  <c r="AE55" i="29"/>
  <c r="Z55" i="29"/>
  <c r="AA55" i="29"/>
  <c r="AH55" i="29"/>
  <c r="AG55" i="29"/>
  <c r="X67" i="29"/>
  <c r="Z67" i="29"/>
  <c r="AA67" i="29"/>
  <c r="AC67" i="29"/>
  <c r="AE67" i="29"/>
  <c r="AG67" i="29"/>
  <c r="AB67" i="29"/>
  <c r="AH67" i="29"/>
  <c r="Y67" i="29"/>
  <c r="AF67" i="29"/>
  <c r="AD67" i="29"/>
  <c r="AE79" i="29"/>
  <c r="AG79" i="29"/>
  <c r="AH79" i="29"/>
  <c r="AF79" i="29"/>
  <c r="Z79" i="29"/>
  <c r="Y79" i="29"/>
  <c r="AA79" i="29"/>
  <c r="AB79" i="29"/>
  <c r="AD79" i="29"/>
  <c r="X79" i="29"/>
  <c r="AC79" i="29"/>
  <c r="S27" i="7"/>
  <c r="S42" i="7"/>
  <c r="AH49" i="7"/>
  <c r="AH23" i="7"/>
  <c r="AH23" i="9" s="1"/>
  <c r="AH30" i="7"/>
  <c r="AH10" i="7"/>
  <c r="AH10" i="9" s="1"/>
  <c r="AH25" i="7"/>
  <c r="AH25" i="9" s="1"/>
  <c r="U33" i="7"/>
  <c r="X13" i="7"/>
  <c r="X6" i="7"/>
  <c r="X26" i="7"/>
  <c r="X42" i="7"/>
  <c r="X42" i="9" s="1"/>
  <c r="X45" i="7"/>
  <c r="O26" i="7"/>
  <c r="O39" i="7"/>
  <c r="O39" i="9" s="1"/>
  <c r="AH50" i="7"/>
  <c r="AH41" i="7"/>
  <c r="AH38" i="7"/>
  <c r="AH38" i="9" s="1"/>
  <c r="AH37" i="7"/>
  <c r="AH37" i="9" s="1"/>
  <c r="AH35" i="7"/>
  <c r="AH12" i="7"/>
  <c r="AH6" i="7"/>
  <c r="AH19" i="7"/>
  <c r="AH19" i="9" s="1"/>
  <c r="AH27" i="7"/>
  <c r="AH16" i="7"/>
  <c r="U41" i="7"/>
  <c r="U10" i="7"/>
  <c r="X19" i="7"/>
  <c r="X16" i="7"/>
  <c r="X11" i="7"/>
  <c r="X10" i="7"/>
  <c r="X10" i="9" s="1"/>
  <c r="X27" i="7"/>
  <c r="X30" i="7"/>
  <c r="X22" i="7"/>
  <c r="X36" i="7"/>
  <c r="X36" i="9" s="1"/>
  <c r="X44" i="7"/>
  <c r="X31" i="7"/>
  <c r="X39" i="7"/>
  <c r="X47" i="7"/>
  <c r="X47" i="9" s="1"/>
  <c r="S24" i="7"/>
  <c r="O48" i="7"/>
  <c r="O35" i="7"/>
  <c r="O44" i="7"/>
  <c r="O27" i="7"/>
  <c r="O42" i="7"/>
  <c r="O21" i="7"/>
  <c r="O28" i="7"/>
  <c r="O16" i="7"/>
  <c r="O15" i="7"/>
  <c r="O19" i="7"/>
  <c r="S34" i="7"/>
  <c r="S26" i="7"/>
  <c r="S23" i="7"/>
  <c r="S48" i="7"/>
  <c r="S6" i="7"/>
  <c r="S16" i="7"/>
  <c r="S10" i="7"/>
  <c r="S11" i="7"/>
  <c r="S12" i="7"/>
  <c r="AH33" i="7"/>
  <c r="AH33" i="9" s="1"/>
  <c r="AF55" i="29"/>
  <c r="Y44" i="11"/>
  <c r="M47" i="6"/>
  <c r="Y55" i="6"/>
  <c r="M32" i="6"/>
  <c r="Z55" i="6"/>
  <c r="M26" i="6"/>
  <c r="M37" i="6"/>
  <c r="AP92" i="28"/>
  <c r="AW92" i="28"/>
  <c r="AZ92" i="28"/>
  <c r="AX92" i="28"/>
  <c r="M27" i="6"/>
  <c r="M21" i="6"/>
  <c r="BB92" i="28"/>
  <c r="M14" i="6"/>
  <c r="Z53" i="7"/>
  <c r="Z58" i="7" s="1"/>
  <c r="M36" i="6"/>
  <c r="AE53" i="7"/>
  <c r="AP76" i="28"/>
  <c r="AJ76" i="28"/>
  <c r="AS76" i="28"/>
  <c r="BD76" i="28"/>
  <c r="AI76" i="28"/>
  <c r="AR76" i="28"/>
  <c r="AQ76" i="28"/>
  <c r="AW76" i="28"/>
  <c r="AY76" i="28"/>
  <c r="BC76" i="28"/>
  <c r="AV76" i="28"/>
  <c r="AK76" i="28"/>
  <c r="R76" i="28"/>
  <c r="AL76" i="28"/>
  <c r="AN76" i="28"/>
  <c r="AU76" i="28"/>
  <c r="P76" i="28"/>
  <c r="AX76" i="28"/>
  <c r="AZ76" i="28"/>
  <c r="AO76" i="28"/>
  <c r="BB76" i="28"/>
  <c r="BA76" i="28"/>
  <c r="AT76" i="28"/>
  <c r="AM76" i="28"/>
  <c r="BC84" i="28"/>
  <c r="AM84" i="28"/>
  <c r="AS84" i="28"/>
  <c r="AP84" i="28"/>
  <c r="AI84" i="28"/>
  <c r="AK84" i="28"/>
  <c r="AN84" i="28"/>
  <c r="AZ84" i="28"/>
  <c r="AQ84" i="28"/>
  <c r="AX84" i="28"/>
  <c r="AT84" i="28"/>
  <c r="BA84" i="28"/>
  <c r="AV84" i="28"/>
  <c r="AJ84" i="28"/>
  <c r="AU84" i="28"/>
  <c r="AW84" i="28"/>
  <c r="BB84" i="28"/>
  <c r="AR84" i="28"/>
  <c r="BD84" i="28"/>
  <c r="AY84" i="28"/>
  <c r="AO84" i="28"/>
  <c r="AL84" i="28"/>
  <c r="BD96" i="28"/>
  <c r="AN96" i="28"/>
  <c r="AU96" i="28"/>
  <c r="BB96" i="28"/>
  <c r="AL96" i="28"/>
  <c r="AW96" i="28"/>
  <c r="AR96" i="28"/>
  <c r="AQ96" i="28"/>
  <c r="AT96" i="28"/>
  <c r="AK96" i="28"/>
  <c r="AV96" i="28"/>
  <c r="AM96" i="28"/>
  <c r="AO96" i="28"/>
  <c r="AZ96" i="28"/>
  <c r="AP96" i="28"/>
  <c r="AJ96" i="28"/>
  <c r="AI96" i="28"/>
  <c r="BA96" i="28"/>
  <c r="AY96" i="28"/>
  <c r="BC96" i="28"/>
  <c r="AX96" i="28"/>
  <c r="AS96" i="28"/>
  <c r="Z80" i="29"/>
  <c r="AB80" i="29"/>
  <c r="X80" i="29"/>
  <c r="AF80" i="29"/>
  <c r="AG80" i="29"/>
  <c r="AH80" i="29"/>
  <c r="Y80" i="29"/>
  <c r="AA80" i="29"/>
  <c r="AC80" i="29"/>
  <c r="AE80" i="29"/>
  <c r="AD80" i="29"/>
  <c r="AU83" i="28"/>
  <c r="BA83" i="28"/>
  <c r="AK83" i="28"/>
  <c r="AZ83" i="28"/>
  <c r="AP83" i="28"/>
  <c r="AY83" i="28"/>
  <c r="AW83" i="28"/>
  <c r="AT83" i="28"/>
  <c r="AX83" i="28"/>
  <c r="AQ83" i="28"/>
  <c r="AO83" i="28"/>
  <c r="AJ83" i="28"/>
  <c r="BC83" i="28"/>
  <c r="AM83" i="28"/>
  <c r="BB83" i="28"/>
  <c r="AI83" i="28"/>
  <c r="AL83" i="28"/>
  <c r="AV83" i="28"/>
  <c r="AR83" i="28"/>
  <c r="AS83" i="28"/>
  <c r="AI64" i="28"/>
  <c r="BC64" i="28"/>
  <c r="AL64" i="28"/>
  <c r="AG52" i="29"/>
  <c r="AH52" i="29"/>
  <c r="AE52" i="29"/>
  <c r="AB52" i="29"/>
  <c r="AD52" i="29"/>
  <c r="AA52" i="29"/>
  <c r="Z52" i="29"/>
  <c r="AF52" i="29"/>
  <c r="AC52" i="29"/>
  <c r="Y52" i="29"/>
  <c r="X52" i="29"/>
  <c r="AD76" i="29"/>
  <c r="AF76" i="29"/>
  <c r="AG76" i="29"/>
  <c r="Z76" i="29"/>
  <c r="Y76" i="29"/>
  <c r="AA76" i="29"/>
  <c r="AE76" i="29"/>
  <c r="AC76" i="29"/>
  <c r="AH76" i="29"/>
  <c r="X76" i="29"/>
  <c r="AB76" i="29"/>
  <c r="AL63" i="28"/>
  <c r="AJ63" i="28"/>
  <c r="AE55" i="6"/>
  <c r="AE60" i="6" s="1"/>
  <c r="V55" i="6"/>
  <c r="AA55" i="6"/>
  <c r="AS79" i="28"/>
  <c r="AZ79" i="28"/>
  <c r="BD79" i="28"/>
  <c r="AI79" i="28"/>
  <c r="AR79" i="28"/>
  <c r="BA79" i="28"/>
  <c r="P79" i="28"/>
  <c r="AY79" i="28"/>
  <c r="BC79" i="28"/>
  <c r="AW79" i="28"/>
  <c r="AP79" i="28"/>
  <c r="I6" i="30" s="1"/>
  <c r="R79" i="28"/>
  <c r="AU79" i="28"/>
  <c r="AL79" i="28"/>
  <c r="AO79" i="28"/>
  <c r="AJ79" i="28"/>
  <c r="AX79" i="28"/>
  <c r="AK79" i="28"/>
  <c r="AT79" i="28"/>
  <c r="AN79" i="28"/>
  <c r="AM79" i="28"/>
  <c r="AV79" i="28"/>
  <c r="AG59" i="29"/>
  <c r="AA59" i="29"/>
  <c r="AH59" i="29"/>
  <c r="AC59" i="29"/>
  <c r="X59" i="29"/>
  <c r="Y59" i="29"/>
  <c r="Z59" i="29"/>
  <c r="AE59" i="29"/>
  <c r="AD59" i="29"/>
  <c r="X63" i="29"/>
  <c r="AE63" i="29"/>
  <c r="Z63" i="29"/>
  <c r="AA63" i="29"/>
  <c r="AH63" i="29"/>
  <c r="AG63" i="29"/>
  <c r="AD63" i="29"/>
  <c r="AC63" i="29"/>
  <c r="Y63" i="29"/>
  <c r="AF71" i="29"/>
  <c r="AD71" i="29"/>
  <c r="AC71" i="29"/>
  <c r="Z71" i="29"/>
  <c r="X71" i="29"/>
  <c r="AE71" i="29"/>
  <c r="AG71" i="29"/>
  <c r="AA71" i="29"/>
  <c r="AH71" i="29"/>
  <c r="Y71" i="29"/>
  <c r="AB71" i="29"/>
  <c r="AA83" i="29"/>
  <c r="X83" i="29"/>
  <c r="AC83" i="29"/>
  <c r="Y83" i="29"/>
  <c r="AH83" i="29"/>
  <c r="AF83" i="29"/>
  <c r="AG83" i="29"/>
  <c r="AD83" i="29"/>
  <c r="AB83" i="29"/>
  <c r="Z83" i="29"/>
  <c r="AE83" i="29"/>
  <c r="AH40" i="7"/>
  <c r="AH39" i="7"/>
  <c r="AH7" i="7"/>
  <c r="AH17" i="7"/>
  <c r="AH17" i="9" s="1"/>
  <c r="U25" i="7"/>
  <c r="X7" i="7"/>
  <c r="X17" i="7"/>
  <c r="S35" i="7"/>
  <c r="S38" i="7"/>
  <c r="AH45" i="7"/>
  <c r="AH43" i="7"/>
  <c r="AH43" i="9" s="1"/>
  <c r="AH36" i="7"/>
  <c r="AH36" i="9" s="1"/>
  <c r="AH24" i="7"/>
  <c r="AH48" i="7"/>
  <c r="AH26" i="7"/>
  <c r="AH15" i="7"/>
  <c r="AH15" i="9" s="1"/>
  <c r="AH9" i="7"/>
  <c r="AH13" i="7"/>
  <c r="AH29" i="7"/>
  <c r="AH29" i="9" s="1"/>
  <c r="U11" i="7"/>
  <c r="U49" i="7"/>
  <c r="U49" i="9" s="1"/>
  <c r="U27" i="7"/>
  <c r="U27" i="9" s="1"/>
  <c r="X5" i="7"/>
  <c r="X5" i="9" s="1"/>
  <c r="X23" i="7"/>
  <c r="X23" i="9" s="1"/>
  <c r="X14" i="7"/>
  <c r="X15" i="7"/>
  <c r="X29" i="7"/>
  <c r="X9" i="7"/>
  <c r="X24" i="7"/>
  <c r="X38" i="7"/>
  <c r="X46" i="7"/>
  <c r="X33" i="7"/>
  <c r="X33" i="9" s="1"/>
  <c r="X41" i="7"/>
  <c r="X41" i="9" s="1"/>
  <c r="S44" i="7"/>
  <c r="O32" i="7"/>
  <c r="O29" i="7"/>
  <c r="O29" i="9" s="1"/>
  <c r="O47" i="7"/>
  <c r="O30" i="7"/>
  <c r="O40" i="7"/>
  <c r="O22" i="7"/>
  <c r="O22" i="9" s="1"/>
  <c r="O5" i="7"/>
  <c r="O25" i="7"/>
  <c r="O18" i="7"/>
  <c r="O18" i="9" s="1"/>
  <c r="O9" i="7"/>
  <c r="O9" i="9" s="1"/>
  <c r="S49" i="7"/>
  <c r="S47" i="7"/>
  <c r="S45" i="7"/>
  <c r="S21" i="7"/>
  <c r="S32" i="7"/>
  <c r="S5" i="7"/>
  <c r="S25" i="7"/>
  <c r="S15" i="7"/>
  <c r="S14" i="7"/>
  <c r="S17" i="7"/>
  <c r="S44" i="10"/>
  <c r="M13" i="6"/>
  <c r="M39" i="6"/>
  <c r="M40" i="6"/>
  <c r="M33" i="6"/>
  <c r="M34" i="6"/>
  <c r="AC55" i="6"/>
  <c r="AC60" i="6" s="1"/>
  <c r="AI92" i="28"/>
  <c r="AT92" i="28"/>
  <c r="AN92" i="28"/>
  <c r="AQ92" i="28"/>
  <c r="M24" i="6"/>
  <c r="M43" i="6"/>
  <c r="P55" i="6"/>
  <c r="P60" i="6" s="1"/>
  <c r="M31" i="6"/>
  <c r="AH48" i="29"/>
  <c r="L8" i="31" s="1"/>
  <c r="AG48" i="29"/>
  <c r="AA48" i="29"/>
  <c r="E10" i="31" s="1"/>
  <c r="X48" i="29"/>
  <c r="AE48" i="29"/>
  <c r="AC48" i="29"/>
  <c r="G10" i="31" s="1"/>
  <c r="Z48" i="29"/>
  <c r="AD48" i="29"/>
  <c r="Y48" i="29"/>
  <c r="C8" i="31" s="1"/>
  <c r="AB48" i="29"/>
  <c r="AF48" i="29"/>
  <c r="J10" i="31" s="1"/>
  <c r="AV100" i="28"/>
  <c r="O8" i="30" s="1"/>
  <c r="BC100" i="28"/>
  <c r="AM100" i="28"/>
  <c r="AT100" i="28"/>
  <c r="BA100" i="28"/>
  <c r="T8" i="30" s="1"/>
  <c r="AN100" i="28"/>
  <c r="G8" i="30" s="1"/>
  <c r="AQ100" i="28"/>
  <c r="AP100" i="28"/>
  <c r="AW100" i="28"/>
  <c r="P8" i="30" s="1"/>
  <c r="BD100" i="28"/>
  <c r="W8" i="30" s="1"/>
  <c r="AY100" i="28"/>
  <c r="AX100" i="28"/>
  <c r="AS100" i="28"/>
  <c r="L8" i="30" s="1"/>
  <c r="BB100" i="28"/>
  <c r="AZ100" i="28"/>
  <c r="AU100" i="28"/>
  <c r="AL100" i="28"/>
  <c r="AJ100" i="28"/>
  <c r="AK100" i="28"/>
  <c r="AR100" i="28"/>
  <c r="AI100" i="28"/>
  <c r="B8" i="30" s="1"/>
  <c r="AO100" i="28"/>
  <c r="H8" i="30" s="1"/>
  <c r="M11" i="6"/>
  <c r="M7" i="6"/>
  <c r="M8" i="6"/>
  <c r="M41" i="6"/>
  <c r="M19" i="6"/>
  <c r="M30" i="6"/>
  <c r="M50" i="6"/>
  <c r="M38" i="6"/>
  <c r="M23" i="6"/>
  <c r="M49" i="6"/>
  <c r="M46" i="6"/>
  <c r="M35" i="6"/>
  <c r="M20" i="6"/>
  <c r="AS75" i="28"/>
  <c r="AZ75" i="28"/>
  <c r="BD75" i="28"/>
  <c r="AI75" i="28"/>
  <c r="AR75" i="28"/>
  <c r="AK75" i="28"/>
  <c r="AJ75" i="28"/>
  <c r="C6" i="30" s="1"/>
  <c r="R75" i="28"/>
  <c r="AQ75" i="28"/>
  <c r="BA75" i="28"/>
  <c r="AU75" i="28"/>
  <c r="AN75" i="28"/>
  <c r="BB75" i="28"/>
  <c r="P75" i="28"/>
  <c r="AW75" i="28"/>
  <c r="AP75" i="28"/>
  <c r="BC75" i="28"/>
  <c r="AO75" i="28"/>
  <c r="AY75" i="28"/>
  <c r="AT75" i="28"/>
  <c r="AX75" i="28"/>
  <c r="AM75" i="28"/>
  <c r="AL91" i="28"/>
  <c r="AU91" i="28"/>
  <c r="AN91" i="28"/>
  <c r="AO95" i="28"/>
  <c r="BD95" i="28"/>
  <c r="AN95" i="28"/>
  <c r="AU95" i="28"/>
  <c r="BB95" i="28"/>
  <c r="AL95" i="28"/>
  <c r="AS95" i="28"/>
  <c r="AV95" i="28"/>
  <c r="AY95" i="28"/>
  <c r="AX95" i="28"/>
  <c r="AK95" i="28"/>
  <c r="AR95" i="28"/>
  <c r="AM95" i="28"/>
  <c r="BA95" i="28"/>
  <c r="AW95" i="28"/>
  <c r="AJ95" i="28"/>
  <c r="AI95" i="28"/>
  <c r="AT95" i="28"/>
  <c r="BC95" i="28"/>
  <c r="AZ95" i="28"/>
  <c r="AQ95" i="28"/>
  <c r="AP95" i="28"/>
  <c r="T44" i="10"/>
  <c r="L44" i="10"/>
  <c r="Z35" i="28"/>
  <c r="Z87" i="28" s="1"/>
  <c r="Z22" i="28"/>
  <c r="Z74" i="28" s="1"/>
  <c r="U12" i="7"/>
  <c r="U14" i="7"/>
  <c r="U14" i="9" s="1"/>
  <c r="U28" i="7"/>
  <c r="U28" i="9" s="1"/>
  <c r="U35" i="7"/>
  <c r="U43" i="7"/>
  <c r="U51" i="7"/>
  <c r="U13" i="7"/>
  <c r="U13" i="9" s="1"/>
  <c r="U9" i="7"/>
  <c r="U15" i="7"/>
  <c r="U29" i="7"/>
  <c r="U38" i="7"/>
  <c r="U38" i="9" s="1"/>
  <c r="U46" i="7"/>
  <c r="U46" i="9" s="1"/>
  <c r="L43" i="7"/>
  <c r="L31" i="7"/>
  <c r="L46" i="7"/>
  <c r="L25" i="7"/>
  <c r="L33" i="7"/>
  <c r="L17" i="7"/>
  <c r="L17" i="9" s="1"/>
  <c r="L44" i="7"/>
  <c r="L15" i="7"/>
  <c r="L24" i="7"/>
  <c r="L6" i="7"/>
  <c r="L28" i="7"/>
  <c r="L13" i="7"/>
  <c r="L13" i="9" s="1"/>
  <c r="G8" i="31"/>
  <c r="AB44" i="10"/>
  <c r="Q44" i="10"/>
  <c r="T48" i="10"/>
  <c r="E8" i="31"/>
  <c r="X48" i="10"/>
  <c r="U48" i="10"/>
  <c r="M44" i="10"/>
  <c r="O44" i="10"/>
  <c r="N44" i="10"/>
  <c r="N48" i="10"/>
  <c r="P44" i="10"/>
  <c r="Z48" i="10"/>
  <c r="W44" i="10"/>
  <c r="X85" i="29"/>
  <c r="AD85" i="29"/>
  <c r="AC85" i="29"/>
  <c r="AE85" i="29"/>
  <c r="Z85" i="29"/>
  <c r="AF85" i="29"/>
  <c r="AA85" i="29"/>
  <c r="Y85" i="29"/>
  <c r="C6" i="31" s="1"/>
  <c r="AG85" i="29"/>
  <c r="AB85" i="29"/>
  <c r="AH85" i="29"/>
  <c r="V44" i="10"/>
  <c r="M48" i="10"/>
  <c r="U44" i="10"/>
  <c r="U24" i="7"/>
  <c r="U24" i="9" s="1"/>
  <c r="U19" i="7"/>
  <c r="U19" i="9" s="1"/>
  <c r="U30" i="7"/>
  <c r="U30" i="9" s="1"/>
  <c r="U37" i="7"/>
  <c r="U37" i="9" s="1"/>
  <c r="U45" i="7"/>
  <c r="U45" i="9" s="1"/>
  <c r="U17" i="7"/>
  <c r="U17" i="9" s="1"/>
  <c r="U16" i="7"/>
  <c r="U16" i="9" s="1"/>
  <c r="U22" i="7"/>
  <c r="U18" i="7"/>
  <c r="U18" i="9" s="1"/>
  <c r="U32" i="7"/>
  <c r="U32" i="9" s="1"/>
  <c r="U40" i="7"/>
  <c r="U48" i="7"/>
  <c r="L51" i="7"/>
  <c r="L51" i="9" s="1"/>
  <c r="L37" i="7"/>
  <c r="L37" i="9" s="1"/>
  <c r="L11" i="7"/>
  <c r="L47" i="7"/>
  <c r="L38" i="7"/>
  <c r="L38" i="9" s="1"/>
  <c r="L30" i="7"/>
  <c r="L30" i="9" s="1"/>
  <c r="L27" i="7"/>
  <c r="L10" i="7"/>
  <c r="L14" i="7"/>
  <c r="L14" i="9" s="1"/>
  <c r="L29" i="7"/>
  <c r="L29" i="9" s="1"/>
  <c r="L16" i="7"/>
  <c r="L16" i="9" s="1"/>
  <c r="P48" i="10"/>
  <c r="X44" i="10"/>
  <c r="X49" i="10" s="1"/>
  <c r="Y44" i="10"/>
  <c r="R44" i="10"/>
  <c r="R49" i="10" s="1"/>
  <c r="R22" i="11" s="1"/>
  <c r="Z44" i="10"/>
  <c r="Z49" i="10" s="1"/>
  <c r="Z10" i="11" s="1"/>
  <c r="X44" i="11"/>
  <c r="U6" i="7"/>
  <c r="U6" i="9" s="1"/>
  <c r="U21" i="7"/>
  <c r="U21" i="9" s="1"/>
  <c r="U31" i="7"/>
  <c r="U31" i="9" s="1"/>
  <c r="U39" i="7"/>
  <c r="U39" i="9" s="1"/>
  <c r="U47" i="7"/>
  <c r="U5" i="7"/>
  <c r="U23" i="7"/>
  <c r="U23" i="9" s="1"/>
  <c r="U7" i="7"/>
  <c r="U20" i="7"/>
  <c r="U34" i="7"/>
  <c r="U34" i="9" s="1"/>
  <c r="U42" i="7"/>
  <c r="U42" i="9" s="1"/>
  <c r="L12" i="7"/>
  <c r="L12" i="9" s="1"/>
  <c r="L34" i="7"/>
  <c r="L34" i="9" s="1"/>
  <c r="L50" i="7"/>
  <c r="L50" i="9" s="1"/>
  <c r="L36" i="7"/>
  <c r="L42" i="7"/>
  <c r="L48" i="7"/>
  <c r="L48" i="9" s="1"/>
  <c r="L45" i="7"/>
  <c r="L45" i="9" s="1"/>
  <c r="L19" i="7"/>
  <c r="L19" i="9" s="1"/>
  <c r="L9" i="7"/>
  <c r="L18" i="7"/>
  <c r="L21" i="7"/>
  <c r="L21" i="9" s="1"/>
  <c r="L5" i="7"/>
  <c r="L5" i="9" s="1"/>
  <c r="I10" i="30"/>
  <c r="O48" i="10"/>
  <c r="AA44" i="10"/>
  <c r="V48" i="10"/>
  <c r="AH28" i="9"/>
  <c r="AH47" i="9"/>
  <c r="AV7" i="24"/>
  <c r="AR8" i="24"/>
  <c r="AV8" i="24" s="1"/>
  <c r="AJ9" i="26"/>
  <c r="AV13" i="24"/>
  <c r="AR14" i="24"/>
  <c r="AV14" i="24" s="1"/>
  <c r="AT9" i="26"/>
  <c r="AO9" i="26"/>
  <c r="AV23" i="24"/>
  <c r="AR24" i="24"/>
  <c r="AV24" i="24" s="1"/>
  <c r="AV27" i="24"/>
  <c r="AR28" i="24"/>
  <c r="AQ8" i="24"/>
  <c r="AH21" i="9"/>
  <c r="AH51" i="9"/>
  <c r="X18" i="9"/>
  <c r="X32" i="9"/>
  <c r="X35" i="9"/>
  <c r="O37" i="9"/>
  <c r="O14" i="9"/>
  <c r="O6" i="9"/>
  <c r="L31" i="9"/>
  <c r="L46" i="9"/>
  <c r="L25" i="9"/>
  <c r="L33" i="9"/>
  <c r="L44" i="9"/>
  <c r="L15" i="9"/>
  <c r="L24" i="9"/>
  <c r="L6" i="9"/>
  <c r="L28" i="9"/>
  <c r="R25" i="9"/>
  <c r="AH40" i="9"/>
  <c r="AH30" i="9"/>
  <c r="AH11" i="9"/>
  <c r="U43" i="9"/>
  <c r="U9" i="9"/>
  <c r="U29" i="9"/>
  <c r="X25" i="9"/>
  <c r="X21" i="9"/>
  <c r="X40" i="9"/>
  <c r="X51" i="9"/>
  <c r="O51" i="9"/>
  <c r="O13" i="9"/>
  <c r="O17" i="9"/>
  <c r="R48" i="9"/>
  <c r="R39" i="9"/>
  <c r="AH50" i="9"/>
  <c r="AH41" i="9"/>
  <c r="AH35" i="9"/>
  <c r="AH12" i="9"/>
  <c r="AH6" i="9"/>
  <c r="AH27" i="9"/>
  <c r="AH16" i="9"/>
  <c r="U22" i="9"/>
  <c r="U40" i="9"/>
  <c r="U48" i="9"/>
  <c r="X13" i="9"/>
  <c r="X6" i="9"/>
  <c r="X7" i="9"/>
  <c r="X26" i="9"/>
  <c r="X17" i="9"/>
  <c r="X34" i="9"/>
  <c r="X50" i="9"/>
  <c r="X37" i="9"/>
  <c r="X45" i="9"/>
  <c r="S47" i="13"/>
  <c r="S47" i="12"/>
  <c r="S47" i="11"/>
  <c r="S47" i="10"/>
  <c r="O48" i="9"/>
  <c r="O35" i="9"/>
  <c r="O44" i="9"/>
  <c r="O27" i="9"/>
  <c r="O42" i="9"/>
  <c r="O21" i="9"/>
  <c r="O28" i="9"/>
  <c r="O16" i="9"/>
  <c r="O15" i="9"/>
  <c r="O19" i="9"/>
  <c r="S46" i="13"/>
  <c r="S46" i="12"/>
  <c r="S46" i="10"/>
  <c r="S46" i="11"/>
  <c r="L11" i="9"/>
  <c r="L47" i="9"/>
  <c r="L27" i="9"/>
  <c r="L10" i="9"/>
  <c r="AH39" i="9"/>
  <c r="AH7" i="9"/>
  <c r="U12" i="9"/>
  <c r="U35" i="9"/>
  <c r="U51" i="9"/>
  <c r="U15" i="9"/>
  <c r="X8" i="9"/>
  <c r="X28" i="9"/>
  <c r="X12" i="9"/>
  <c r="X48" i="9"/>
  <c r="X43" i="9"/>
  <c r="O24" i="9"/>
  <c r="O34" i="9"/>
  <c r="Z11" i="11"/>
  <c r="Z5" i="11"/>
  <c r="Z21" i="11"/>
  <c r="Z20" i="11"/>
  <c r="Z18" i="11"/>
  <c r="Z12" i="11"/>
  <c r="Z33" i="11"/>
  <c r="Z38" i="11"/>
  <c r="R12" i="9"/>
  <c r="O26" i="9"/>
  <c r="AH45" i="9"/>
  <c r="AH24" i="9"/>
  <c r="AH48" i="9"/>
  <c r="AH26" i="9"/>
  <c r="AH9" i="9"/>
  <c r="AH13" i="9"/>
  <c r="U47" i="9"/>
  <c r="U5" i="9"/>
  <c r="U20" i="9"/>
  <c r="U50" i="9"/>
  <c r="X19" i="9"/>
  <c r="X16" i="9"/>
  <c r="X11" i="9"/>
  <c r="X27" i="9"/>
  <c r="X30" i="9"/>
  <c r="X22" i="9"/>
  <c r="X44" i="9"/>
  <c r="X31" i="9"/>
  <c r="X39" i="9"/>
  <c r="O32" i="9"/>
  <c r="O47" i="9"/>
  <c r="O30" i="9"/>
  <c r="O40" i="9"/>
  <c r="O5" i="9"/>
  <c r="O25" i="9"/>
  <c r="AH44" i="9"/>
  <c r="L43" i="9"/>
  <c r="L36" i="9"/>
  <c r="L42" i="9"/>
  <c r="L9" i="9"/>
  <c r="L18" i="9"/>
  <c r="AH49" i="9"/>
  <c r="L45" i="13"/>
  <c r="L45" i="12"/>
  <c r="L45" i="11"/>
  <c r="L45" i="10"/>
  <c r="R13" i="9"/>
  <c r="R11" i="11"/>
  <c r="R9" i="11"/>
  <c r="R18" i="11"/>
  <c r="R10" i="11"/>
  <c r="R8" i="11"/>
  <c r="R6" i="11"/>
  <c r="R14" i="11"/>
  <c r="R31" i="11"/>
  <c r="R19" i="11"/>
  <c r="R36" i="11"/>
  <c r="R33" i="11"/>
  <c r="R38" i="11"/>
  <c r="R23" i="11"/>
  <c r="R39" i="11"/>
  <c r="R26" i="11"/>
  <c r="R42" i="11"/>
  <c r="R41" i="11"/>
  <c r="R21" i="11"/>
  <c r="R28" i="11"/>
  <c r="R13" i="11"/>
  <c r="R30" i="11"/>
  <c r="AH42" i="9"/>
  <c r="AH46" i="9"/>
  <c r="AH34" i="9"/>
  <c r="AH22" i="9"/>
  <c r="AH32" i="9"/>
  <c r="AH18" i="9"/>
  <c r="AH5" i="9"/>
  <c r="AH14" i="9"/>
  <c r="AH20" i="9"/>
  <c r="AH8" i="9"/>
  <c r="U26" i="9"/>
  <c r="U41" i="9"/>
  <c r="U8" i="9"/>
  <c r="U25" i="9"/>
  <c r="U10" i="9"/>
  <c r="U36" i="9"/>
  <c r="U44" i="9"/>
  <c r="X14" i="9"/>
  <c r="X15" i="9"/>
  <c r="X29" i="9"/>
  <c r="X24" i="9"/>
  <c r="X38" i="9"/>
  <c r="X46" i="9"/>
  <c r="X49" i="9"/>
  <c r="O45" i="9"/>
  <c r="O38" i="9"/>
  <c r="O31" i="9"/>
  <c r="O46" i="9"/>
  <c r="O49" i="9"/>
  <c r="O43" i="9"/>
  <c r="O11" i="9"/>
  <c r="O8" i="9"/>
  <c r="O7" i="9"/>
  <c r="O20" i="9"/>
  <c r="O12" i="9"/>
  <c r="AH31" i="9"/>
  <c r="O23" i="9"/>
  <c r="N56" i="6"/>
  <c r="N54" i="24" s="1"/>
  <c r="D35" i="5"/>
  <c r="Q45" i="25" s="1"/>
  <c r="AH53" i="7" l="1"/>
  <c r="AH58" i="7" s="1"/>
  <c r="AH45" i="24" s="1"/>
  <c r="O53" i="7"/>
  <c r="O58" i="7" s="1"/>
  <c r="Z25" i="11"/>
  <c r="R37" i="11"/>
  <c r="R34" i="11"/>
  <c r="R17" i="11"/>
  <c r="R25" i="11"/>
  <c r="Z28" i="11"/>
  <c r="R40" i="11"/>
  <c r="R29" i="11"/>
  <c r="R5" i="11"/>
  <c r="Z42" i="11"/>
  <c r="R24" i="11"/>
  <c r="R32" i="11"/>
  <c r="R7" i="11"/>
  <c r="Z15" i="11"/>
  <c r="Z17" i="11"/>
  <c r="L10" i="31"/>
  <c r="J8" i="30"/>
  <c r="R6" i="30"/>
  <c r="R7" i="7"/>
  <c r="R7" i="9" s="1"/>
  <c r="AA47" i="24"/>
  <c r="AA31" i="8"/>
  <c r="Z31" i="28" s="1"/>
  <c r="Z83" i="28" s="1"/>
  <c r="AA25" i="24"/>
  <c r="AA24" i="8"/>
  <c r="Z24" i="28" s="1"/>
  <c r="Z76" i="28" s="1"/>
  <c r="AA43" i="24"/>
  <c r="AA8" i="8"/>
  <c r="Z8" i="28" s="1"/>
  <c r="Z60" i="28" s="1"/>
  <c r="AA46" i="24"/>
  <c r="R10" i="7"/>
  <c r="R10" i="9" s="1"/>
  <c r="R19" i="7"/>
  <c r="R19" i="9" s="1"/>
  <c r="R45" i="7"/>
  <c r="R45" i="9" s="1"/>
  <c r="R51" i="7"/>
  <c r="R51" i="9" s="1"/>
  <c r="S53" i="7"/>
  <c r="R50" i="7"/>
  <c r="R50" i="9" s="1"/>
  <c r="R23" i="7"/>
  <c r="R23" i="9" s="1"/>
  <c r="R30" i="7"/>
  <c r="R30" i="9" s="1"/>
  <c r="R17" i="7"/>
  <c r="R17" i="9" s="1"/>
  <c r="R22" i="7"/>
  <c r="R22" i="9" s="1"/>
  <c r="Q6" i="30"/>
  <c r="Q10" i="30"/>
  <c r="R33" i="7"/>
  <c r="R33" i="9" s="1"/>
  <c r="R41" i="7"/>
  <c r="R41" i="9" s="1"/>
  <c r="R35" i="7"/>
  <c r="R35" i="9" s="1"/>
  <c r="R37" i="7"/>
  <c r="R37" i="9" s="1"/>
  <c r="E6" i="30"/>
  <c r="AA26" i="8"/>
  <c r="Z26" i="28" s="1"/>
  <c r="Z78" i="28" s="1"/>
  <c r="AA9" i="24"/>
  <c r="R36" i="7"/>
  <c r="R36" i="9" s="1"/>
  <c r="R27" i="7"/>
  <c r="R27" i="9" s="1"/>
  <c r="R11" i="7"/>
  <c r="R11" i="9" s="1"/>
  <c r="R14" i="7"/>
  <c r="R14" i="9" s="1"/>
  <c r="O10" i="30"/>
  <c r="O6" i="30"/>
  <c r="U6" i="30"/>
  <c r="R40" i="7"/>
  <c r="R40" i="9" s="1"/>
  <c r="R8" i="7"/>
  <c r="R26" i="7"/>
  <c r="R26" i="9" s="1"/>
  <c r="R28" i="7"/>
  <c r="R28" i="9" s="1"/>
  <c r="Z6" i="11"/>
  <c r="R27" i="11"/>
  <c r="R15" i="11"/>
  <c r="R12" i="11"/>
  <c r="Z32" i="11"/>
  <c r="Z16" i="11"/>
  <c r="I6" i="31"/>
  <c r="J6" i="30"/>
  <c r="P10" i="30"/>
  <c r="AA50" i="8"/>
  <c r="Z50" i="28" s="1"/>
  <c r="Z102" i="28" s="1"/>
  <c r="AA21" i="24"/>
  <c r="AA48" i="8"/>
  <c r="Z48" i="28" s="1"/>
  <c r="Z100" i="28" s="1"/>
  <c r="P11" i="30" s="1"/>
  <c r="AA36" i="8"/>
  <c r="Z36" i="28" s="1"/>
  <c r="Z88" i="28" s="1"/>
  <c r="P7" i="30" s="1"/>
  <c r="AA40" i="8"/>
  <c r="Z40" i="28" s="1"/>
  <c r="Z92" i="28" s="1"/>
  <c r="AA18" i="24"/>
  <c r="AA5" i="8"/>
  <c r="Z5" i="28" s="1"/>
  <c r="Z57" i="28" s="1"/>
  <c r="AA23" i="24"/>
  <c r="R44" i="7"/>
  <c r="R44" i="9" s="1"/>
  <c r="R6" i="7"/>
  <c r="R6" i="9" s="1"/>
  <c r="R42" i="7"/>
  <c r="R42" i="9" s="1"/>
  <c r="R32" i="7"/>
  <c r="R32" i="9" s="1"/>
  <c r="Z29" i="11"/>
  <c r="R35" i="11"/>
  <c r="R16" i="11"/>
  <c r="Z30" i="11"/>
  <c r="U53" i="7"/>
  <c r="U58" i="7" s="1"/>
  <c r="U49" i="8" s="1"/>
  <c r="T49" i="28" s="1"/>
  <c r="T101" i="28" s="1"/>
  <c r="I8" i="30"/>
  <c r="AA6" i="24"/>
  <c r="R16" i="7"/>
  <c r="R16" i="9" s="1"/>
  <c r="R21" i="7"/>
  <c r="R21" i="9" s="1"/>
  <c r="R46" i="7"/>
  <c r="R46" i="9" s="1"/>
  <c r="X53" i="7"/>
  <c r="X58" i="7" s="1"/>
  <c r="X30" i="24" s="1"/>
  <c r="B6" i="30"/>
  <c r="G6" i="30"/>
  <c r="P6" i="30"/>
  <c r="H6" i="30"/>
  <c r="AA41" i="8"/>
  <c r="Z41" i="28" s="1"/>
  <c r="Z93" i="28" s="1"/>
  <c r="AA13" i="24"/>
  <c r="R9" i="7"/>
  <c r="R9" i="9" s="1"/>
  <c r="R38" i="7"/>
  <c r="R38" i="9" s="1"/>
  <c r="R34" i="7"/>
  <c r="R34" i="9" s="1"/>
  <c r="Q8" i="30"/>
  <c r="AA53" i="24"/>
  <c r="AA51" i="24"/>
  <c r="AA42" i="8"/>
  <c r="Z42" i="28" s="1"/>
  <c r="Z94" i="28" s="1"/>
  <c r="AA45" i="24"/>
  <c r="R24" i="7"/>
  <c r="R24" i="9" s="1"/>
  <c r="R43" i="7"/>
  <c r="R43" i="9" s="1"/>
  <c r="R47" i="7"/>
  <c r="R47" i="9" s="1"/>
  <c r="L10" i="30"/>
  <c r="K10" i="30"/>
  <c r="S6" i="30"/>
  <c r="N6" i="30"/>
  <c r="K6" i="30"/>
  <c r="N8" i="30"/>
  <c r="AA15" i="24"/>
  <c r="AA51" i="8"/>
  <c r="Z51" i="28" s="1"/>
  <c r="Z103" i="28" s="1"/>
  <c r="AA29" i="24"/>
  <c r="R31" i="7"/>
  <c r="R31" i="9" s="1"/>
  <c r="R15" i="7"/>
  <c r="R15" i="9" s="1"/>
  <c r="R18" i="7"/>
  <c r="R18" i="9" s="1"/>
  <c r="R20" i="11"/>
  <c r="Z24" i="11"/>
  <c r="V6" i="30"/>
  <c r="M70" i="6"/>
  <c r="M6" i="30"/>
  <c r="R20" i="7"/>
  <c r="R20" i="9" s="1"/>
  <c r="AA41" i="24"/>
  <c r="AA44" i="8"/>
  <c r="Z44" i="28" s="1"/>
  <c r="Z96" i="28" s="1"/>
  <c r="R49" i="7"/>
  <c r="R49" i="9" s="1"/>
  <c r="R29" i="7"/>
  <c r="R29" i="9" s="1"/>
  <c r="R5" i="7"/>
  <c r="R5" i="9" s="1"/>
  <c r="U11" i="8"/>
  <c r="U33" i="8"/>
  <c r="U44" i="8"/>
  <c r="T44" i="28" s="1"/>
  <c r="T96" i="28" s="1"/>
  <c r="U8" i="8"/>
  <c r="U26" i="8"/>
  <c r="U41" i="8"/>
  <c r="T41" i="28" s="1"/>
  <c r="T93" i="28" s="1"/>
  <c r="I8" i="31"/>
  <c r="I10" i="31"/>
  <c r="V60" i="6"/>
  <c r="V56" i="6"/>
  <c r="Y56" i="6"/>
  <c r="T6" i="30"/>
  <c r="L6" i="31"/>
  <c r="E6" i="31"/>
  <c r="G6" i="31"/>
  <c r="H10" i="31"/>
  <c r="H8" i="31"/>
  <c r="B8" i="31"/>
  <c r="B10" i="31"/>
  <c r="P31" i="7"/>
  <c r="P31" i="9" s="1"/>
  <c r="P47" i="7"/>
  <c r="P18" i="7"/>
  <c r="P18" i="9" s="1"/>
  <c r="P17" i="7"/>
  <c r="P17" i="9" s="1"/>
  <c r="P13" i="7"/>
  <c r="P13" i="9" s="1"/>
  <c r="P22" i="7"/>
  <c r="P21" i="7"/>
  <c r="P21" i="9" s="1"/>
  <c r="P6" i="7"/>
  <c r="P6" i="9" s="1"/>
  <c r="P36" i="7"/>
  <c r="P36" i="9" s="1"/>
  <c r="P51" i="7"/>
  <c r="P44" i="7"/>
  <c r="P44" i="9" s="1"/>
  <c r="P38" i="7"/>
  <c r="P38" i="9" s="1"/>
  <c r="P42" i="7"/>
  <c r="P42" i="9" s="1"/>
  <c r="P40" i="7"/>
  <c r="P23" i="7"/>
  <c r="P23" i="9" s="1"/>
  <c r="P14" i="7"/>
  <c r="P14" i="9" s="1"/>
  <c r="P34" i="7"/>
  <c r="P34" i="9" s="1"/>
  <c r="P49" i="7"/>
  <c r="P33" i="7"/>
  <c r="P33" i="9" s="1"/>
  <c r="P29" i="7"/>
  <c r="P29" i="9" s="1"/>
  <c r="P15" i="7"/>
  <c r="P15" i="9" s="1"/>
  <c r="P25" i="7"/>
  <c r="P8" i="7"/>
  <c r="P8" i="9" s="1"/>
  <c r="P12" i="7"/>
  <c r="P12" i="9" s="1"/>
  <c r="P19" i="7"/>
  <c r="P19" i="9" s="1"/>
  <c r="P9" i="7"/>
  <c r="P30" i="7"/>
  <c r="P30" i="9" s="1"/>
  <c r="P41" i="7"/>
  <c r="P41" i="9" s="1"/>
  <c r="P39" i="7"/>
  <c r="P39" i="9" s="1"/>
  <c r="P43" i="7"/>
  <c r="P10" i="7"/>
  <c r="P10" i="9" s="1"/>
  <c r="P5" i="7"/>
  <c r="P48" i="7"/>
  <c r="P48" i="9" s="1"/>
  <c r="P32" i="7"/>
  <c r="P20" i="7"/>
  <c r="P20" i="9" s="1"/>
  <c r="P7" i="7"/>
  <c r="P7" i="9" s="1"/>
  <c r="P16" i="7"/>
  <c r="P16" i="9" s="1"/>
  <c r="P24" i="7"/>
  <c r="P26" i="7"/>
  <c r="P26" i="9" s="1"/>
  <c r="P11" i="7"/>
  <c r="P11" i="9" s="1"/>
  <c r="P37" i="7"/>
  <c r="P37" i="9" s="1"/>
  <c r="P35" i="7"/>
  <c r="P50" i="7"/>
  <c r="P50" i="9" s="1"/>
  <c r="P45" i="7"/>
  <c r="P45" i="9" s="1"/>
  <c r="P27" i="7"/>
  <c r="P27" i="9" s="1"/>
  <c r="P28" i="7"/>
  <c r="P46" i="7"/>
  <c r="P46" i="9" s="1"/>
  <c r="M55" i="6"/>
  <c r="M60" i="6" s="1"/>
  <c r="M29" i="7" s="1"/>
  <c r="M29" i="9" s="1"/>
  <c r="V10" i="30"/>
  <c r="V8" i="30"/>
  <c r="C10" i="30"/>
  <c r="C8" i="30"/>
  <c r="M8" i="30"/>
  <c r="M10" i="30"/>
  <c r="L6" i="30"/>
  <c r="F6" i="30"/>
  <c r="AI36" i="7"/>
  <c r="AI36" i="9" s="1"/>
  <c r="AI29" i="7"/>
  <c r="AI28" i="7"/>
  <c r="AI28" i="9" s="1"/>
  <c r="AI43" i="7"/>
  <c r="AI43" i="9" s="1"/>
  <c r="AI34" i="7"/>
  <c r="AI34" i="9" s="1"/>
  <c r="AI24" i="7"/>
  <c r="AI30" i="7"/>
  <c r="AI30" i="9" s="1"/>
  <c r="AI17" i="7"/>
  <c r="AI17" i="9" s="1"/>
  <c r="AI11" i="7"/>
  <c r="AI11" i="9" s="1"/>
  <c r="AI21" i="7"/>
  <c r="AI18" i="7"/>
  <c r="AI18" i="9" s="1"/>
  <c r="AI16" i="7"/>
  <c r="AI16" i="9" s="1"/>
  <c r="AI31" i="7"/>
  <c r="AI31" i="9" s="1"/>
  <c r="AI48" i="7"/>
  <c r="AI44" i="7"/>
  <c r="AI44" i="9" s="1"/>
  <c r="AI38" i="7"/>
  <c r="AI38" i="9" s="1"/>
  <c r="AI39" i="7"/>
  <c r="AI39" i="9" s="1"/>
  <c r="AI40" i="7"/>
  <c r="AI40" i="9" s="1"/>
  <c r="AI51" i="7"/>
  <c r="AI51" i="9" s="1"/>
  <c r="AI14" i="7"/>
  <c r="AI14" i="9" s="1"/>
  <c r="AI15" i="7"/>
  <c r="AI15" i="9" s="1"/>
  <c r="AI8" i="7"/>
  <c r="AI13" i="7"/>
  <c r="AI13" i="9" s="1"/>
  <c r="AI42" i="7"/>
  <c r="AI42" i="9" s="1"/>
  <c r="AI49" i="7"/>
  <c r="AI49" i="9" s="1"/>
  <c r="AI32" i="7"/>
  <c r="AI22" i="7"/>
  <c r="AI22" i="9" s="1"/>
  <c r="AI23" i="7"/>
  <c r="AI23" i="9" s="1"/>
  <c r="AI37" i="7"/>
  <c r="AI37" i="9" s="1"/>
  <c r="AI12" i="7"/>
  <c r="AI10" i="7"/>
  <c r="AI10" i="9" s="1"/>
  <c r="AI26" i="7"/>
  <c r="AI26" i="9" s="1"/>
  <c r="AI33" i="7"/>
  <c r="AI33" i="9" s="1"/>
  <c r="AI50" i="7"/>
  <c r="AI41" i="7"/>
  <c r="AI41" i="9" s="1"/>
  <c r="AI27" i="7"/>
  <c r="AI27" i="9" s="1"/>
  <c r="AI45" i="7"/>
  <c r="AI45" i="9" s="1"/>
  <c r="AI35" i="7"/>
  <c r="AI9" i="7"/>
  <c r="AI9" i="9" s="1"/>
  <c r="AI25" i="7"/>
  <c r="AI25" i="9" s="1"/>
  <c r="AI7" i="7"/>
  <c r="AI7" i="9" s="1"/>
  <c r="AI46" i="7"/>
  <c r="AI20" i="7"/>
  <c r="AI20" i="9" s="1"/>
  <c r="AI47" i="7"/>
  <c r="AI47" i="9" s="1"/>
  <c r="AI19" i="7"/>
  <c r="AI19" i="9" s="1"/>
  <c r="AI5" i="7"/>
  <c r="AI6" i="7"/>
  <c r="AI6" i="9" s="1"/>
  <c r="AC33" i="7"/>
  <c r="AC31" i="7"/>
  <c r="AC34" i="7"/>
  <c r="AC9" i="7"/>
  <c r="AC20" i="7"/>
  <c r="AC7" i="7"/>
  <c r="AC16" i="7"/>
  <c r="AC28" i="7"/>
  <c r="AC24" i="7"/>
  <c r="AC43" i="7"/>
  <c r="AC42" i="7"/>
  <c r="AC49" i="7"/>
  <c r="AC39" i="7"/>
  <c r="AC14" i="7"/>
  <c r="AC15" i="7"/>
  <c r="AC40" i="7"/>
  <c r="AC32" i="7"/>
  <c r="AC19" i="7"/>
  <c r="AC18" i="7"/>
  <c r="AC30" i="7"/>
  <c r="AC13" i="7"/>
  <c r="AC21" i="7"/>
  <c r="AC37" i="7"/>
  <c r="AC22" i="7"/>
  <c r="AC44" i="7"/>
  <c r="AC46" i="7"/>
  <c r="AC50" i="7"/>
  <c r="AC17" i="7"/>
  <c r="AC8" i="7"/>
  <c r="AC11" i="7"/>
  <c r="AC29" i="7"/>
  <c r="AC51" i="7"/>
  <c r="AC35" i="7"/>
  <c r="AC36" i="7"/>
  <c r="AC12" i="7"/>
  <c r="AC10" i="7"/>
  <c r="AC25" i="7"/>
  <c r="AC5" i="7"/>
  <c r="AC23" i="7"/>
  <c r="AC48" i="7"/>
  <c r="AC45" i="7"/>
  <c r="AC27" i="7"/>
  <c r="AC38" i="7"/>
  <c r="AC26" i="7"/>
  <c r="AC41" i="7"/>
  <c r="AC47" i="7"/>
  <c r="AC6" i="7"/>
  <c r="U8" i="30"/>
  <c r="U10" i="30"/>
  <c r="U7" i="9"/>
  <c r="O12" i="8"/>
  <c r="O12" i="28" s="1"/>
  <c r="O64" i="28" s="1"/>
  <c r="O7" i="8"/>
  <c r="O11" i="8"/>
  <c r="O11" i="28" s="1"/>
  <c r="O63" i="28" s="1"/>
  <c r="O49" i="8"/>
  <c r="O49" i="28" s="1"/>
  <c r="O101" i="28" s="1"/>
  <c r="O31" i="8"/>
  <c r="O31" i="28" s="1"/>
  <c r="O83" i="28" s="1"/>
  <c r="X9" i="9"/>
  <c r="U33" i="9"/>
  <c r="U11" i="9"/>
  <c r="T11" i="28" s="1"/>
  <c r="T63" i="28" s="1"/>
  <c r="AA53" i="8"/>
  <c r="Z27" i="11"/>
  <c r="Z36" i="11"/>
  <c r="Z39" i="11"/>
  <c r="Z13" i="11"/>
  <c r="Z13" i="25" s="1"/>
  <c r="AA13" i="25" s="1"/>
  <c r="Z35" i="11"/>
  <c r="Z35" i="25" s="1"/>
  <c r="AA35" i="25" s="1"/>
  <c r="Z26" i="11"/>
  <c r="Z26" i="25" s="1"/>
  <c r="AA26" i="25" s="1"/>
  <c r="Z31" i="11"/>
  <c r="Z7" i="11"/>
  <c r="Z7" i="25" s="1"/>
  <c r="AA7" i="25" s="1"/>
  <c r="Z8" i="11"/>
  <c r="C10" i="31"/>
  <c r="U49" i="10"/>
  <c r="F6" i="31"/>
  <c r="J6" i="31"/>
  <c r="H6" i="31"/>
  <c r="D8" i="31"/>
  <c r="D10" i="31"/>
  <c r="Z22" i="24"/>
  <c r="Z34" i="24"/>
  <c r="Z50" i="24"/>
  <c r="Z13" i="24"/>
  <c r="Z31" i="24"/>
  <c r="Z47" i="24"/>
  <c r="Z29" i="24"/>
  <c r="Z45" i="24"/>
  <c r="Z28" i="24"/>
  <c r="Z44" i="24"/>
  <c r="Z18" i="24"/>
  <c r="Z19" i="24"/>
  <c r="Z45" i="8"/>
  <c r="Y45" i="28" s="1"/>
  <c r="Y97" i="28" s="1"/>
  <c r="Z48" i="8"/>
  <c r="Y48" i="28" s="1"/>
  <c r="Y100" i="28" s="1"/>
  <c r="Z39" i="8"/>
  <c r="Y39" i="28" s="1"/>
  <c r="Y91" i="28" s="1"/>
  <c r="Z42" i="8"/>
  <c r="Y42" i="28" s="1"/>
  <c r="Y94" i="28" s="1"/>
  <c r="Z20" i="8"/>
  <c r="Y20" i="28" s="1"/>
  <c r="Y72" i="28" s="1"/>
  <c r="Z6" i="8"/>
  <c r="Y6" i="28" s="1"/>
  <c r="Y58" i="28" s="1"/>
  <c r="Z30" i="8"/>
  <c r="Y30" i="28" s="1"/>
  <c r="Y82" i="28" s="1"/>
  <c r="Z38" i="8"/>
  <c r="Y38" i="28" s="1"/>
  <c r="Y90" i="28" s="1"/>
  <c r="Z16" i="8"/>
  <c r="Y16" i="28" s="1"/>
  <c r="Y68" i="28" s="1"/>
  <c r="Z26" i="8"/>
  <c r="Y26" i="28" s="1"/>
  <c r="Y78" i="28" s="1"/>
  <c r="Z36" i="8"/>
  <c r="Y36" i="28" s="1"/>
  <c r="Y88" i="28" s="1"/>
  <c r="Z9" i="8"/>
  <c r="Y9" i="28" s="1"/>
  <c r="Y61" i="28" s="1"/>
  <c r="Z6" i="24"/>
  <c r="Z5" i="24"/>
  <c r="Z43" i="24"/>
  <c r="Z24" i="24"/>
  <c r="Z15" i="24"/>
  <c r="Z33" i="8"/>
  <c r="Y33" i="28" s="1"/>
  <c r="Y85" i="28" s="1"/>
  <c r="Z50" i="8"/>
  <c r="Y50" i="28" s="1"/>
  <c r="Y102" i="28" s="1"/>
  <c r="Z10" i="8"/>
  <c r="Y10" i="28" s="1"/>
  <c r="Y62" i="28" s="1"/>
  <c r="Z19" i="8"/>
  <c r="Y19" i="28" s="1"/>
  <c r="Y71" i="28" s="1"/>
  <c r="Z44" i="8"/>
  <c r="Y44" i="28" s="1"/>
  <c r="Y96" i="28" s="1"/>
  <c r="Z7" i="8"/>
  <c r="Y7" i="28" s="1"/>
  <c r="Y59" i="28" s="1"/>
  <c r="Z20" i="24"/>
  <c r="Z38" i="24"/>
  <c r="Z7" i="24"/>
  <c r="Z21" i="24"/>
  <c r="Z35" i="24"/>
  <c r="Z51" i="24"/>
  <c r="Z33" i="24"/>
  <c r="Z49" i="24"/>
  <c r="Z32" i="24"/>
  <c r="Z48" i="24"/>
  <c r="Z9" i="24"/>
  <c r="Z23" i="24"/>
  <c r="Z41" i="8"/>
  <c r="Y41" i="28" s="1"/>
  <c r="Y93" i="28" s="1"/>
  <c r="Z51" i="8"/>
  <c r="Y51" i="28" s="1"/>
  <c r="Y103" i="28" s="1"/>
  <c r="Z35" i="8"/>
  <c r="Y35" i="28" s="1"/>
  <c r="Y87" i="28" s="1"/>
  <c r="Z34" i="8"/>
  <c r="Y34" i="28" s="1"/>
  <c r="Y86" i="28" s="1"/>
  <c r="Z17" i="8"/>
  <c r="Y17" i="28" s="1"/>
  <c r="Y69" i="28" s="1"/>
  <c r="Z46" i="8"/>
  <c r="Y46" i="28" s="1"/>
  <c r="Y98" i="28" s="1"/>
  <c r="Z27" i="8"/>
  <c r="Y27" i="28" s="1"/>
  <c r="Y79" i="28" s="1"/>
  <c r="Z29" i="8"/>
  <c r="Y29" i="28" s="1"/>
  <c r="Y81" i="28" s="1"/>
  <c r="Z12" i="8"/>
  <c r="Y12" i="28" s="1"/>
  <c r="Y64" i="28" s="1"/>
  <c r="Z13" i="8"/>
  <c r="Y13" i="28" s="1"/>
  <c r="Y65" i="28" s="1"/>
  <c r="Z23" i="8"/>
  <c r="Y23" i="28" s="1"/>
  <c r="Y75" i="28" s="1"/>
  <c r="Z15" i="8"/>
  <c r="Y15" i="28" s="1"/>
  <c r="Y67" i="28" s="1"/>
  <c r="Z30" i="24"/>
  <c r="Z46" i="24"/>
  <c r="Z27" i="24"/>
  <c r="Z25" i="24"/>
  <c r="Z41" i="24"/>
  <c r="Z40" i="24"/>
  <c r="Z16" i="24"/>
  <c r="Z49" i="8"/>
  <c r="Y49" i="28" s="1"/>
  <c r="Y101" i="28" s="1"/>
  <c r="Z43" i="8"/>
  <c r="Y43" i="28" s="1"/>
  <c r="Y95" i="28" s="1"/>
  <c r="Z25" i="8"/>
  <c r="Y25" i="28" s="1"/>
  <c r="Y77" i="28" s="1"/>
  <c r="Z32" i="8"/>
  <c r="Y32" i="28" s="1"/>
  <c r="Y84" i="28" s="1"/>
  <c r="Z21" i="8"/>
  <c r="Y21" i="28" s="1"/>
  <c r="Y73" i="28" s="1"/>
  <c r="Z18" i="8"/>
  <c r="Y18" i="28" s="1"/>
  <c r="Y70" i="28" s="1"/>
  <c r="Z26" i="24"/>
  <c r="Z42" i="24"/>
  <c r="Z10" i="24"/>
  <c r="Z8" i="24"/>
  <c r="Z39" i="24"/>
  <c r="Z11" i="24"/>
  <c r="Z37" i="24"/>
  <c r="Z14" i="24"/>
  <c r="Z36" i="24"/>
  <c r="Z12" i="24"/>
  <c r="Z17" i="24"/>
  <c r="Z37" i="8"/>
  <c r="Y37" i="28" s="1"/>
  <c r="Y89" i="28" s="1"/>
  <c r="Z47" i="8"/>
  <c r="Y47" i="28" s="1"/>
  <c r="Y99" i="28" s="1"/>
  <c r="Z31" i="8"/>
  <c r="Y31" i="28" s="1"/>
  <c r="Y83" i="28" s="1"/>
  <c r="Z28" i="8"/>
  <c r="Y28" i="28" s="1"/>
  <c r="Y80" i="28" s="1"/>
  <c r="Z14" i="8"/>
  <c r="Y14" i="28" s="1"/>
  <c r="Y66" i="28" s="1"/>
  <c r="Z40" i="8"/>
  <c r="Y40" i="28" s="1"/>
  <c r="Y92" i="28" s="1"/>
  <c r="Z22" i="8"/>
  <c r="Y22" i="28" s="1"/>
  <c r="Y74" i="28" s="1"/>
  <c r="Z24" i="8"/>
  <c r="Y24" i="28" s="1"/>
  <c r="Y76" i="28" s="1"/>
  <c r="Z8" i="8"/>
  <c r="Y8" i="28" s="1"/>
  <c r="Y60" i="28" s="1"/>
  <c r="Z5" i="8"/>
  <c r="Z11" i="8"/>
  <c r="Y11" i="28" s="1"/>
  <c r="Y63" i="28" s="1"/>
  <c r="S8" i="30"/>
  <c r="S10" i="30"/>
  <c r="H10" i="30"/>
  <c r="J10" i="30"/>
  <c r="B10" i="30"/>
  <c r="W6" i="30"/>
  <c r="J8" i="31"/>
  <c r="F10" i="30"/>
  <c r="F8" i="30"/>
  <c r="O23" i="8"/>
  <c r="O23" i="28" s="1"/>
  <c r="O75" i="28" s="1"/>
  <c r="O45" i="8"/>
  <c r="Z22" i="11"/>
  <c r="Z40" i="11"/>
  <c r="Z34" i="11"/>
  <c r="Z34" i="25" s="1"/>
  <c r="AA34" i="25" s="1"/>
  <c r="Z23" i="11"/>
  <c r="Z41" i="11"/>
  <c r="Z41" i="25" s="1"/>
  <c r="AA41" i="25" s="1"/>
  <c r="Z19" i="11"/>
  <c r="Z19" i="13" s="1"/>
  <c r="AA19" i="13" s="1"/>
  <c r="Z37" i="11"/>
  <c r="Z37" i="25" s="1"/>
  <c r="AA37" i="25" s="1"/>
  <c r="Z14" i="11"/>
  <c r="Z14" i="25" s="1"/>
  <c r="AA14" i="25" s="1"/>
  <c r="Z9" i="11"/>
  <c r="K6" i="31"/>
  <c r="D6" i="31"/>
  <c r="B6" i="31"/>
  <c r="F10" i="31"/>
  <c r="F8" i="31"/>
  <c r="K10" i="31"/>
  <c r="K8" i="31"/>
  <c r="K8" i="30"/>
  <c r="T10" i="30"/>
  <c r="E10" i="30"/>
  <c r="E8" i="30"/>
  <c r="W10" i="30"/>
  <c r="R8" i="30"/>
  <c r="R10" i="30"/>
  <c r="D6" i="30"/>
  <c r="L23" i="7"/>
  <c r="L23" i="9" s="1"/>
  <c r="L8" i="7"/>
  <c r="L7" i="7"/>
  <c r="L39" i="7"/>
  <c r="L22" i="7"/>
  <c r="L26" i="7"/>
  <c r="L35" i="7"/>
  <c r="L41" i="7"/>
  <c r="L41" i="9" s="1"/>
  <c r="L40" i="7"/>
  <c r="L40" i="9" s="1"/>
  <c r="L49" i="7"/>
  <c r="L20" i="7"/>
  <c r="L32" i="7"/>
  <c r="Q47" i="7"/>
  <c r="Q47" i="9" s="1"/>
  <c r="Q13" i="7"/>
  <c r="Q10" i="7"/>
  <c r="Q14" i="7"/>
  <c r="Q24" i="7"/>
  <c r="Q11" i="7"/>
  <c r="Q36" i="7"/>
  <c r="Q7" i="7"/>
  <c r="Q40" i="7"/>
  <c r="Q12" i="7"/>
  <c r="Q43" i="7"/>
  <c r="Q32" i="7"/>
  <c r="Q32" i="9" s="1"/>
  <c r="Q31" i="7"/>
  <c r="Q31" i="9" s="1"/>
  <c r="Q27" i="7"/>
  <c r="Q27" i="9" s="1"/>
  <c r="Q15" i="7"/>
  <c r="Q38" i="7"/>
  <c r="Q38" i="9" s="1"/>
  <c r="Q50" i="7"/>
  <c r="Q50" i="9" s="1"/>
  <c r="Q46" i="7"/>
  <c r="Q46" i="9" s="1"/>
  <c r="Q8" i="7"/>
  <c r="Q28" i="7"/>
  <c r="Q6" i="7"/>
  <c r="Q22" i="7"/>
  <c r="Q35" i="7"/>
  <c r="Q45" i="7"/>
  <c r="Q17" i="7"/>
  <c r="Q34" i="7"/>
  <c r="Q18" i="7"/>
  <c r="Q44" i="7"/>
  <c r="Q16" i="7"/>
  <c r="Q16" i="9" s="1"/>
  <c r="Q21" i="7"/>
  <c r="Q21" i="9" s="1"/>
  <c r="Q20" i="7"/>
  <c r="Q19" i="7"/>
  <c r="Q19" i="9" s="1"/>
  <c r="Q49" i="7"/>
  <c r="Q49" i="9" s="1"/>
  <c r="Q37" i="7"/>
  <c r="Q37" i="9" s="1"/>
  <c r="Q41" i="7"/>
  <c r="Q48" i="7"/>
  <c r="Q48" i="9" s="1"/>
  <c r="Q23" i="7"/>
  <c r="Q23" i="9" s="1"/>
  <c r="Q5" i="7"/>
  <c r="Q26" i="7"/>
  <c r="Q29" i="7"/>
  <c r="Q29" i="9" s="1"/>
  <c r="Q9" i="7"/>
  <c r="Q9" i="9" s="1"/>
  <c r="Q51" i="7"/>
  <c r="Q51" i="9" s="1"/>
  <c r="Q30" i="7"/>
  <c r="Q30" i="9" s="1"/>
  <c r="Q39" i="7"/>
  <c r="Q39" i="9" s="1"/>
  <c r="Q33" i="7"/>
  <c r="Q33" i="9" s="1"/>
  <c r="Q25" i="7"/>
  <c r="Q25" i="9" s="1"/>
  <c r="Q42" i="7"/>
  <c r="W30" i="7"/>
  <c r="W30" i="9" s="1"/>
  <c r="W19" i="7"/>
  <c r="W19" i="9" s="1"/>
  <c r="W46" i="7"/>
  <c r="W46" i="9" s="1"/>
  <c r="W5" i="7"/>
  <c r="W45" i="7"/>
  <c r="W45" i="9" s="1"/>
  <c r="W37" i="7"/>
  <c r="W37" i="9" s="1"/>
  <c r="W24" i="7"/>
  <c r="W24" i="9" s="1"/>
  <c r="W9" i="7"/>
  <c r="W25" i="7"/>
  <c r="W25" i="9" s="1"/>
  <c r="W18" i="7"/>
  <c r="W18" i="9" s="1"/>
  <c r="W50" i="7"/>
  <c r="W50" i="9" s="1"/>
  <c r="W23" i="7"/>
  <c r="W21" i="7"/>
  <c r="W21" i="9" s="1"/>
  <c r="W16" i="7"/>
  <c r="W16" i="9" s="1"/>
  <c r="W39" i="7"/>
  <c r="W39" i="9" s="1"/>
  <c r="W31" i="7"/>
  <c r="W32" i="7"/>
  <c r="W32" i="9" s="1"/>
  <c r="W20" i="7"/>
  <c r="W20" i="9" s="1"/>
  <c r="W34" i="7"/>
  <c r="W34" i="9" s="1"/>
  <c r="W28" i="7"/>
  <c r="W14" i="7"/>
  <c r="W14" i="9" s="1"/>
  <c r="W42" i="7"/>
  <c r="W42" i="9" s="1"/>
  <c r="W51" i="7"/>
  <c r="W51" i="9" s="1"/>
  <c r="W43" i="7"/>
  <c r="W35" i="7"/>
  <c r="W35" i="9" s="1"/>
  <c r="W22" i="7"/>
  <c r="W38" i="7"/>
  <c r="W38" i="9" s="1"/>
  <c r="W29" i="7"/>
  <c r="W15" i="7"/>
  <c r="W15" i="9" s="1"/>
  <c r="W48" i="7"/>
  <c r="W48" i="9" s="1"/>
  <c r="W13" i="7"/>
  <c r="W13" i="9" s="1"/>
  <c r="W6" i="7"/>
  <c r="W47" i="7"/>
  <c r="W47" i="9" s="1"/>
  <c r="W12" i="7"/>
  <c r="W12" i="9" s="1"/>
  <c r="W7" i="7"/>
  <c r="W7" i="9" s="1"/>
  <c r="W26" i="7"/>
  <c r="W11" i="7"/>
  <c r="W11" i="9" s="1"/>
  <c r="W40" i="7"/>
  <c r="W40" i="9" s="1"/>
  <c r="W49" i="7"/>
  <c r="W49" i="9" s="1"/>
  <c r="W41" i="7"/>
  <c r="W33" i="7"/>
  <c r="W33" i="9" s="1"/>
  <c r="W17" i="7"/>
  <c r="W17" i="9" s="1"/>
  <c r="W36" i="7"/>
  <c r="W36" i="9" s="1"/>
  <c r="W27" i="7"/>
  <c r="W10" i="7"/>
  <c r="W10" i="9" s="1"/>
  <c r="W44" i="7"/>
  <c r="W44" i="9" s="1"/>
  <c r="W8" i="7"/>
  <c r="W8" i="9" s="1"/>
  <c r="D10" i="30"/>
  <c r="P48" i="11"/>
  <c r="P48" i="12"/>
  <c r="P48" i="25"/>
  <c r="Z48" i="12"/>
  <c r="Z48" i="11"/>
  <c r="Z48" i="25"/>
  <c r="O49" i="10"/>
  <c r="U48" i="12"/>
  <c r="U48" i="11"/>
  <c r="U48" i="25"/>
  <c r="T49" i="10"/>
  <c r="O45" i="28"/>
  <c r="O97" i="28" s="1"/>
  <c r="V48" i="25"/>
  <c r="V48" i="11"/>
  <c r="V48" i="12"/>
  <c r="P49" i="10"/>
  <c r="M48" i="11"/>
  <c r="M48" i="12"/>
  <c r="M48" i="25"/>
  <c r="N48" i="25"/>
  <c r="N48" i="12"/>
  <c r="N48" i="11"/>
  <c r="O48" i="11"/>
  <c r="O48" i="25"/>
  <c r="O48" i="12"/>
  <c r="V49" i="10"/>
  <c r="N49" i="10"/>
  <c r="M49" i="10"/>
  <c r="T48" i="12"/>
  <c r="T48" i="11"/>
  <c r="T48" i="25"/>
  <c r="O7" i="28"/>
  <c r="O59" i="28" s="1"/>
  <c r="AH31" i="8"/>
  <c r="AD31" i="28" s="1"/>
  <c r="AD83" i="28" s="1"/>
  <c r="T33" i="28"/>
  <c r="T85" i="28" s="1"/>
  <c r="T8" i="28"/>
  <c r="T60" i="28" s="1"/>
  <c r="T26" i="28"/>
  <c r="T78" i="28" s="1"/>
  <c r="R13" i="25"/>
  <c r="S13" i="25" s="1"/>
  <c r="R27" i="25"/>
  <c r="S27" i="25" s="1"/>
  <c r="R17" i="25"/>
  <c r="S17" i="25" s="1"/>
  <c r="R23" i="25"/>
  <c r="S23" i="25" s="1"/>
  <c r="R15" i="25"/>
  <c r="S15" i="25" s="1"/>
  <c r="R22" i="25"/>
  <c r="S22" i="25" s="1"/>
  <c r="R14" i="25"/>
  <c r="S14" i="25" s="1"/>
  <c r="R12" i="25"/>
  <c r="S12" i="25" s="1"/>
  <c r="R25" i="25"/>
  <c r="S25" i="25" s="1"/>
  <c r="R11" i="25"/>
  <c r="S11" i="25" s="1"/>
  <c r="Z27" i="25"/>
  <c r="AA27" i="25" s="1"/>
  <c r="Z36" i="25"/>
  <c r="AA36" i="25" s="1"/>
  <c r="Z39" i="25"/>
  <c r="AA39" i="25" s="1"/>
  <c r="Z31" i="25"/>
  <c r="AA31" i="25" s="1"/>
  <c r="Z8" i="25"/>
  <c r="AA8" i="25" s="1"/>
  <c r="O17" i="24"/>
  <c r="O10" i="24"/>
  <c r="O14" i="24"/>
  <c r="O33" i="24"/>
  <c r="O37" i="24"/>
  <c r="O41" i="24"/>
  <c r="O12" i="24"/>
  <c r="O43" i="24"/>
  <c r="X47" i="24"/>
  <c r="X10" i="24"/>
  <c r="X38" i="8"/>
  <c r="W38" i="28" s="1"/>
  <c r="W90" i="28" s="1"/>
  <c r="R28" i="25"/>
  <c r="S28" i="25" s="1"/>
  <c r="R42" i="25"/>
  <c r="S42" i="25" s="1"/>
  <c r="R40" i="25"/>
  <c r="S40" i="25" s="1"/>
  <c r="R35" i="25"/>
  <c r="S35" i="25" s="1"/>
  <c r="R29" i="25"/>
  <c r="S29" i="25" s="1"/>
  <c r="R6" i="25"/>
  <c r="S6" i="25" s="1"/>
  <c r="R16" i="25"/>
  <c r="S16" i="25" s="1"/>
  <c r="R5" i="25"/>
  <c r="O25" i="8"/>
  <c r="O25" i="28" s="1"/>
  <c r="O77" i="28" s="1"/>
  <c r="O50" i="24"/>
  <c r="O36" i="24"/>
  <c r="O35" i="24"/>
  <c r="O27" i="24"/>
  <c r="O21" i="24"/>
  <c r="O16" i="24"/>
  <c r="O19" i="24"/>
  <c r="O45" i="24"/>
  <c r="O29" i="24"/>
  <c r="O30" i="24"/>
  <c r="O22" i="24"/>
  <c r="O25" i="24"/>
  <c r="O9" i="24"/>
  <c r="O23" i="24"/>
  <c r="O48" i="24"/>
  <c r="O44" i="24"/>
  <c r="O42" i="24"/>
  <c r="O28" i="24"/>
  <c r="O15" i="24"/>
  <c r="O32" i="24"/>
  <c r="O47" i="24"/>
  <c r="O40" i="24"/>
  <c r="O5" i="24"/>
  <c r="O18" i="24"/>
  <c r="O26" i="24"/>
  <c r="U23" i="8"/>
  <c r="T23" i="28" s="1"/>
  <c r="T75" i="28" s="1"/>
  <c r="U19" i="24"/>
  <c r="U37" i="24"/>
  <c r="U17" i="24"/>
  <c r="U22" i="24"/>
  <c r="U32" i="24"/>
  <c r="U48" i="24"/>
  <c r="U26" i="24"/>
  <c r="U41" i="24"/>
  <c r="U8" i="24"/>
  <c r="U10" i="24"/>
  <c r="U36" i="24"/>
  <c r="U21" i="24"/>
  <c r="U39" i="24"/>
  <c r="U5" i="24"/>
  <c r="U7" i="24"/>
  <c r="U34" i="24"/>
  <c r="U50" i="24"/>
  <c r="U24" i="24"/>
  <c r="U30" i="24"/>
  <c r="U45" i="24"/>
  <c r="U16" i="24"/>
  <c r="U18" i="24"/>
  <c r="U40" i="24"/>
  <c r="U11" i="24"/>
  <c r="U33" i="24"/>
  <c r="U49" i="24"/>
  <c r="U25" i="24"/>
  <c r="U27" i="24"/>
  <c r="U44" i="24"/>
  <c r="U6" i="24"/>
  <c r="U31" i="24"/>
  <c r="U47" i="24"/>
  <c r="U23" i="24"/>
  <c r="U20" i="24"/>
  <c r="U42" i="24"/>
  <c r="Z22" i="25"/>
  <c r="AA22" i="25" s="1"/>
  <c r="Z40" i="25"/>
  <c r="AA40" i="25" s="1"/>
  <c r="Z23" i="25"/>
  <c r="AA23" i="25" s="1"/>
  <c r="Z19" i="25"/>
  <c r="AA19" i="25" s="1"/>
  <c r="Z9" i="25"/>
  <c r="AA9" i="25" s="1"/>
  <c r="Z10" i="25"/>
  <c r="AA10" i="25" s="1"/>
  <c r="X41" i="24"/>
  <c r="X46" i="24"/>
  <c r="X24" i="24"/>
  <c r="X29" i="24"/>
  <c r="X14" i="24"/>
  <c r="X5" i="24"/>
  <c r="U38" i="24"/>
  <c r="U15" i="24"/>
  <c r="U13" i="24"/>
  <c r="U43" i="24"/>
  <c r="U28" i="24"/>
  <c r="U12" i="24"/>
  <c r="AH13" i="24"/>
  <c r="AH15" i="24"/>
  <c r="AH48" i="24"/>
  <c r="AH36" i="24"/>
  <c r="O8" i="24"/>
  <c r="O49" i="24"/>
  <c r="X19" i="8"/>
  <c r="W19" i="28" s="1"/>
  <c r="W71" i="28" s="1"/>
  <c r="X25" i="24"/>
  <c r="X18" i="24"/>
  <c r="X12" i="24"/>
  <c r="X40" i="24"/>
  <c r="X35" i="24"/>
  <c r="X51" i="24"/>
  <c r="X19" i="24"/>
  <c r="X11" i="24"/>
  <c r="X27" i="24"/>
  <c r="X22" i="24"/>
  <c r="X44" i="24"/>
  <c r="X39" i="24"/>
  <c r="X6" i="24"/>
  <c r="X20" i="24"/>
  <c r="X17" i="24"/>
  <c r="X42" i="24"/>
  <c r="X37" i="24"/>
  <c r="X8" i="24"/>
  <c r="X28" i="24"/>
  <c r="X21" i="24"/>
  <c r="X32" i="24"/>
  <c r="X48" i="24"/>
  <c r="X43" i="24"/>
  <c r="X16" i="24"/>
  <c r="X13" i="24"/>
  <c r="X7" i="24"/>
  <c r="X26" i="24"/>
  <c r="X34" i="24"/>
  <c r="X50" i="24"/>
  <c r="X45" i="24"/>
  <c r="R38" i="25"/>
  <c r="S38" i="25" s="1"/>
  <c r="R21" i="25"/>
  <c r="S21" i="25" s="1"/>
  <c r="R26" i="25"/>
  <c r="S26" i="25" s="1"/>
  <c r="R24" i="25"/>
  <c r="S24" i="25" s="1"/>
  <c r="R33" i="25"/>
  <c r="S33" i="25" s="1"/>
  <c r="R19" i="25"/>
  <c r="S19" i="25" s="1"/>
  <c r="R32" i="25"/>
  <c r="S32" i="25" s="1"/>
  <c r="R8" i="25"/>
  <c r="S8" i="25" s="1"/>
  <c r="R18" i="25"/>
  <c r="S18" i="25" s="1"/>
  <c r="R7" i="25"/>
  <c r="S7" i="25" s="1"/>
  <c r="Z15" i="25"/>
  <c r="AA15" i="25" s="1"/>
  <c r="Z33" i="25"/>
  <c r="AA33" i="25" s="1"/>
  <c r="Z18" i="25"/>
  <c r="AA18" i="25" s="1"/>
  <c r="Z32" i="25"/>
  <c r="AA32" i="25" s="1"/>
  <c r="Z25" i="25"/>
  <c r="AA25" i="25" s="1"/>
  <c r="Z28" i="25"/>
  <c r="AA28" i="25" s="1"/>
  <c r="Z17" i="25"/>
  <c r="AA17" i="25" s="1"/>
  <c r="Z21" i="25"/>
  <c r="AA21" i="25" s="1"/>
  <c r="Z11" i="25"/>
  <c r="AA11" i="25" s="1"/>
  <c r="Z16" i="25"/>
  <c r="AA16" i="25" s="1"/>
  <c r="O6" i="24"/>
  <c r="O13" i="24"/>
  <c r="O34" i="24"/>
  <c r="O24" i="24"/>
  <c r="O51" i="24"/>
  <c r="O20" i="24"/>
  <c r="O11" i="24"/>
  <c r="O38" i="24"/>
  <c r="X36" i="24"/>
  <c r="X49" i="8"/>
  <c r="W49" i="28" s="1"/>
  <c r="W101" i="28" s="1"/>
  <c r="X33" i="8"/>
  <c r="W33" i="28" s="1"/>
  <c r="W85" i="28" s="1"/>
  <c r="X9" i="8"/>
  <c r="W9" i="28" s="1"/>
  <c r="W61" i="28" s="1"/>
  <c r="X15" i="8"/>
  <c r="W15" i="28" s="1"/>
  <c r="W67" i="28" s="1"/>
  <c r="X41" i="8"/>
  <c r="W41" i="28" s="1"/>
  <c r="W93" i="28" s="1"/>
  <c r="X46" i="8"/>
  <c r="W46" i="28" s="1"/>
  <c r="W98" i="28" s="1"/>
  <c r="X24" i="8"/>
  <c r="W24" i="28" s="1"/>
  <c r="W76" i="28" s="1"/>
  <c r="X29" i="8"/>
  <c r="W29" i="28" s="1"/>
  <c r="W81" i="28" s="1"/>
  <c r="X14" i="8"/>
  <c r="W14" i="28" s="1"/>
  <c r="W66" i="28" s="1"/>
  <c r="X5" i="8"/>
  <c r="W5" i="28" s="1"/>
  <c r="W57" i="28" s="1"/>
  <c r="AH36" i="8"/>
  <c r="AD36" i="28" s="1"/>
  <c r="AD88" i="28" s="1"/>
  <c r="AH28" i="24"/>
  <c r="AH46" i="24"/>
  <c r="AH22" i="24"/>
  <c r="AH18" i="24"/>
  <c r="AH14" i="24"/>
  <c r="AH8" i="24"/>
  <c r="AH41" i="24"/>
  <c r="AH37" i="24"/>
  <c r="AH12" i="24"/>
  <c r="AH19" i="24"/>
  <c r="AH16" i="24"/>
  <c r="AH23" i="24"/>
  <c r="AH30" i="24"/>
  <c r="AH7" i="24"/>
  <c r="AH17" i="24"/>
  <c r="AH11" i="24"/>
  <c r="AH42" i="24"/>
  <c r="AH34" i="24"/>
  <c r="AH32" i="24"/>
  <c r="AH5" i="24"/>
  <c r="AH20" i="24"/>
  <c r="AH49" i="24"/>
  <c r="AH31" i="24"/>
  <c r="AH47" i="24"/>
  <c r="AH50" i="24"/>
  <c r="AH38" i="24"/>
  <c r="AH35" i="24"/>
  <c r="AH6" i="24"/>
  <c r="AH27" i="24"/>
  <c r="AH21" i="24"/>
  <c r="AH40" i="24"/>
  <c r="AH39" i="24"/>
  <c r="AH51" i="24"/>
  <c r="AH10" i="24"/>
  <c r="AH25" i="24"/>
  <c r="AH44" i="24"/>
  <c r="R30" i="25"/>
  <c r="S30" i="25" s="1"/>
  <c r="R41" i="25"/>
  <c r="S41" i="25" s="1"/>
  <c r="R37" i="25"/>
  <c r="S37" i="25" s="1"/>
  <c r="R39" i="25"/>
  <c r="S39" i="25" s="1"/>
  <c r="R36" i="25"/>
  <c r="S36" i="25" s="1"/>
  <c r="R34" i="25"/>
  <c r="S34" i="25" s="1"/>
  <c r="R31" i="25"/>
  <c r="S31" i="25" s="1"/>
  <c r="R10" i="25"/>
  <c r="S10" i="25" s="1"/>
  <c r="R20" i="25"/>
  <c r="S20" i="25" s="1"/>
  <c r="R9" i="25"/>
  <c r="S9" i="25" s="1"/>
  <c r="U50" i="8"/>
  <c r="T50" i="28" s="1"/>
  <c r="T102" i="28" s="1"/>
  <c r="Z38" i="25"/>
  <c r="AA38" i="25" s="1"/>
  <c r="Z12" i="25"/>
  <c r="AA12" i="25" s="1"/>
  <c r="Z29" i="25"/>
  <c r="AA29" i="25" s="1"/>
  <c r="Z30" i="25"/>
  <c r="AA30" i="25" s="1"/>
  <c r="Z24" i="25"/>
  <c r="AA24" i="25" s="1"/>
  <c r="Z42" i="25"/>
  <c r="AA42" i="25" s="1"/>
  <c r="Z20" i="25"/>
  <c r="AA20" i="25" s="1"/>
  <c r="Z5" i="25"/>
  <c r="Z6" i="25"/>
  <c r="AA6" i="25" s="1"/>
  <c r="AH33" i="24"/>
  <c r="X49" i="24"/>
  <c r="X33" i="24"/>
  <c r="X38" i="24"/>
  <c r="X9" i="24"/>
  <c r="X15" i="24"/>
  <c r="X23" i="24"/>
  <c r="U46" i="24"/>
  <c r="U29" i="24"/>
  <c r="U9" i="24"/>
  <c r="U51" i="24"/>
  <c r="U35" i="24"/>
  <c r="U14" i="24"/>
  <c r="AH29" i="24"/>
  <c r="AH9" i="24"/>
  <c r="AH26" i="24"/>
  <c r="AH24" i="24"/>
  <c r="AH43" i="24"/>
  <c r="O7" i="24"/>
  <c r="O46" i="24"/>
  <c r="X31" i="24"/>
  <c r="O39" i="24"/>
  <c r="AQ9" i="24"/>
  <c r="AR29" i="24"/>
  <c r="AV29" i="24" s="1"/>
  <c r="AV28" i="24"/>
  <c r="U20" i="8"/>
  <c r="T20" i="28" s="1"/>
  <c r="T72" i="28" s="1"/>
  <c r="U42" i="8"/>
  <c r="T42" i="28" s="1"/>
  <c r="T94" i="28" s="1"/>
  <c r="U47" i="8"/>
  <c r="T47" i="28" s="1"/>
  <c r="T99" i="28" s="1"/>
  <c r="N54" i="8"/>
  <c r="N54" i="9"/>
  <c r="N54" i="7"/>
  <c r="X23" i="8"/>
  <c r="W23" i="28" s="1"/>
  <c r="W75" i="28" s="1"/>
  <c r="AH5" i="8"/>
  <c r="AD5" i="28" s="1"/>
  <c r="AD57" i="28" s="1"/>
  <c r="AH32" i="8"/>
  <c r="AD32" i="28" s="1"/>
  <c r="AD84" i="28" s="1"/>
  <c r="AH34" i="8"/>
  <c r="AD34" i="28" s="1"/>
  <c r="AD86" i="28" s="1"/>
  <c r="AH42" i="8"/>
  <c r="AD42" i="28" s="1"/>
  <c r="AD94" i="28" s="1"/>
  <c r="R28" i="12"/>
  <c r="S28" i="12" s="1"/>
  <c r="S28" i="11"/>
  <c r="R28" i="13"/>
  <c r="S28" i="13" s="1"/>
  <c r="R42" i="12"/>
  <c r="S42" i="12" s="1"/>
  <c r="S42" i="11"/>
  <c r="R42" i="13"/>
  <c r="S42" i="13" s="1"/>
  <c r="R40" i="12"/>
  <c r="S40" i="12" s="1"/>
  <c r="S40" i="11"/>
  <c r="R40" i="13"/>
  <c r="S40" i="13" s="1"/>
  <c r="R38" i="12"/>
  <c r="S38" i="12" s="1"/>
  <c r="S38" i="11"/>
  <c r="R38" i="13"/>
  <c r="S38" i="13" s="1"/>
  <c r="R35" i="12"/>
  <c r="S35" i="12" s="1"/>
  <c r="S35" i="11"/>
  <c r="R35" i="13"/>
  <c r="S35" i="13" s="1"/>
  <c r="R29" i="12"/>
  <c r="S29" i="12" s="1"/>
  <c r="S29" i="11"/>
  <c r="R29" i="13"/>
  <c r="S29" i="13" s="1"/>
  <c r="R6" i="12"/>
  <c r="S6" i="12" s="1"/>
  <c r="S6" i="11"/>
  <c r="R6" i="13"/>
  <c r="S6" i="13" s="1"/>
  <c r="R16" i="12"/>
  <c r="S16" i="12" s="1"/>
  <c r="S16" i="11"/>
  <c r="R16" i="13"/>
  <c r="S16" i="13" s="1"/>
  <c r="R5" i="12"/>
  <c r="S5" i="11"/>
  <c r="R44" i="11"/>
  <c r="R5" i="13"/>
  <c r="AH44" i="8"/>
  <c r="AD44" i="28" s="1"/>
  <c r="AD96" i="28" s="1"/>
  <c r="O18" i="8"/>
  <c r="O18" i="28" s="1"/>
  <c r="O70" i="28" s="1"/>
  <c r="X47" i="8"/>
  <c r="W47" i="28" s="1"/>
  <c r="W99" i="28" s="1"/>
  <c r="X31" i="8"/>
  <c r="W31" i="28" s="1"/>
  <c r="W83" i="28" s="1"/>
  <c r="X36" i="8"/>
  <c r="W36" i="28" s="1"/>
  <c r="W88" i="28" s="1"/>
  <c r="X30" i="8"/>
  <c r="W30" i="28" s="1"/>
  <c r="W82" i="28" s="1"/>
  <c r="X11" i="8"/>
  <c r="W11" i="28" s="1"/>
  <c r="W63" i="28" s="1"/>
  <c r="U34" i="8"/>
  <c r="T34" i="28" s="1"/>
  <c r="T86" i="28" s="1"/>
  <c r="U5" i="8"/>
  <c r="T5" i="28" s="1"/>
  <c r="T57" i="28" s="1"/>
  <c r="AH13" i="8"/>
  <c r="AD13" i="28" s="1"/>
  <c r="AD65" i="28" s="1"/>
  <c r="AH45" i="8"/>
  <c r="AD45" i="28" s="1"/>
  <c r="AD97" i="28" s="1"/>
  <c r="D46" i="5"/>
  <c r="AB45" i="25" s="1"/>
  <c r="Q45" i="13"/>
  <c r="Q45" i="12"/>
  <c r="Q45" i="11"/>
  <c r="Q45" i="10"/>
  <c r="X21" i="8"/>
  <c r="W21" i="28" s="1"/>
  <c r="W73" i="28" s="1"/>
  <c r="X51" i="8"/>
  <c r="W51" i="28" s="1"/>
  <c r="W103" i="28" s="1"/>
  <c r="X13" i="8"/>
  <c r="W13" i="28" s="1"/>
  <c r="W65" i="28" s="1"/>
  <c r="X42" i="8"/>
  <c r="W42" i="28" s="1"/>
  <c r="W94" i="28" s="1"/>
  <c r="X37" i="8"/>
  <c r="W37" i="28" s="1"/>
  <c r="W89" i="28" s="1"/>
  <c r="X12" i="8"/>
  <c r="W12" i="28" s="1"/>
  <c r="W64" i="28" s="1"/>
  <c r="X43" i="8"/>
  <c r="W43" i="28" s="1"/>
  <c r="W95" i="28" s="1"/>
  <c r="X32" i="8"/>
  <c r="W32" i="28" s="1"/>
  <c r="W84" i="28" s="1"/>
  <c r="X7" i="8"/>
  <c r="W7" i="28" s="1"/>
  <c r="W59" i="28" s="1"/>
  <c r="X26" i="8"/>
  <c r="W26" i="28" s="1"/>
  <c r="W78" i="28" s="1"/>
  <c r="X28" i="8"/>
  <c r="W28" i="28" s="1"/>
  <c r="W80" i="28" s="1"/>
  <c r="X18" i="8"/>
  <c r="W18" i="28" s="1"/>
  <c r="W70" i="28" s="1"/>
  <c r="X25" i="8"/>
  <c r="W25" i="28" s="1"/>
  <c r="W77" i="28" s="1"/>
  <c r="X40" i="8"/>
  <c r="W40" i="28" s="1"/>
  <c r="W92" i="28" s="1"/>
  <c r="X34" i="8"/>
  <c r="W34" i="28" s="1"/>
  <c r="W86" i="28" s="1"/>
  <c r="X50" i="8"/>
  <c r="W50" i="28" s="1"/>
  <c r="W102" i="28" s="1"/>
  <c r="X45" i="8"/>
  <c r="W45" i="28" s="1"/>
  <c r="W97" i="28" s="1"/>
  <c r="X48" i="8"/>
  <c r="W48" i="28" s="1"/>
  <c r="W100" i="28" s="1"/>
  <c r="X35" i="8"/>
  <c r="W35" i="28" s="1"/>
  <c r="W87" i="28" s="1"/>
  <c r="X6" i="8"/>
  <c r="W6" i="28" s="1"/>
  <c r="W58" i="28" s="1"/>
  <c r="X20" i="8"/>
  <c r="W20" i="28" s="1"/>
  <c r="W72" i="28" s="1"/>
  <c r="X17" i="8"/>
  <c r="W17" i="28" s="1"/>
  <c r="W69" i="28" s="1"/>
  <c r="X8" i="8"/>
  <c r="W8" i="28" s="1"/>
  <c r="W60" i="28" s="1"/>
  <c r="AH8" i="8"/>
  <c r="AD8" i="28" s="1"/>
  <c r="AD60" i="28" s="1"/>
  <c r="AH14" i="8"/>
  <c r="AD14" i="28" s="1"/>
  <c r="AD66" i="28" s="1"/>
  <c r="R21" i="12"/>
  <c r="S21" i="12" s="1"/>
  <c r="S21" i="11"/>
  <c r="R21" i="13"/>
  <c r="S21" i="13" s="1"/>
  <c r="R26" i="12"/>
  <c r="S26" i="12" s="1"/>
  <c r="S26" i="11"/>
  <c r="R26" i="13"/>
  <c r="S26" i="13" s="1"/>
  <c r="R24" i="12"/>
  <c r="S24" i="12" s="1"/>
  <c r="S24" i="11"/>
  <c r="R24" i="13"/>
  <c r="S24" i="13" s="1"/>
  <c r="R33" i="12"/>
  <c r="S33" i="12" s="1"/>
  <c r="S33" i="11"/>
  <c r="R33" i="13"/>
  <c r="S33" i="13" s="1"/>
  <c r="R19" i="12"/>
  <c r="S19" i="12" s="1"/>
  <c r="S19" i="11"/>
  <c r="R19" i="13"/>
  <c r="S19" i="13" s="1"/>
  <c r="S32" i="11"/>
  <c r="R32" i="12"/>
  <c r="S32" i="12" s="1"/>
  <c r="R32" i="13"/>
  <c r="S32" i="13" s="1"/>
  <c r="R8" i="12"/>
  <c r="S8" i="12" s="1"/>
  <c r="S8" i="11"/>
  <c r="R8" i="13"/>
  <c r="S8" i="13" s="1"/>
  <c r="R18" i="12"/>
  <c r="S18" i="12" s="1"/>
  <c r="S18" i="11"/>
  <c r="R18" i="13"/>
  <c r="S18" i="13" s="1"/>
  <c r="R7" i="12"/>
  <c r="S7" i="12" s="1"/>
  <c r="S7" i="11"/>
  <c r="R7" i="13"/>
  <c r="S7" i="13" s="1"/>
  <c r="L48" i="10"/>
  <c r="L49" i="10" s="1"/>
  <c r="O5" i="8"/>
  <c r="O5" i="28" s="1"/>
  <c r="O57" i="28" s="1"/>
  <c r="O40" i="8"/>
  <c r="O40" i="28" s="1"/>
  <c r="O92" i="28" s="1"/>
  <c r="O47" i="8"/>
  <c r="O47" i="28" s="1"/>
  <c r="O99" i="28" s="1"/>
  <c r="O32" i="8"/>
  <c r="O32" i="28" s="1"/>
  <c r="O84" i="28" s="1"/>
  <c r="X10" i="8"/>
  <c r="W10" i="28" s="1"/>
  <c r="W62" i="28" s="1"/>
  <c r="U7" i="8"/>
  <c r="T7" i="28" s="1"/>
  <c r="T59" i="28" s="1"/>
  <c r="Z15" i="12"/>
  <c r="AA15" i="12" s="1"/>
  <c r="AA15" i="11"/>
  <c r="Z15" i="13"/>
  <c r="AA15" i="13" s="1"/>
  <c r="AA33" i="11"/>
  <c r="Z33" i="12"/>
  <c r="AA33" i="12" s="1"/>
  <c r="Z33" i="13"/>
  <c r="AA33" i="13" s="1"/>
  <c r="Z18" i="12"/>
  <c r="AA18" i="12" s="1"/>
  <c r="AA18" i="11"/>
  <c r="Z18" i="13"/>
  <c r="AA18" i="13" s="1"/>
  <c r="AA32" i="11"/>
  <c r="Z32" i="12"/>
  <c r="AA32" i="12" s="1"/>
  <c r="Z32" i="13"/>
  <c r="AA32" i="13" s="1"/>
  <c r="AA25" i="11"/>
  <c r="Z25" i="12"/>
  <c r="AA25" i="12" s="1"/>
  <c r="Z25" i="13"/>
  <c r="AA25" i="13" s="1"/>
  <c r="AA28" i="11"/>
  <c r="Z28" i="12"/>
  <c r="AA28" i="12" s="1"/>
  <c r="Z28" i="13"/>
  <c r="AA28" i="13" s="1"/>
  <c r="Z17" i="12"/>
  <c r="AA17" i="12" s="1"/>
  <c r="AA17" i="11"/>
  <c r="Z17" i="13"/>
  <c r="AA17" i="13" s="1"/>
  <c r="AA21" i="11"/>
  <c r="Z21" i="12"/>
  <c r="AA21" i="12" s="1"/>
  <c r="Z21" i="13"/>
  <c r="AA21" i="13" s="1"/>
  <c r="Z11" i="12"/>
  <c r="AA11" i="12" s="1"/>
  <c r="AA11" i="11"/>
  <c r="Z11" i="13"/>
  <c r="AA11" i="13" s="1"/>
  <c r="Z16" i="12"/>
  <c r="AA16" i="12" s="1"/>
  <c r="AA16" i="11"/>
  <c r="Z16" i="13"/>
  <c r="AA16" i="13" s="1"/>
  <c r="X53" i="9"/>
  <c r="AH33" i="8"/>
  <c r="AD33" i="28" s="1"/>
  <c r="AD85" i="28" s="1"/>
  <c r="AH28" i="8"/>
  <c r="AD28" i="28" s="1"/>
  <c r="AD80" i="28" s="1"/>
  <c r="AH47" i="8"/>
  <c r="AD47" i="28" s="1"/>
  <c r="AD99" i="28" s="1"/>
  <c r="AH41" i="8"/>
  <c r="AD41" i="28" s="1"/>
  <c r="AD93" i="28" s="1"/>
  <c r="AH37" i="8"/>
  <c r="AD37" i="28" s="1"/>
  <c r="AD89" i="28" s="1"/>
  <c r="AH12" i="8"/>
  <c r="AD12" i="28" s="1"/>
  <c r="AD64" i="28" s="1"/>
  <c r="AH19" i="8"/>
  <c r="AD19" i="28" s="1"/>
  <c r="AD71" i="28" s="1"/>
  <c r="AH16" i="8"/>
  <c r="AD16" i="28" s="1"/>
  <c r="AD68" i="28" s="1"/>
  <c r="AH23" i="8"/>
  <c r="AD23" i="28" s="1"/>
  <c r="AD75" i="28" s="1"/>
  <c r="AH7" i="8"/>
  <c r="AD7" i="28" s="1"/>
  <c r="AD59" i="28" s="1"/>
  <c r="AH51" i="8"/>
  <c r="AD51" i="28" s="1"/>
  <c r="AD103" i="28" s="1"/>
  <c r="AH40" i="8"/>
  <c r="AD40" i="28" s="1"/>
  <c r="AD92" i="28" s="1"/>
  <c r="AH10" i="8"/>
  <c r="AD10" i="28" s="1"/>
  <c r="AD62" i="28" s="1"/>
  <c r="AH21" i="8"/>
  <c r="AD21" i="28" s="1"/>
  <c r="AD73" i="28" s="1"/>
  <c r="AH50" i="8"/>
  <c r="AD50" i="28" s="1"/>
  <c r="AD102" i="28" s="1"/>
  <c r="AH38" i="8"/>
  <c r="AD38" i="28" s="1"/>
  <c r="AD90" i="28" s="1"/>
  <c r="AH35" i="8"/>
  <c r="AD35" i="28" s="1"/>
  <c r="AD87" i="28" s="1"/>
  <c r="AH6" i="8"/>
  <c r="AD6" i="28" s="1"/>
  <c r="AD58" i="28" s="1"/>
  <c r="AH27" i="8"/>
  <c r="AD27" i="28" s="1"/>
  <c r="AD79" i="28" s="1"/>
  <c r="AH39" i="8"/>
  <c r="AD39" i="28" s="1"/>
  <c r="AD91" i="28" s="1"/>
  <c r="AH25" i="8"/>
  <c r="AD25" i="28" s="1"/>
  <c r="AD77" i="28" s="1"/>
  <c r="AH43" i="8"/>
  <c r="AD43" i="28" s="1"/>
  <c r="AD95" i="28" s="1"/>
  <c r="AH24" i="8"/>
  <c r="AD24" i="28" s="1"/>
  <c r="AD76" i="28" s="1"/>
  <c r="AH26" i="8"/>
  <c r="AD26" i="28" s="1"/>
  <c r="AD78" i="28" s="1"/>
  <c r="AH9" i="8"/>
  <c r="AD9" i="28" s="1"/>
  <c r="AD61" i="28" s="1"/>
  <c r="AH29" i="8"/>
  <c r="AD29" i="28" s="1"/>
  <c r="AD81" i="28" s="1"/>
  <c r="AH17" i="8"/>
  <c r="AD17" i="28" s="1"/>
  <c r="AD69" i="28" s="1"/>
  <c r="AH30" i="8"/>
  <c r="AD30" i="28" s="1"/>
  <c r="AD82" i="28" s="1"/>
  <c r="AH11" i="8"/>
  <c r="AD11" i="28" s="1"/>
  <c r="AD63" i="28" s="1"/>
  <c r="AH18" i="8"/>
  <c r="AD18" i="28" s="1"/>
  <c r="AD70" i="28" s="1"/>
  <c r="AH22" i="8"/>
  <c r="AD22" i="28" s="1"/>
  <c r="AD74" i="28" s="1"/>
  <c r="AH46" i="8"/>
  <c r="AD46" i="28" s="1"/>
  <c r="AD98" i="28" s="1"/>
  <c r="R30" i="12"/>
  <c r="S30" i="12" s="1"/>
  <c r="S30" i="11"/>
  <c r="R30" i="13"/>
  <c r="S30" i="13" s="1"/>
  <c r="R41" i="12"/>
  <c r="S41" i="12" s="1"/>
  <c r="S41" i="11"/>
  <c r="R41" i="13"/>
  <c r="S41" i="13" s="1"/>
  <c r="S37" i="11"/>
  <c r="R37" i="12"/>
  <c r="S37" i="12" s="1"/>
  <c r="R37" i="13"/>
  <c r="S37" i="13" s="1"/>
  <c r="R39" i="12"/>
  <c r="S39" i="12" s="1"/>
  <c r="S39" i="11"/>
  <c r="R39" i="13"/>
  <c r="S39" i="13" s="1"/>
  <c r="R36" i="12"/>
  <c r="S36" i="12" s="1"/>
  <c r="S36" i="11"/>
  <c r="R36" i="13"/>
  <c r="S36" i="13" s="1"/>
  <c r="R34" i="12"/>
  <c r="S34" i="12" s="1"/>
  <c r="S34" i="11"/>
  <c r="R34" i="13"/>
  <c r="S34" i="13" s="1"/>
  <c r="R31" i="12"/>
  <c r="S31" i="12" s="1"/>
  <c r="S31" i="11"/>
  <c r="R31" i="13"/>
  <c r="S31" i="13" s="1"/>
  <c r="R10" i="12"/>
  <c r="S10" i="12" s="1"/>
  <c r="S10" i="11"/>
  <c r="R10" i="13"/>
  <c r="S10" i="13" s="1"/>
  <c r="R20" i="12"/>
  <c r="S20" i="12" s="1"/>
  <c r="S20" i="11"/>
  <c r="R20" i="13"/>
  <c r="S20" i="13" s="1"/>
  <c r="R9" i="13"/>
  <c r="S9" i="13" s="1"/>
  <c r="R9" i="12"/>
  <c r="S9" i="12" s="1"/>
  <c r="S9" i="11"/>
  <c r="AH49" i="8"/>
  <c r="AD49" i="28" s="1"/>
  <c r="AD101" i="28" s="1"/>
  <c r="O9" i="8"/>
  <c r="O9" i="28" s="1"/>
  <c r="O61" i="28" s="1"/>
  <c r="X39" i="8"/>
  <c r="W39" i="28" s="1"/>
  <c r="W91" i="28" s="1"/>
  <c r="X44" i="8"/>
  <c r="W44" i="28" s="1"/>
  <c r="W96" i="28" s="1"/>
  <c r="X22" i="8"/>
  <c r="W22" i="28" s="1"/>
  <c r="W74" i="28" s="1"/>
  <c r="X16" i="8"/>
  <c r="W16" i="28" s="1"/>
  <c r="W68" i="28" s="1"/>
  <c r="U46" i="8"/>
  <c r="T46" i="28" s="1"/>
  <c r="T98" i="28" s="1"/>
  <c r="U43" i="8"/>
  <c r="T43" i="28" s="1"/>
  <c r="T95" i="28" s="1"/>
  <c r="U30" i="8"/>
  <c r="T30" i="28" s="1"/>
  <c r="T82" i="28" s="1"/>
  <c r="U17" i="8"/>
  <c r="T17" i="28" s="1"/>
  <c r="T69" i="28" s="1"/>
  <c r="U16" i="8"/>
  <c r="T16" i="28" s="1"/>
  <c r="T68" i="28" s="1"/>
  <c r="U12" i="8"/>
  <c r="T12" i="28" s="1"/>
  <c r="T64" i="28" s="1"/>
  <c r="U13" i="8"/>
  <c r="T13" i="28" s="1"/>
  <c r="T65" i="28" s="1"/>
  <c r="U14" i="8"/>
  <c r="T14" i="28" s="1"/>
  <c r="T66" i="28" s="1"/>
  <c r="U29" i="8"/>
  <c r="T29" i="28" s="1"/>
  <c r="T81" i="28" s="1"/>
  <c r="U19" i="8"/>
  <c r="T19" i="28" s="1"/>
  <c r="T71" i="28" s="1"/>
  <c r="U45" i="8"/>
  <c r="T45" i="28" s="1"/>
  <c r="T97" i="28" s="1"/>
  <c r="U18" i="8"/>
  <c r="T18" i="28" s="1"/>
  <c r="T70" i="28" s="1"/>
  <c r="U40" i="8"/>
  <c r="T40" i="28" s="1"/>
  <c r="T92" i="28" s="1"/>
  <c r="U48" i="8"/>
  <c r="T48" i="28" s="1"/>
  <c r="T100" i="28" s="1"/>
  <c r="U15" i="8"/>
  <c r="T15" i="28" s="1"/>
  <c r="T67" i="28" s="1"/>
  <c r="U6" i="8"/>
  <c r="T6" i="28" s="1"/>
  <c r="T58" i="28" s="1"/>
  <c r="U28" i="8"/>
  <c r="T28" i="28" s="1"/>
  <c r="T80" i="28" s="1"/>
  <c r="U37" i="8"/>
  <c r="T37" i="28" s="1"/>
  <c r="T89" i="28" s="1"/>
  <c r="U22" i="8"/>
  <c r="T22" i="28" s="1"/>
  <c r="T74" i="28" s="1"/>
  <c r="U35" i="8"/>
  <c r="T35" i="28" s="1"/>
  <c r="T87" i="28" s="1"/>
  <c r="U51" i="8"/>
  <c r="T51" i="28" s="1"/>
  <c r="T103" i="28" s="1"/>
  <c r="U31" i="8"/>
  <c r="T31" i="28" s="1"/>
  <c r="T83" i="28" s="1"/>
  <c r="U9" i="8"/>
  <c r="T9" i="28" s="1"/>
  <c r="T61" i="28" s="1"/>
  <c r="U24" i="8"/>
  <c r="T24" i="28" s="1"/>
  <c r="T76" i="28" s="1"/>
  <c r="U32" i="8"/>
  <c r="T32" i="28" s="1"/>
  <c r="T84" i="28" s="1"/>
  <c r="U38" i="8"/>
  <c r="T38" i="28" s="1"/>
  <c r="T90" i="28" s="1"/>
  <c r="AH48" i="8"/>
  <c r="AD48" i="28" s="1"/>
  <c r="AD100" i="28" s="1"/>
  <c r="O53" i="9"/>
  <c r="AH20" i="8"/>
  <c r="AD20" i="28" s="1"/>
  <c r="AD72" i="28" s="1"/>
  <c r="AH53" i="9"/>
  <c r="R13" i="12"/>
  <c r="S13" i="12" s="1"/>
  <c r="S13" i="11"/>
  <c r="R13" i="13"/>
  <c r="S13" i="13" s="1"/>
  <c r="R27" i="12"/>
  <c r="S27" i="12" s="1"/>
  <c r="S27" i="11"/>
  <c r="R27" i="13"/>
  <c r="S27" i="13" s="1"/>
  <c r="R17" i="12"/>
  <c r="S17" i="12" s="1"/>
  <c r="S17" i="11"/>
  <c r="R17" i="13"/>
  <c r="S17" i="13" s="1"/>
  <c r="R23" i="12"/>
  <c r="S23" i="12" s="1"/>
  <c r="S23" i="11"/>
  <c r="R23" i="13"/>
  <c r="S23" i="13" s="1"/>
  <c r="R15" i="12"/>
  <c r="S15" i="12" s="1"/>
  <c r="S15" i="11"/>
  <c r="R15" i="13"/>
  <c r="S15" i="13" s="1"/>
  <c r="R22" i="12"/>
  <c r="S22" i="12" s="1"/>
  <c r="S22" i="11"/>
  <c r="R22" i="13"/>
  <c r="S22" i="13" s="1"/>
  <c r="R14" i="12"/>
  <c r="S14" i="12" s="1"/>
  <c r="S14" i="11"/>
  <c r="R14" i="13"/>
  <c r="S14" i="13" s="1"/>
  <c r="R12" i="13"/>
  <c r="S12" i="13" s="1"/>
  <c r="R12" i="12"/>
  <c r="S12" i="12" s="1"/>
  <c r="S12" i="11"/>
  <c r="R25" i="12"/>
  <c r="S25" i="12" s="1"/>
  <c r="S25" i="11"/>
  <c r="R25" i="13"/>
  <c r="S25" i="13" s="1"/>
  <c r="R11" i="12"/>
  <c r="S11" i="12" s="1"/>
  <c r="S11" i="11"/>
  <c r="R11" i="13"/>
  <c r="S11" i="13" s="1"/>
  <c r="O50" i="8"/>
  <c r="O50" i="28" s="1"/>
  <c r="O102" i="28" s="1"/>
  <c r="O36" i="8"/>
  <c r="O36" i="28" s="1"/>
  <c r="O88" i="28" s="1"/>
  <c r="O33" i="8"/>
  <c r="O33" i="28" s="1"/>
  <c r="O85" i="28" s="1"/>
  <c r="O17" i="8"/>
  <c r="O17" i="28" s="1"/>
  <c r="O69" i="28" s="1"/>
  <c r="O48" i="8"/>
  <c r="O48" i="28" s="1"/>
  <c r="O100" i="28" s="1"/>
  <c r="O44" i="8"/>
  <c r="O44" i="28" s="1"/>
  <c r="O96" i="28" s="1"/>
  <c r="O42" i="8"/>
  <c r="O42" i="28" s="1"/>
  <c r="O94" i="28" s="1"/>
  <c r="O28" i="8"/>
  <c r="O28" i="28" s="1"/>
  <c r="O80" i="28" s="1"/>
  <c r="O15" i="8"/>
  <c r="O15" i="28" s="1"/>
  <c r="O67" i="28" s="1"/>
  <c r="O24" i="8"/>
  <c r="O24" i="28" s="1"/>
  <c r="O76" i="28" s="1"/>
  <c r="O10" i="8"/>
  <c r="O10" i="28" s="1"/>
  <c r="O62" i="28" s="1"/>
  <c r="O37" i="8"/>
  <c r="O37" i="28" s="1"/>
  <c r="O89" i="28" s="1"/>
  <c r="O6" i="8"/>
  <c r="O6" i="28" s="1"/>
  <c r="O58" i="28" s="1"/>
  <c r="O51" i="8"/>
  <c r="O51" i="28" s="1"/>
  <c r="O103" i="28" s="1"/>
  <c r="O13" i="8"/>
  <c r="O13" i="28" s="1"/>
  <c r="O65" i="28" s="1"/>
  <c r="O35" i="8"/>
  <c r="O35" i="28" s="1"/>
  <c r="O87" i="28" s="1"/>
  <c r="O27" i="8"/>
  <c r="O27" i="28" s="1"/>
  <c r="O79" i="28" s="1"/>
  <c r="O21" i="8"/>
  <c r="O21" i="28" s="1"/>
  <c r="O73" i="28" s="1"/>
  <c r="O16" i="8"/>
  <c r="O16" i="28" s="1"/>
  <c r="O68" i="28" s="1"/>
  <c r="O19" i="8"/>
  <c r="O19" i="28" s="1"/>
  <c r="O71" i="28" s="1"/>
  <c r="O41" i="8"/>
  <c r="O41" i="28" s="1"/>
  <c r="O93" i="28" s="1"/>
  <c r="O34" i="8"/>
  <c r="O34" i="28" s="1"/>
  <c r="O86" i="28" s="1"/>
  <c r="O14" i="8"/>
  <c r="O14" i="28" s="1"/>
  <c r="O66" i="28" s="1"/>
  <c r="O39" i="8"/>
  <c r="O39" i="28" s="1"/>
  <c r="O91" i="28" s="1"/>
  <c r="O22" i="8"/>
  <c r="O22" i="28" s="1"/>
  <c r="O74" i="28" s="1"/>
  <c r="O30" i="8"/>
  <c r="O30" i="28" s="1"/>
  <c r="O82" i="28" s="1"/>
  <c r="O29" i="8"/>
  <c r="O29" i="28" s="1"/>
  <c r="O81" i="28" s="1"/>
  <c r="X27" i="8"/>
  <c r="U53" i="9"/>
  <c r="U39" i="8"/>
  <c r="T39" i="28" s="1"/>
  <c r="T91" i="28" s="1"/>
  <c r="U21" i="8"/>
  <c r="T21" i="28" s="1"/>
  <c r="T73" i="28" s="1"/>
  <c r="AH15" i="8"/>
  <c r="AD15" i="28" s="1"/>
  <c r="AD67" i="28" s="1"/>
  <c r="O26" i="8"/>
  <c r="O26" i="28" s="1"/>
  <c r="O78" i="28" s="1"/>
  <c r="AA38" i="11"/>
  <c r="Z38" i="12"/>
  <c r="AA38" i="12" s="1"/>
  <c r="Z38" i="13"/>
  <c r="AA38" i="13" s="1"/>
  <c r="Z12" i="13"/>
  <c r="AA12" i="13" s="1"/>
  <c r="Z12" i="12"/>
  <c r="AA12" i="12" s="1"/>
  <c r="AA12" i="11"/>
  <c r="AA29" i="11"/>
  <c r="Z29" i="12"/>
  <c r="AA29" i="12" s="1"/>
  <c r="Z29" i="13"/>
  <c r="AA29" i="13" s="1"/>
  <c r="AA30" i="11"/>
  <c r="Z30" i="12"/>
  <c r="AA30" i="12" s="1"/>
  <c r="Z30" i="13"/>
  <c r="AA30" i="13" s="1"/>
  <c r="AA24" i="11"/>
  <c r="Z24" i="12"/>
  <c r="AA24" i="12" s="1"/>
  <c r="Z24" i="13"/>
  <c r="AA24" i="13" s="1"/>
  <c r="AA42" i="11"/>
  <c r="Z42" i="12"/>
  <c r="AA42" i="12" s="1"/>
  <c r="Z42" i="13"/>
  <c r="AA42" i="13" s="1"/>
  <c r="AA20" i="11"/>
  <c r="Z20" i="12"/>
  <c r="AA20" i="12" s="1"/>
  <c r="Z20" i="13"/>
  <c r="AA20" i="13" s="1"/>
  <c r="Z5" i="12"/>
  <c r="AA5" i="11"/>
  <c r="Z5" i="13"/>
  <c r="Z6" i="12"/>
  <c r="AA6" i="12" s="1"/>
  <c r="AA6" i="11"/>
  <c r="Z6" i="13"/>
  <c r="AA6" i="13" s="1"/>
  <c r="AA27" i="11"/>
  <c r="Z27" i="12"/>
  <c r="AA27" i="12" s="1"/>
  <c r="Z27" i="13"/>
  <c r="AA27" i="13" s="1"/>
  <c r="AA36" i="11"/>
  <c r="Z36" i="12"/>
  <c r="AA36" i="12" s="1"/>
  <c r="Z36" i="13"/>
  <c r="AA36" i="13" s="1"/>
  <c r="AA39" i="11"/>
  <c r="Z39" i="12"/>
  <c r="AA39" i="12" s="1"/>
  <c r="Z39" i="13"/>
  <c r="AA39" i="13" s="1"/>
  <c r="Z13" i="13"/>
  <c r="AA13" i="13" s="1"/>
  <c r="AA35" i="11"/>
  <c r="Z35" i="12"/>
  <c r="AA35" i="12" s="1"/>
  <c r="Z35" i="13"/>
  <c r="AA35" i="13" s="1"/>
  <c r="AA26" i="11"/>
  <c r="Z26" i="12"/>
  <c r="AA26" i="12" s="1"/>
  <c r="Z26" i="13"/>
  <c r="AA26" i="13" s="1"/>
  <c r="AA31" i="11"/>
  <c r="Z31" i="12"/>
  <c r="AA31" i="12" s="1"/>
  <c r="Z31" i="13"/>
  <c r="AA31" i="13" s="1"/>
  <c r="Z7" i="13"/>
  <c r="AA7" i="13" s="1"/>
  <c r="Z8" i="12"/>
  <c r="AA8" i="12" s="1"/>
  <c r="AA8" i="11"/>
  <c r="Z8" i="13"/>
  <c r="AA8" i="13" s="1"/>
  <c r="Z22" i="12"/>
  <c r="AA22" i="12" s="1"/>
  <c r="AA22" i="11"/>
  <c r="Z22" i="13"/>
  <c r="AA22" i="13" s="1"/>
  <c r="AA40" i="11"/>
  <c r="Z40" i="12"/>
  <c r="AA40" i="12" s="1"/>
  <c r="Z40" i="13"/>
  <c r="AA40" i="13" s="1"/>
  <c r="Z34" i="13"/>
  <c r="AA34" i="13" s="1"/>
  <c r="Z23" i="12"/>
  <c r="AA23" i="12" s="1"/>
  <c r="AA23" i="11"/>
  <c r="Z23" i="13"/>
  <c r="AA23" i="13" s="1"/>
  <c r="AA41" i="11"/>
  <c r="Z41" i="12"/>
  <c r="AA41" i="12" s="1"/>
  <c r="Z41" i="13"/>
  <c r="AA41" i="13" s="1"/>
  <c r="Z19" i="12"/>
  <c r="AA19" i="12" s="1"/>
  <c r="AA19" i="11"/>
  <c r="Z37" i="13"/>
  <c r="AA37" i="13" s="1"/>
  <c r="Z14" i="12"/>
  <c r="AA14" i="12" s="1"/>
  <c r="AA14" i="11"/>
  <c r="Z14" i="13"/>
  <c r="AA14" i="13" s="1"/>
  <c r="Z9" i="13"/>
  <c r="AA9" i="13" s="1"/>
  <c r="Z9" i="12"/>
  <c r="AA9" i="12" s="1"/>
  <c r="AA9" i="11"/>
  <c r="Z10" i="12"/>
  <c r="AA10" i="12" s="1"/>
  <c r="AA10" i="11"/>
  <c r="Z10" i="13"/>
  <c r="AA10" i="13" s="1"/>
  <c r="N56" i="24"/>
  <c r="N58" i="24" s="1"/>
  <c r="D10" i="5"/>
  <c r="T56" i="6" s="1"/>
  <c r="T54" i="24" s="1"/>
  <c r="N55" i="24"/>
  <c r="L47" i="25"/>
  <c r="L49" i="25" s="1"/>
  <c r="L46" i="25"/>
  <c r="U10" i="8" l="1"/>
  <c r="T10" i="28" s="1"/>
  <c r="T62" i="28" s="1"/>
  <c r="P9" i="30"/>
  <c r="U36" i="8"/>
  <c r="T36" i="28" s="1"/>
  <c r="T88" i="28" s="1"/>
  <c r="R53" i="7"/>
  <c r="R8" i="9"/>
  <c r="R53" i="9" s="1"/>
  <c r="U27" i="8"/>
  <c r="T27" i="28" s="1"/>
  <c r="T79" i="28" s="1"/>
  <c r="U25" i="8"/>
  <c r="T25" i="28" s="1"/>
  <c r="T77" i="28" s="1"/>
  <c r="M28" i="7"/>
  <c r="M28" i="9" s="1"/>
  <c r="O31" i="24"/>
  <c r="O8" i="8"/>
  <c r="O8" i="28" s="1"/>
  <c r="O60" i="28" s="1"/>
  <c r="O38" i="8"/>
  <c r="O38" i="28" s="1"/>
  <c r="O90" i="28" s="1"/>
  <c r="O20" i="8"/>
  <c r="O20" i="28" s="1"/>
  <c r="O72" i="28" s="1"/>
  <c r="O46" i="8"/>
  <c r="O46" i="28" s="1"/>
  <c r="O98" i="28" s="1"/>
  <c r="O43" i="8"/>
  <c r="O43" i="28" s="1"/>
  <c r="O95" i="28" s="1"/>
  <c r="M6" i="31"/>
  <c r="W41" i="9"/>
  <c r="W29" i="9"/>
  <c r="W31" i="9"/>
  <c r="W9" i="9"/>
  <c r="Q41" i="9"/>
  <c r="Q18" i="9"/>
  <c r="Q35" i="9"/>
  <c r="Q15" i="9"/>
  <c r="Q43" i="9"/>
  <c r="Q10" i="9"/>
  <c r="L20" i="9"/>
  <c r="L35" i="9"/>
  <c r="L7" i="9"/>
  <c r="L53" i="7"/>
  <c r="L58" i="7" s="1"/>
  <c r="L20" i="8" s="1"/>
  <c r="L20" i="28" s="1"/>
  <c r="L72" i="28" s="1"/>
  <c r="I3" i="33"/>
  <c r="I2" i="33" s="1"/>
  <c r="AD6" i="7"/>
  <c r="AC6" i="9"/>
  <c r="AD6" i="9" s="1"/>
  <c r="AC12" i="9"/>
  <c r="AD12" i="9" s="1"/>
  <c r="AD12" i="7"/>
  <c r="AD37" i="7"/>
  <c r="AC37" i="9"/>
  <c r="AD37" i="9" s="1"/>
  <c r="AD42" i="7"/>
  <c r="AC42" i="9"/>
  <c r="AD42" i="9" s="1"/>
  <c r="AI53" i="7"/>
  <c r="AI58" i="7" s="1"/>
  <c r="AI21" i="24" s="1"/>
  <c r="AI5" i="9"/>
  <c r="AI35" i="9"/>
  <c r="AI32" i="9"/>
  <c r="AI21" i="9"/>
  <c r="AI21" i="8"/>
  <c r="AI24" i="9"/>
  <c r="AI29" i="9"/>
  <c r="Z34" i="12"/>
  <c r="AA34" i="12" s="1"/>
  <c r="AA7" i="11"/>
  <c r="AA13" i="11"/>
  <c r="Z44" i="11"/>
  <c r="W27" i="9"/>
  <c r="W6" i="9"/>
  <c r="W43" i="9"/>
  <c r="W23" i="9"/>
  <c r="W53" i="7"/>
  <c r="W58" i="7" s="1"/>
  <c r="W41" i="24" s="1"/>
  <c r="W5" i="9"/>
  <c r="Q26" i="9"/>
  <c r="Q20" i="9"/>
  <c r="Q8" i="9"/>
  <c r="Q36" i="9"/>
  <c r="AD23" i="7"/>
  <c r="AC23" i="9"/>
  <c r="AD23" i="9" s="1"/>
  <c r="AC29" i="9"/>
  <c r="AD29" i="9" s="1"/>
  <c r="AD29" i="7"/>
  <c r="AC18" i="9"/>
  <c r="AD18" i="9" s="1"/>
  <c r="AD18" i="7"/>
  <c r="AD16" i="7"/>
  <c r="AC16" i="9"/>
  <c r="AD16" i="9" s="1"/>
  <c r="AI50" i="9"/>
  <c r="AI50" i="8"/>
  <c r="P32" i="9"/>
  <c r="Z37" i="12"/>
  <c r="AA37" i="12" s="1"/>
  <c r="AA37" i="11"/>
  <c r="AA34" i="11"/>
  <c r="AA44" i="11" s="1"/>
  <c r="Z7" i="12"/>
  <c r="AA7" i="12" s="1"/>
  <c r="Z13" i="12"/>
  <c r="AA13" i="12" s="1"/>
  <c r="X8" i="30"/>
  <c r="W26" i="9"/>
  <c r="W28" i="9"/>
  <c r="Q42" i="9"/>
  <c r="AD38" i="7"/>
  <c r="AC38" i="9"/>
  <c r="AD38" i="9" s="1"/>
  <c r="AC50" i="9"/>
  <c r="AD50" i="9" s="1"/>
  <c r="AD50" i="7"/>
  <c r="AD15" i="7"/>
  <c r="AC15" i="9"/>
  <c r="AD15" i="9" s="1"/>
  <c r="AD34" i="7"/>
  <c r="AC34" i="9"/>
  <c r="AD34" i="9" s="1"/>
  <c r="AI46" i="9"/>
  <c r="AI12" i="9"/>
  <c r="AI12" i="8"/>
  <c r="AI12" i="24"/>
  <c r="AI8" i="9"/>
  <c r="AI8" i="8"/>
  <c r="AI48" i="9"/>
  <c r="AI48" i="24"/>
  <c r="P28" i="9"/>
  <c r="P35" i="9"/>
  <c r="P24" i="9"/>
  <c r="P43" i="9"/>
  <c r="P9" i="9"/>
  <c r="P25" i="9"/>
  <c r="P49" i="9"/>
  <c r="P40" i="9"/>
  <c r="P51" i="9"/>
  <c r="P22" i="9"/>
  <c r="P47" i="9"/>
  <c r="V50" i="7"/>
  <c r="V42" i="7"/>
  <c r="V34" i="7"/>
  <c r="V47" i="7"/>
  <c r="V39" i="7"/>
  <c r="V31" i="7"/>
  <c r="V13" i="7"/>
  <c r="V15" i="7"/>
  <c r="V26" i="7"/>
  <c r="V11" i="7"/>
  <c r="V24" i="7"/>
  <c r="V9" i="7"/>
  <c r="V51" i="7"/>
  <c r="V35" i="7"/>
  <c r="V5" i="7"/>
  <c r="V19" i="7"/>
  <c r="V17" i="7"/>
  <c r="V10" i="7"/>
  <c r="V36" i="7"/>
  <c r="V41" i="7"/>
  <c r="V20" i="7"/>
  <c r="V18" i="7"/>
  <c r="V48" i="7"/>
  <c r="V40" i="7"/>
  <c r="V32" i="7"/>
  <c r="V45" i="7"/>
  <c r="V37" i="7"/>
  <c r="V25" i="7"/>
  <c r="V8" i="7"/>
  <c r="V7" i="7"/>
  <c r="V21" i="7"/>
  <c r="V6" i="7"/>
  <c r="V22" i="7"/>
  <c r="V29" i="7"/>
  <c r="V44" i="7"/>
  <c r="V33" i="7"/>
  <c r="V28" i="7"/>
  <c r="V12" i="7"/>
  <c r="V46" i="7"/>
  <c r="V38" i="7"/>
  <c r="V43" i="7"/>
  <c r="V23" i="7"/>
  <c r="V30" i="7"/>
  <c r="V27" i="7"/>
  <c r="V49" i="7"/>
  <c r="V16" i="7"/>
  <c r="V14" i="7"/>
  <c r="W26" i="24"/>
  <c r="X6" i="30"/>
  <c r="Q53" i="7"/>
  <c r="Q58" i="7" s="1"/>
  <c r="Q30" i="24" s="1"/>
  <c r="Q5" i="9"/>
  <c r="Q34" i="9"/>
  <c r="Q22" i="9"/>
  <c r="Q12" i="9"/>
  <c r="Q11" i="9"/>
  <c r="Q13" i="9"/>
  <c r="L49" i="8"/>
  <c r="L49" i="28" s="1"/>
  <c r="L101" i="28" s="1"/>
  <c r="L49" i="9"/>
  <c r="L26" i="8"/>
  <c r="L26" i="9"/>
  <c r="L8" i="9"/>
  <c r="L8" i="8"/>
  <c r="X10" i="30"/>
  <c r="U8" i="11"/>
  <c r="U7" i="11"/>
  <c r="U35" i="11"/>
  <c r="U18" i="11"/>
  <c r="U39" i="11"/>
  <c r="U36" i="11"/>
  <c r="U33" i="11"/>
  <c r="U31" i="11"/>
  <c r="U20" i="11"/>
  <c r="U16" i="11"/>
  <c r="U25" i="11"/>
  <c r="U22" i="11"/>
  <c r="U14" i="11"/>
  <c r="U19" i="11"/>
  <c r="U38" i="11"/>
  <c r="U40" i="11"/>
  <c r="U37" i="11"/>
  <c r="U6" i="11"/>
  <c r="U5" i="11"/>
  <c r="U24" i="11"/>
  <c r="U34" i="11"/>
  <c r="U29" i="11"/>
  <c r="U27" i="11"/>
  <c r="U26" i="11"/>
  <c r="U30" i="11"/>
  <c r="U17" i="11"/>
  <c r="U11" i="11"/>
  <c r="U32" i="11"/>
  <c r="U42" i="11"/>
  <c r="U28" i="11"/>
  <c r="U10" i="11"/>
  <c r="U41" i="11"/>
  <c r="U12" i="11"/>
  <c r="U21" i="11"/>
  <c r="U15" i="11"/>
  <c r="U9" i="11"/>
  <c r="U23" i="11"/>
  <c r="U13" i="11"/>
  <c r="AD47" i="7"/>
  <c r="AC47" i="9"/>
  <c r="AD47" i="9" s="1"/>
  <c r="AC27" i="9"/>
  <c r="AD27" i="9" s="1"/>
  <c r="AD27" i="7"/>
  <c r="AC5" i="9"/>
  <c r="AD5" i="7"/>
  <c r="AC53" i="7"/>
  <c r="AC58" i="7" s="1"/>
  <c r="AC15" i="8" s="1"/>
  <c r="AD15" i="8" s="1"/>
  <c r="AC36" i="9"/>
  <c r="AD36" i="9" s="1"/>
  <c r="AD36" i="7"/>
  <c r="AC11" i="9"/>
  <c r="AD11" i="9" s="1"/>
  <c r="AD11" i="7"/>
  <c r="AC46" i="9"/>
  <c r="AD46" i="9" s="1"/>
  <c r="AD46" i="7"/>
  <c r="AC21" i="9"/>
  <c r="AD21" i="9" s="1"/>
  <c r="AD21" i="7"/>
  <c r="AD19" i="7"/>
  <c r="AC19" i="9"/>
  <c r="AD19" i="9" s="1"/>
  <c r="AD14" i="7"/>
  <c r="AC14" i="9"/>
  <c r="AD14" i="9" s="1"/>
  <c r="AD43" i="7"/>
  <c r="AC43" i="9"/>
  <c r="AD43" i="9" s="1"/>
  <c r="AD7" i="7"/>
  <c r="AC7" i="9"/>
  <c r="AD7" i="9" s="1"/>
  <c r="AD31" i="7"/>
  <c r="AC31" i="9"/>
  <c r="AD31" i="9" s="1"/>
  <c r="W22" i="9"/>
  <c r="W22" i="8"/>
  <c r="Q17" i="9"/>
  <c r="Q6" i="9"/>
  <c r="Q40" i="9"/>
  <c r="Q24" i="9"/>
  <c r="L22" i="9"/>
  <c r="L22" i="8"/>
  <c r="Z53" i="24"/>
  <c r="M10" i="31"/>
  <c r="AC41" i="9"/>
  <c r="AD41" i="9" s="1"/>
  <c r="AD41" i="7"/>
  <c r="AD45" i="7"/>
  <c r="AC45" i="9"/>
  <c r="AD45" i="9" s="1"/>
  <c r="AD25" i="7"/>
  <c r="AC25" i="9"/>
  <c r="AD25" i="9" s="1"/>
  <c r="AC35" i="9"/>
  <c r="AD35" i="9" s="1"/>
  <c r="AD35" i="7"/>
  <c r="AD8" i="7"/>
  <c r="AC8" i="9"/>
  <c r="AD8" i="9" s="1"/>
  <c r="AD44" i="7"/>
  <c r="AC44" i="9"/>
  <c r="AD44" i="9" s="1"/>
  <c r="AD13" i="7"/>
  <c r="AC13" i="9"/>
  <c r="AD13" i="9" s="1"/>
  <c r="AC32" i="9"/>
  <c r="AD32" i="9" s="1"/>
  <c r="AD32" i="7"/>
  <c r="AD39" i="7"/>
  <c r="AC39" i="9"/>
  <c r="AD39" i="9" s="1"/>
  <c r="AD24" i="7"/>
  <c r="AC24" i="9"/>
  <c r="AD24" i="9" s="1"/>
  <c r="AD20" i="7"/>
  <c r="AC20" i="9"/>
  <c r="AD20" i="9" s="1"/>
  <c r="AD33" i="7"/>
  <c r="AC33" i="9"/>
  <c r="AD33" i="9" s="1"/>
  <c r="M40" i="7"/>
  <c r="M40" i="9" s="1"/>
  <c r="M36" i="7"/>
  <c r="M36" i="9" s="1"/>
  <c r="M20" i="7"/>
  <c r="M20" i="9" s="1"/>
  <c r="M9" i="7"/>
  <c r="M9" i="9" s="1"/>
  <c r="M5" i="7"/>
  <c r="M43" i="7"/>
  <c r="M43" i="9" s="1"/>
  <c r="M48" i="7"/>
  <c r="M48" i="9" s="1"/>
  <c r="M49" i="7"/>
  <c r="M49" i="9" s="1"/>
  <c r="M27" i="7"/>
  <c r="M27" i="9" s="1"/>
  <c r="M33" i="7"/>
  <c r="M33" i="9" s="1"/>
  <c r="M21" i="7"/>
  <c r="M21" i="9" s="1"/>
  <c r="M32" i="7"/>
  <c r="M32" i="9" s="1"/>
  <c r="M24" i="7"/>
  <c r="M24" i="9" s="1"/>
  <c r="M45" i="7"/>
  <c r="M45" i="9" s="1"/>
  <c r="M23" i="7"/>
  <c r="M23" i="9" s="1"/>
  <c r="M13" i="7"/>
  <c r="M13" i="9" s="1"/>
  <c r="M12" i="7"/>
  <c r="M12" i="9" s="1"/>
  <c r="M44" i="7"/>
  <c r="M44" i="9" s="1"/>
  <c r="M19" i="7"/>
  <c r="M19" i="9" s="1"/>
  <c r="M22" i="7"/>
  <c r="M15" i="7"/>
  <c r="M15" i="9" s="1"/>
  <c r="M50" i="7"/>
  <c r="M50" i="9" s="1"/>
  <c r="M37" i="7"/>
  <c r="M37" i="9" s="1"/>
  <c r="M31" i="7"/>
  <c r="M31" i="9" s="1"/>
  <c r="M46" i="7"/>
  <c r="M46" i="9" s="1"/>
  <c r="M47" i="7"/>
  <c r="M47" i="9" s="1"/>
  <c r="M26" i="7"/>
  <c r="M26" i="9" s="1"/>
  <c r="M8" i="7"/>
  <c r="M8" i="9" s="1"/>
  <c r="M10" i="7"/>
  <c r="M10" i="9" s="1"/>
  <c r="M34" i="7"/>
  <c r="M34" i="9" s="1"/>
  <c r="M16" i="7"/>
  <c r="M16" i="9" s="1"/>
  <c r="M17" i="7"/>
  <c r="M17" i="9" s="1"/>
  <c r="M51" i="7"/>
  <c r="M51" i="9" s="1"/>
  <c r="M7" i="7"/>
  <c r="M7" i="9" s="1"/>
  <c r="M11" i="7"/>
  <c r="M11" i="9" s="1"/>
  <c r="M30" i="7"/>
  <c r="M30" i="9" s="1"/>
  <c r="M25" i="7"/>
  <c r="M25" i="9" s="1"/>
  <c r="M14" i="7"/>
  <c r="M14" i="9" s="1"/>
  <c r="M42" i="7"/>
  <c r="M42" i="9" s="1"/>
  <c r="M39" i="7"/>
  <c r="M39" i="9" s="1"/>
  <c r="M6" i="7"/>
  <c r="M6" i="9" s="1"/>
  <c r="M18" i="7"/>
  <c r="M18" i="9" s="1"/>
  <c r="P53" i="7"/>
  <c r="P58" i="7" s="1"/>
  <c r="P32" i="8" s="1"/>
  <c r="P32" i="28" s="1"/>
  <c r="P84" i="28" s="1"/>
  <c r="P5" i="9"/>
  <c r="Y54" i="24"/>
  <c r="Y58" i="24" s="1"/>
  <c r="Y54" i="7"/>
  <c r="Y54" i="8"/>
  <c r="Y58" i="8" s="1"/>
  <c r="Y54" i="9"/>
  <c r="Y60" i="6"/>
  <c r="M38" i="7"/>
  <c r="M38" i="9" s="1"/>
  <c r="W48" i="8"/>
  <c r="V48" i="28" s="1"/>
  <c r="V100" i="28" s="1"/>
  <c r="Q44" i="9"/>
  <c r="Q45" i="9"/>
  <c r="Q28" i="9"/>
  <c r="Q7" i="9"/>
  <c r="Q14" i="9"/>
  <c r="L32" i="9"/>
  <c r="L32" i="8"/>
  <c r="L32" i="28" s="1"/>
  <c r="L84" i="28" s="1"/>
  <c r="L39" i="9"/>
  <c r="L39" i="8"/>
  <c r="L39" i="28" s="1"/>
  <c r="L91" i="28" s="1"/>
  <c r="Y5" i="28"/>
  <c r="Y57" i="28" s="1"/>
  <c r="O7" i="30" s="1"/>
  <c r="Z53" i="8"/>
  <c r="O9" i="30"/>
  <c r="O11" i="30"/>
  <c r="AD26" i="7"/>
  <c r="AC26" i="9"/>
  <c r="AD26" i="9" s="1"/>
  <c r="AD48" i="7"/>
  <c r="AC48" i="9"/>
  <c r="AD48" i="9" s="1"/>
  <c r="AC10" i="9"/>
  <c r="AD10" i="9" s="1"/>
  <c r="AD10" i="7"/>
  <c r="AD51" i="7"/>
  <c r="AC51" i="9"/>
  <c r="AD51" i="9" s="1"/>
  <c r="AC17" i="9"/>
  <c r="AD17" i="9" s="1"/>
  <c r="AD17" i="7"/>
  <c r="AC22" i="9"/>
  <c r="AD22" i="9" s="1"/>
  <c r="AD22" i="7"/>
  <c r="AC30" i="9"/>
  <c r="AD30" i="9" s="1"/>
  <c r="AD30" i="7"/>
  <c r="AD40" i="7"/>
  <c r="AC40" i="9"/>
  <c r="AD40" i="9" s="1"/>
  <c r="AD49" i="7"/>
  <c r="AC49" i="9"/>
  <c r="AD49" i="9" s="1"/>
  <c r="AD28" i="7"/>
  <c r="AC28" i="9"/>
  <c r="AD28" i="9" s="1"/>
  <c r="AC9" i="9"/>
  <c r="AD9" i="9" s="1"/>
  <c r="AD9" i="7"/>
  <c r="M8" i="31"/>
  <c r="V54" i="24"/>
  <c r="V58" i="24" s="1"/>
  <c r="V54" i="8"/>
  <c r="V58" i="8" s="1"/>
  <c r="V54" i="9"/>
  <c r="V54" i="7"/>
  <c r="M41" i="7"/>
  <c r="M41" i="9" s="1"/>
  <c r="M35" i="7"/>
  <c r="M35" i="9" s="1"/>
  <c r="T10" i="11"/>
  <c r="T15" i="11"/>
  <c r="T7" i="11"/>
  <c r="T22" i="11"/>
  <c r="T32" i="11"/>
  <c r="T42" i="11"/>
  <c r="T36" i="11"/>
  <c r="T27" i="11"/>
  <c r="T12" i="11"/>
  <c r="T29" i="11"/>
  <c r="T8" i="11"/>
  <c r="T13" i="11"/>
  <c r="T5" i="11"/>
  <c r="T38" i="11"/>
  <c r="T21" i="11"/>
  <c r="T23" i="11"/>
  <c r="T25" i="11"/>
  <c r="T24" i="11"/>
  <c r="T31" i="11"/>
  <c r="T6" i="11"/>
  <c r="T11" i="11"/>
  <c r="T17" i="11"/>
  <c r="T14" i="11"/>
  <c r="T37" i="11"/>
  <c r="T39" i="11"/>
  <c r="T41" i="11"/>
  <c r="T40" i="11"/>
  <c r="T18" i="11"/>
  <c r="T16" i="11"/>
  <c r="T19" i="11"/>
  <c r="T9" i="11"/>
  <c r="T33" i="11"/>
  <c r="T35" i="11"/>
  <c r="T26" i="11"/>
  <c r="T20" i="11"/>
  <c r="T30" i="11"/>
  <c r="T34" i="11"/>
  <c r="T28" i="11"/>
  <c r="O25" i="11"/>
  <c r="O20" i="11"/>
  <c r="O16" i="11"/>
  <c r="O15" i="11"/>
  <c r="O27" i="11"/>
  <c r="O41" i="11"/>
  <c r="O39" i="11"/>
  <c r="O5" i="11"/>
  <c r="O33" i="11"/>
  <c r="O10" i="11"/>
  <c r="O13" i="11"/>
  <c r="O24" i="11"/>
  <c r="O19" i="11"/>
  <c r="O23" i="11"/>
  <c r="O34" i="11"/>
  <c r="O40" i="11"/>
  <c r="O42" i="11"/>
  <c r="O7" i="11"/>
  <c r="O14" i="11"/>
  <c r="O18" i="11"/>
  <c r="O31" i="11"/>
  <c r="O21" i="11"/>
  <c r="O9" i="11"/>
  <c r="O29" i="11"/>
  <c r="O38" i="11"/>
  <c r="O36" i="11"/>
  <c r="O17" i="11"/>
  <c r="O35" i="11"/>
  <c r="O11" i="11"/>
  <c r="O37" i="11"/>
  <c r="O6" i="11"/>
  <c r="O12" i="11"/>
  <c r="O26" i="11"/>
  <c r="O22" i="11"/>
  <c r="O30" i="11"/>
  <c r="O28" i="11"/>
  <c r="O32" i="11"/>
  <c r="O8" i="11"/>
  <c r="M15" i="11"/>
  <c r="M35" i="11"/>
  <c r="M11" i="11"/>
  <c r="M41" i="11"/>
  <c r="M25" i="11"/>
  <c r="M18" i="11"/>
  <c r="M8" i="11"/>
  <c r="M30" i="11"/>
  <c r="M14" i="11"/>
  <c r="M21" i="11"/>
  <c r="M39" i="11"/>
  <c r="M22" i="11"/>
  <c r="M34" i="11"/>
  <c r="M19" i="11"/>
  <c r="M9" i="11"/>
  <c r="M33" i="11"/>
  <c r="M37" i="11"/>
  <c r="M16" i="11"/>
  <c r="M6" i="11"/>
  <c r="M27" i="11"/>
  <c r="M38" i="11"/>
  <c r="M23" i="11"/>
  <c r="M5" i="11"/>
  <c r="M20" i="11"/>
  <c r="M10" i="11"/>
  <c r="M31" i="11"/>
  <c r="M26" i="11"/>
  <c r="M24" i="11"/>
  <c r="M7" i="11"/>
  <c r="M36" i="11"/>
  <c r="M29" i="11"/>
  <c r="M12" i="11"/>
  <c r="M40" i="11"/>
  <c r="M13" i="11"/>
  <c r="M42" i="11"/>
  <c r="M17" i="11"/>
  <c r="M28" i="11"/>
  <c r="M32" i="11"/>
  <c r="N7" i="11"/>
  <c r="N8" i="11"/>
  <c r="N25" i="11"/>
  <c r="N15" i="11"/>
  <c r="N29" i="11"/>
  <c r="N40" i="11"/>
  <c r="N18" i="11"/>
  <c r="N26" i="11"/>
  <c r="N30" i="11"/>
  <c r="N5" i="11"/>
  <c r="N6" i="11"/>
  <c r="N41" i="11"/>
  <c r="N36" i="11"/>
  <c r="N13" i="11"/>
  <c r="N38" i="11"/>
  <c r="N14" i="11"/>
  <c r="N42" i="11"/>
  <c r="N37" i="11"/>
  <c r="N11" i="11"/>
  <c r="N16" i="11"/>
  <c r="N24" i="11"/>
  <c r="N23" i="11"/>
  <c r="N34" i="11"/>
  <c r="N27" i="11"/>
  <c r="N17" i="11"/>
  <c r="N31" i="11"/>
  <c r="N19" i="11"/>
  <c r="N35" i="11"/>
  <c r="N9" i="11"/>
  <c r="N10" i="11"/>
  <c r="N22" i="11"/>
  <c r="N39" i="11"/>
  <c r="N12" i="11"/>
  <c r="N20" i="11"/>
  <c r="N33" i="11"/>
  <c r="N28" i="11"/>
  <c r="N32" i="11"/>
  <c r="N21" i="11"/>
  <c r="P25" i="11"/>
  <c r="P16" i="11"/>
  <c r="P11" i="11"/>
  <c r="P23" i="11"/>
  <c r="P42" i="11"/>
  <c r="P36" i="11"/>
  <c r="P30" i="11"/>
  <c r="P40" i="11"/>
  <c r="P34" i="11"/>
  <c r="P22" i="11"/>
  <c r="P6" i="11"/>
  <c r="P35" i="11"/>
  <c r="P18" i="11"/>
  <c r="P10" i="11"/>
  <c r="P9" i="11"/>
  <c r="P12" i="11"/>
  <c r="P14" i="11"/>
  <c r="P17" i="11"/>
  <c r="P19" i="11"/>
  <c r="P21" i="11"/>
  <c r="P24" i="11"/>
  <c r="P5" i="11"/>
  <c r="P13" i="11"/>
  <c r="P28" i="11"/>
  <c r="P31" i="11"/>
  <c r="P41" i="11"/>
  <c r="P8" i="11"/>
  <c r="P7" i="11"/>
  <c r="P29" i="11"/>
  <c r="P15" i="11"/>
  <c r="P33" i="11"/>
  <c r="P20" i="11"/>
  <c r="P37" i="11"/>
  <c r="P27" i="11"/>
  <c r="P32" i="11"/>
  <c r="P26" i="11"/>
  <c r="P39" i="11"/>
  <c r="P38" i="11"/>
  <c r="V11" i="11"/>
  <c r="V36" i="11"/>
  <c r="V16" i="11"/>
  <c r="V6" i="11"/>
  <c r="V41" i="11"/>
  <c r="V35" i="11"/>
  <c r="V34" i="11"/>
  <c r="V22" i="11"/>
  <c r="V42" i="11"/>
  <c r="V37" i="11"/>
  <c r="V9" i="11"/>
  <c r="V28" i="11"/>
  <c r="V14" i="11"/>
  <c r="V40" i="11"/>
  <c r="V21" i="11"/>
  <c r="V25" i="11"/>
  <c r="V39" i="11"/>
  <c r="V23" i="11"/>
  <c r="V17" i="11"/>
  <c r="V26" i="11"/>
  <c r="V7" i="11"/>
  <c r="V20" i="11"/>
  <c r="V10" i="11"/>
  <c r="V32" i="11"/>
  <c r="V24" i="11"/>
  <c r="V13" i="11"/>
  <c r="V12" i="11"/>
  <c r="V38" i="11"/>
  <c r="V15" i="11"/>
  <c r="V5" i="11"/>
  <c r="V18" i="11"/>
  <c r="V8" i="11"/>
  <c r="V33" i="11"/>
  <c r="V30" i="11"/>
  <c r="V19" i="11"/>
  <c r="V29" i="11"/>
  <c r="V27" i="11"/>
  <c r="V31" i="11"/>
  <c r="L48" i="25"/>
  <c r="Q5" i="29"/>
  <c r="Q48" i="29" s="1"/>
  <c r="V5" i="29"/>
  <c r="V48" i="29" s="1"/>
  <c r="V6" i="29"/>
  <c r="V49" i="29" s="1"/>
  <c r="V20" i="29"/>
  <c r="V63" i="29" s="1"/>
  <c r="V24" i="29"/>
  <c r="V67" i="29" s="1"/>
  <c r="V29" i="29"/>
  <c r="V72" i="29" s="1"/>
  <c r="V38" i="29"/>
  <c r="V81" i="29" s="1"/>
  <c r="Q9" i="29"/>
  <c r="Q52" i="29" s="1"/>
  <c r="Q10" i="29"/>
  <c r="Q53" i="29" s="1"/>
  <c r="Q34" i="29"/>
  <c r="Q77" i="29" s="1"/>
  <c r="Q39" i="29"/>
  <c r="Q82" i="29" s="1"/>
  <c r="Q41" i="29"/>
  <c r="Q84" i="29" s="1"/>
  <c r="AH53" i="24"/>
  <c r="Q18" i="29"/>
  <c r="Q61" i="29" s="1"/>
  <c r="Q32" i="29"/>
  <c r="Q75" i="29" s="1"/>
  <c r="Q33" i="29"/>
  <c r="Q76" i="29" s="1"/>
  <c r="Q26" i="29"/>
  <c r="Q69" i="29" s="1"/>
  <c r="X53" i="24"/>
  <c r="S5" i="25"/>
  <c r="S44" i="25" s="1"/>
  <c r="R44" i="25"/>
  <c r="V8" i="29"/>
  <c r="V51" i="29" s="1"/>
  <c r="V31" i="29"/>
  <c r="V74" i="29" s="1"/>
  <c r="V35" i="29"/>
  <c r="V78" i="29" s="1"/>
  <c r="V39" i="29"/>
  <c r="V82" i="29" s="1"/>
  <c r="V27" i="29"/>
  <c r="V70" i="29" s="1"/>
  <c r="AA5" i="25"/>
  <c r="AA44" i="25" s="1"/>
  <c r="Z44" i="25"/>
  <c r="V11" i="29"/>
  <c r="V54" i="29" s="1"/>
  <c r="V17" i="29"/>
  <c r="V60" i="29" s="1"/>
  <c r="V25" i="29"/>
  <c r="V68" i="29" s="1"/>
  <c r="V18" i="29"/>
  <c r="V61" i="29" s="1"/>
  <c r="V15" i="29"/>
  <c r="V58" i="29" s="1"/>
  <c r="V10" i="29"/>
  <c r="V53" i="29" s="1"/>
  <c r="V14" i="29"/>
  <c r="V57" i="29" s="1"/>
  <c r="V19" i="29"/>
  <c r="V62" i="29" s="1"/>
  <c r="V23" i="29"/>
  <c r="V66" i="29" s="1"/>
  <c r="V40" i="29"/>
  <c r="V83" i="29" s="1"/>
  <c r="Q6" i="29"/>
  <c r="Q49" i="29" s="1"/>
  <c r="Q35" i="29"/>
  <c r="Q78" i="29" s="1"/>
  <c r="Q42" i="29"/>
  <c r="Q85" i="29" s="1"/>
  <c r="Q25" i="29"/>
  <c r="Q68" i="29" s="1"/>
  <c r="Q14" i="29"/>
  <c r="Q57" i="29" s="1"/>
  <c r="Q15" i="29"/>
  <c r="Q58" i="29" s="1"/>
  <c r="Q17" i="29"/>
  <c r="Q60" i="29" s="1"/>
  <c r="Q13" i="29"/>
  <c r="Q56" i="29" s="1"/>
  <c r="X53" i="8"/>
  <c r="W27" i="28"/>
  <c r="W79" i="28" s="1"/>
  <c r="X49" i="25"/>
  <c r="J9" i="30"/>
  <c r="J11" i="30"/>
  <c r="J7" i="30"/>
  <c r="V42" i="29"/>
  <c r="V85" i="29" s="1"/>
  <c r="V30" i="29"/>
  <c r="V73" i="29" s="1"/>
  <c r="V12" i="29"/>
  <c r="V55" i="29" s="1"/>
  <c r="Q20" i="29"/>
  <c r="Q63" i="29" s="1"/>
  <c r="Q31" i="29"/>
  <c r="Q74" i="29" s="1"/>
  <c r="Q36" i="29"/>
  <c r="Q79" i="29" s="1"/>
  <c r="Q37" i="29"/>
  <c r="Q80" i="29" s="1"/>
  <c r="Q30" i="29"/>
  <c r="Q73" i="29" s="1"/>
  <c r="Q7" i="29"/>
  <c r="Q50" i="29" s="1"/>
  <c r="Q8" i="29"/>
  <c r="Q51" i="29" s="1"/>
  <c r="Q19" i="29"/>
  <c r="Q62" i="29" s="1"/>
  <c r="Q24" i="29"/>
  <c r="Q67" i="29" s="1"/>
  <c r="Q21" i="29"/>
  <c r="Q64" i="29" s="1"/>
  <c r="O53" i="24"/>
  <c r="V7" i="29"/>
  <c r="V50" i="29" s="1"/>
  <c r="V26" i="29"/>
  <c r="V69" i="29" s="1"/>
  <c r="V13" i="29"/>
  <c r="V56" i="29" s="1"/>
  <c r="V36" i="29"/>
  <c r="V79" i="29" s="1"/>
  <c r="E9" i="30"/>
  <c r="E11" i="30"/>
  <c r="E7" i="30"/>
  <c r="T11" i="30"/>
  <c r="T7" i="30"/>
  <c r="T9" i="30"/>
  <c r="M9" i="30"/>
  <c r="M11" i="30"/>
  <c r="M7" i="30"/>
  <c r="V16" i="29"/>
  <c r="V59" i="29" s="1"/>
  <c r="V21" i="29"/>
  <c r="V64" i="29" s="1"/>
  <c r="V28" i="29"/>
  <c r="V71" i="29" s="1"/>
  <c r="V32" i="29"/>
  <c r="V75" i="29" s="1"/>
  <c r="V33" i="29"/>
  <c r="V76" i="29" s="1"/>
  <c r="Q38" i="29"/>
  <c r="Q81" i="29" s="1"/>
  <c r="V9" i="29"/>
  <c r="V52" i="29" s="1"/>
  <c r="V37" i="29"/>
  <c r="V80" i="29" s="1"/>
  <c r="V41" i="29"/>
  <c r="V84" i="29" s="1"/>
  <c r="V34" i="29"/>
  <c r="V77" i="29" s="1"/>
  <c r="V22" i="29"/>
  <c r="V65" i="29" s="1"/>
  <c r="U53" i="24"/>
  <c r="Q16" i="29"/>
  <c r="Q59" i="29" s="1"/>
  <c r="Q29" i="29"/>
  <c r="Q72" i="29" s="1"/>
  <c r="Q40" i="29"/>
  <c r="Q83" i="29" s="1"/>
  <c r="Q28" i="29"/>
  <c r="Q71" i="29" s="1"/>
  <c r="Q11" i="29"/>
  <c r="Q54" i="29" s="1"/>
  <c r="Q12" i="29"/>
  <c r="Q55" i="29" s="1"/>
  <c r="Q22" i="29"/>
  <c r="Q65" i="29" s="1"/>
  <c r="Q23" i="29"/>
  <c r="Q66" i="29" s="1"/>
  <c r="Q27" i="29"/>
  <c r="Q70" i="29" s="1"/>
  <c r="AQ10" i="24"/>
  <c r="L16" i="11"/>
  <c r="L10" i="11"/>
  <c r="L8" i="11"/>
  <c r="L6" i="11"/>
  <c r="L11" i="11"/>
  <c r="L9" i="11"/>
  <c r="L7" i="11"/>
  <c r="L5" i="11"/>
  <c r="L23" i="11"/>
  <c r="L12" i="11"/>
  <c r="L33" i="11"/>
  <c r="L18" i="11"/>
  <c r="L34" i="11"/>
  <c r="L20" i="11"/>
  <c r="L35" i="11"/>
  <c r="L40" i="11"/>
  <c r="L21" i="11"/>
  <c r="L17" i="11"/>
  <c r="L37" i="11"/>
  <c r="L22" i="11"/>
  <c r="L38" i="11"/>
  <c r="L24" i="11"/>
  <c r="L39" i="11"/>
  <c r="L28" i="11"/>
  <c r="L25" i="11"/>
  <c r="L41" i="11"/>
  <c r="L26" i="11"/>
  <c r="L42" i="11"/>
  <c r="L14" i="11"/>
  <c r="L27" i="11"/>
  <c r="L32" i="11"/>
  <c r="L13" i="11"/>
  <c r="L30" i="11"/>
  <c r="L29" i="11"/>
  <c r="L19" i="11"/>
  <c r="L15" i="11"/>
  <c r="L31" i="11"/>
  <c r="L36" i="11"/>
  <c r="N55" i="9"/>
  <c r="N55" i="8"/>
  <c r="N55" i="7"/>
  <c r="T54" i="8"/>
  <c r="T54" i="9"/>
  <c r="T54" i="7"/>
  <c r="E35" i="5"/>
  <c r="Q46" i="25" s="1"/>
  <c r="L46" i="13"/>
  <c r="L46" i="12"/>
  <c r="L46" i="11"/>
  <c r="L49" i="11" s="1"/>
  <c r="L48" i="11" s="1"/>
  <c r="L46" i="10"/>
  <c r="N56" i="9"/>
  <c r="N56" i="7"/>
  <c r="N56" i="8"/>
  <c r="N58" i="8" s="1"/>
  <c r="AA5" i="12"/>
  <c r="AA44" i="12" s="1"/>
  <c r="Z44" i="12"/>
  <c r="O53" i="8"/>
  <c r="U53" i="8"/>
  <c r="S44" i="11"/>
  <c r="F35" i="5"/>
  <c r="Q47" i="25" s="1"/>
  <c r="L47" i="13"/>
  <c r="L47" i="10"/>
  <c r="L47" i="12"/>
  <c r="L49" i="12" s="1"/>
  <c r="L48" i="12" s="1"/>
  <c r="L47" i="11"/>
  <c r="AA5" i="13"/>
  <c r="AA44" i="13" s="1"/>
  <c r="Z44" i="13"/>
  <c r="S5" i="12"/>
  <c r="S44" i="12" s="1"/>
  <c r="R44" i="12"/>
  <c r="AB45" i="13"/>
  <c r="AB45" i="12"/>
  <c r="X49" i="12" s="1"/>
  <c r="AB45" i="11"/>
  <c r="AB45" i="10"/>
  <c r="R44" i="13"/>
  <c r="S5" i="13"/>
  <c r="S44" i="13" s="1"/>
  <c r="AH53" i="8"/>
  <c r="E10" i="5"/>
  <c r="T55" i="24" s="1"/>
  <c r="N57" i="6"/>
  <c r="F10" i="5"/>
  <c r="T56" i="24" s="1"/>
  <c r="N58" i="6"/>
  <c r="D47" i="5"/>
  <c r="D29" i="5"/>
  <c r="M13" i="30" l="1"/>
  <c r="J13" i="30"/>
  <c r="T13" i="30"/>
  <c r="E13" i="30"/>
  <c r="V23" i="9"/>
  <c r="V7" i="9"/>
  <c r="V10" i="9"/>
  <c r="V31" i="9"/>
  <c r="P40" i="8"/>
  <c r="P40" i="28" s="1"/>
  <c r="P92" i="28" s="1"/>
  <c r="W31" i="24"/>
  <c r="AI35" i="8"/>
  <c r="P25" i="24"/>
  <c r="AC18" i="8"/>
  <c r="AD18" i="8" s="1"/>
  <c r="W5" i="24"/>
  <c r="V12" i="9"/>
  <c r="V45" i="9"/>
  <c r="V35" i="9"/>
  <c r="V42" i="9"/>
  <c r="W31" i="8"/>
  <c r="V31" i="28" s="1"/>
  <c r="V83" i="28" s="1"/>
  <c r="L26" i="28"/>
  <c r="L78" i="28" s="1"/>
  <c r="AI32" i="8"/>
  <c r="AE32" i="28" s="1"/>
  <c r="AE84" i="28" s="1"/>
  <c r="AC38" i="8"/>
  <c r="AD38" i="8" s="1"/>
  <c r="AC29" i="24"/>
  <c r="AD29" i="24" s="1"/>
  <c r="W23" i="24"/>
  <c r="AI29" i="8"/>
  <c r="AE29" i="28" s="1"/>
  <c r="AE81" i="28" s="1"/>
  <c r="AC42" i="8"/>
  <c r="L35" i="24"/>
  <c r="AC26" i="8"/>
  <c r="W9" i="8"/>
  <c r="V9" i="28" s="1"/>
  <c r="V61" i="28" s="1"/>
  <c r="P24" i="24"/>
  <c r="AI46" i="24"/>
  <c r="W23" i="8"/>
  <c r="P47" i="8"/>
  <c r="P47" i="28" s="1"/>
  <c r="P99" i="28" s="1"/>
  <c r="AI46" i="8"/>
  <c r="W43" i="8"/>
  <c r="V43" i="28" s="1"/>
  <c r="V95" i="28" s="1"/>
  <c r="AI24" i="8"/>
  <c r="AE24" i="28" s="1"/>
  <c r="AE76" i="28" s="1"/>
  <c r="L20" i="24"/>
  <c r="AC17" i="8"/>
  <c r="V16" i="9"/>
  <c r="V29" i="9"/>
  <c r="V18" i="9"/>
  <c r="V11" i="9"/>
  <c r="P32" i="24"/>
  <c r="AI24" i="24"/>
  <c r="AC16" i="8"/>
  <c r="R58" i="7"/>
  <c r="S58" i="7"/>
  <c r="W20" i="8"/>
  <c r="V20" i="28" s="1"/>
  <c r="V72" i="28" s="1"/>
  <c r="P51" i="24"/>
  <c r="W28" i="8"/>
  <c r="V28" i="28" s="1"/>
  <c r="V80" i="28" s="1"/>
  <c r="W27" i="8"/>
  <c r="V27" i="28" s="1"/>
  <c r="V79" i="28" s="1"/>
  <c r="AI48" i="8"/>
  <c r="W26" i="8"/>
  <c r="V26" i="28" s="1"/>
  <c r="V78" i="28" s="1"/>
  <c r="Y35" i="7"/>
  <c r="Y35" i="9" s="1"/>
  <c r="AB35" i="9" s="1"/>
  <c r="Y15" i="7"/>
  <c r="Y17" i="7"/>
  <c r="Y13" i="7"/>
  <c r="Y13" i="9" s="1"/>
  <c r="Y40" i="7"/>
  <c r="Y32" i="7"/>
  <c r="Y11" i="7"/>
  <c r="Y49" i="7"/>
  <c r="Y28" i="7"/>
  <c r="Y41" i="7"/>
  <c r="Y37" i="7"/>
  <c r="Y50" i="7"/>
  <c r="Y18" i="7"/>
  <c r="Y9" i="7"/>
  <c r="Y9" i="9" s="1"/>
  <c r="Y23" i="7"/>
  <c r="Y23" i="9" s="1"/>
  <c r="AB23" i="9" s="1"/>
  <c r="Y47" i="7"/>
  <c r="Y31" i="7"/>
  <c r="Y10" i="7"/>
  <c r="Y10" i="9" s="1"/>
  <c r="AB10" i="9" s="1"/>
  <c r="Y12" i="7"/>
  <c r="Y8" i="7"/>
  <c r="Y38" i="7"/>
  <c r="Y30" i="7"/>
  <c r="Y6" i="7"/>
  <c r="Y29" i="7"/>
  <c r="Y29" i="9" s="1"/>
  <c r="AB29" i="9" s="1"/>
  <c r="Y42" i="7"/>
  <c r="Y42" i="9" s="1"/>
  <c r="AB42" i="9" s="1"/>
  <c r="Y46" i="7"/>
  <c r="Y51" i="7"/>
  <c r="Y26" i="7"/>
  <c r="Y39" i="7"/>
  <c r="Y16" i="7"/>
  <c r="Y14" i="7"/>
  <c r="Y27" i="7"/>
  <c r="Y45" i="7"/>
  <c r="Y45" i="9" s="1"/>
  <c r="AB45" i="9" s="1"/>
  <c r="Y20" i="7"/>
  <c r="Y7" i="7"/>
  <c r="Y7" i="9" s="1"/>
  <c r="AB7" i="9" s="1"/>
  <c r="Y25" i="7"/>
  <c r="Y5" i="7"/>
  <c r="Y36" i="7"/>
  <c r="Y19" i="7"/>
  <c r="Y22" i="7"/>
  <c r="Y33" i="7"/>
  <c r="Y43" i="7"/>
  <c r="Y21" i="7"/>
  <c r="Y44" i="7"/>
  <c r="Y24" i="7"/>
  <c r="Y34" i="7"/>
  <c r="Y48" i="7"/>
  <c r="M5" i="9"/>
  <c r="M53" i="9" s="1"/>
  <c r="M53" i="7"/>
  <c r="M58" i="7" s="1"/>
  <c r="M22" i="8" s="1"/>
  <c r="U13" i="13"/>
  <c r="U13" i="25"/>
  <c r="U13" i="12"/>
  <c r="S13" i="29" s="1"/>
  <c r="S56" i="29" s="1"/>
  <c r="U28" i="25"/>
  <c r="U28" i="13"/>
  <c r="U28" i="12"/>
  <c r="U29" i="25"/>
  <c r="U29" i="12"/>
  <c r="S29" i="29" s="1"/>
  <c r="S72" i="29" s="1"/>
  <c r="U29" i="13"/>
  <c r="U6" i="25"/>
  <c r="U6" i="13"/>
  <c r="U6" i="12"/>
  <c r="U16" i="25"/>
  <c r="U16" i="12"/>
  <c r="U16" i="13"/>
  <c r="U36" i="25"/>
  <c r="U36" i="12"/>
  <c r="U36" i="13"/>
  <c r="U7" i="25"/>
  <c r="U7" i="12"/>
  <c r="S7" i="29" s="1"/>
  <c r="S50" i="29" s="1"/>
  <c r="U7" i="13"/>
  <c r="Q11" i="8"/>
  <c r="Q11" i="28" s="1"/>
  <c r="Q63" i="28" s="1"/>
  <c r="Q8" i="24"/>
  <c r="Q10" i="24"/>
  <c r="Q43" i="24"/>
  <c r="Q15" i="24"/>
  <c r="Q41" i="8"/>
  <c r="Q41" i="28" s="1"/>
  <c r="Q93" i="28" s="1"/>
  <c r="F47" i="5"/>
  <c r="AB7" i="7"/>
  <c r="AD26" i="8"/>
  <c r="AA26" i="28"/>
  <c r="AA78" i="28" s="1"/>
  <c r="Q7" i="8"/>
  <c r="Q7" i="28" s="1"/>
  <c r="Q59" i="28" s="1"/>
  <c r="Q45" i="8"/>
  <c r="Q45" i="28" s="1"/>
  <c r="Q97" i="28" s="1"/>
  <c r="P53" i="9"/>
  <c r="M22" i="9"/>
  <c r="Q24" i="8"/>
  <c r="Q24" i="28" s="1"/>
  <c r="Q76" i="28" s="1"/>
  <c r="Q6" i="8"/>
  <c r="Q6" i="28" s="1"/>
  <c r="Q58" i="28" s="1"/>
  <c r="V22" i="28"/>
  <c r="V74" i="28" s="1"/>
  <c r="AC37" i="24"/>
  <c r="AD37" i="24" s="1"/>
  <c r="AC8" i="8"/>
  <c r="AC45" i="24"/>
  <c r="AD45" i="24" s="1"/>
  <c r="AC36" i="24"/>
  <c r="AD36" i="24" s="1"/>
  <c r="AC48" i="24"/>
  <c r="AD48" i="24" s="1"/>
  <c r="AC35" i="24"/>
  <c r="AD35" i="24" s="1"/>
  <c r="AC26" i="24"/>
  <c r="AD26" i="24" s="1"/>
  <c r="AC46" i="24"/>
  <c r="AD46" i="24" s="1"/>
  <c r="AC19" i="24"/>
  <c r="AD19" i="24" s="1"/>
  <c r="AC28" i="24"/>
  <c r="AD28" i="24" s="1"/>
  <c r="AC20" i="24"/>
  <c r="AD20" i="24" s="1"/>
  <c r="AC33" i="8"/>
  <c r="AC28" i="8"/>
  <c r="AC24" i="8"/>
  <c r="AC43" i="8"/>
  <c r="AC19" i="8"/>
  <c r="AC35" i="8"/>
  <c r="AC9" i="8"/>
  <c r="AC41" i="8"/>
  <c r="AC11" i="8"/>
  <c r="AC47" i="24"/>
  <c r="AD47" i="24" s="1"/>
  <c r="AC17" i="24"/>
  <c r="AD17" i="24" s="1"/>
  <c r="AC5" i="24"/>
  <c r="AC51" i="24"/>
  <c r="AD51" i="24" s="1"/>
  <c r="AC14" i="24"/>
  <c r="AD14" i="24" s="1"/>
  <c r="AC22" i="24"/>
  <c r="AD22" i="24" s="1"/>
  <c r="AC40" i="24"/>
  <c r="AD40" i="24" s="1"/>
  <c r="AC31" i="24"/>
  <c r="AD31" i="24" s="1"/>
  <c r="AC43" i="24"/>
  <c r="AD43" i="24" s="1"/>
  <c r="AC40" i="8"/>
  <c r="AC22" i="8"/>
  <c r="AC20" i="8"/>
  <c r="AC21" i="8"/>
  <c r="AC7" i="8"/>
  <c r="AC45" i="8"/>
  <c r="AC46" i="8"/>
  <c r="AC14" i="8"/>
  <c r="AC47" i="8"/>
  <c r="AC27" i="8"/>
  <c r="AC25" i="24"/>
  <c r="AD25" i="24" s="1"/>
  <c r="AC41" i="24"/>
  <c r="AD41" i="24" s="1"/>
  <c r="AC39" i="24"/>
  <c r="AD39" i="24" s="1"/>
  <c r="AC10" i="24"/>
  <c r="AD10" i="24" s="1"/>
  <c r="AC21" i="24"/>
  <c r="AD21" i="24" s="1"/>
  <c r="AC9" i="24"/>
  <c r="AD9" i="24" s="1"/>
  <c r="AC49" i="24"/>
  <c r="AD49" i="24" s="1"/>
  <c r="AC32" i="24"/>
  <c r="AD32" i="24" s="1"/>
  <c r="AC24" i="24"/>
  <c r="AD24" i="24" s="1"/>
  <c r="AC44" i="8"/>
  <c r="AC30" i="8"/>
  <c r="AC48" i="8"/>
  <c r="AC31" i="8"/>
  <c r="AC25" i="8"/>
  <c r="AC5" i="8"/>
  <c r="AC8" i="24"/>
  <c r="AD8" i="24" s="1"/>
  <c r="AC44" i="24"/>
  <c r="AD44" i="24" s="1"/>
  <c r="AC13" i="24"/>
  <c r="AD13" i="24" s="1"/>
  <c r="AC49" i="8"/>
  <c r="AC13" i="8"/>
  <c r="AC6" i="24"/>
  <c r="AD6" i="24" s="1"/>
  <c r="AC39" i="8"/>
  <c r="AC51" i="8"/>
  <c r="AC27" i="24"/>
  <c r="AD27" i="24" s="1"/>
  <c r="AC30" i="24"/>
  <c r="AD30" i="24" s="1"/>
  <c r="AC32" i="8"/>
  <c r="AC10" i="8"/>
  <c r="AC11" i="24"/>
  <c r="AD11" i="24" s="1"/>
  <c r="AC50" i="8"/>
  <c r="AC33" i="24"/>
  <c r="AD33" i="24" s="1"/>
  <c r="AC7" i="24"/>
  <c r="AD7" i="24" s="1"/>
  <c r="AC36" i="8"/>
  <c r="AC42" i="24"/>
  <c r="AD42" i="24" s="1"/>
  <c r="U23" i="13"/>
  <c r="U23" i="12"/>
  <c r="U23" i="25"/>
  <c r="U12" i="25"/>
  <c r="U12" i="13"/>
  <c r="U12" i="12"/>
  <c r="S12" i="29" s="1"/>
  <c r="S55" i="29" s="1"/>
  <c r="U42" i="25"/>
  <c r="U42" i="13"/>
  <c r="U42" i="12"/>
  <c r="S42" i="29" s="1"/>
  <c r="S85" i="29" s="1"/>
  <c r="U30" i="13"/>
  <c r="U30" i="25"/>
  <c r="U30" i="12"/>
  <c r="U34" i="13"/>
  <c r="U34" i="25"/>
  <c r="U34" i="12"/>
  <c r="S34" i="29" s="1"/>
  <c r="S77" i="29" s="1"/>
  <c r="U37" i="25"/>
  <c r="U37" i="12"/>
  <c r="U37" i="13"/>
  <c r="U14" i="25"/>
  <c r="U14" i="12"/>
  <c r="U14" i="13"/>
  <c r="U20" i="25"/>
  <c r="U20" i="13"/>
  <c r="U20" i="12"/>
  <c r="U39" i="25"/>
  <c r="U39" i="13"/>
  <c r="U39" i="12"/>
  <c r="U8" i="25"/>
  <c r="U8" i="13"/>
  <c r="U8" i="12"/>
  <c r="S8" i="29" s="1"/>
  <c r="S51" i="29" s="1"/>
  <c r="Q12" i="8"/>
  <c r="Q12" i="28" s="1"/>
  <c r="Q64" i="28" s="1"/>
  <c r="P13" i="30"/>
  <c r="O13" i="30"/>
  <c r="V49" i="9"/>
  <c r="V43" i="9"/>
  <c r="V28" i="9"/>
  <c r="V22" i="9"/>
  <c r="V8" i="9"/>
  <c r="V32" i="9"/>
  <c r="V20" i="9"/>
  <c r="V17" i="9"/>
  <c r="V51" i="9"/>
  <c r="V26" i="9"/>
  <c r="V39" i="9"/>
  <c r="V50" i="9"/>
  <c r="P22" i="24"/>
  <c r="P51" i="8"/>
  <c r="P51" i="28" s="1"/>
  <c r="P103" i="28" s="1"/>
  <c r="P49" i="24"/>
  <c r="P43" i="8"/>
  <c r="P43" i="28" s="1"/>
  <c r="P95" i="28" s="1"/>
  <c r="P24" i="8"/>
  <c r="P28" i="24"/>
  <c r="AE48" i="28"/>
  <c r="AE100" i="28" s="1"/>
  <c r="AE46" i="28"/>
  <c r="AE98" i="28" s="1"/>
  <c r="AA38" i="28"/>
  <c r="AA90" i="28" s="1"/>
  <c r="W28" i="24"/>
  <c r="AI5" i="8"/>
  <c r="AC16" i="24"/>
  <c r="AD16" i="24" s="1"/>
  <c r="AC18" i="24"/>
  <c r="AD18" i="24" s="1"/>
  <c r="AC23" i="8"/>
  <c r="Q36" i="24"/>
  <c r="W53" i="9"/>
  <c r="W43" i="24"/>
  <c r="W6" i="24"/>
  <c r="AI29" i="24"/>
  <c r="AI32" i="24"/>
  <c r="AI5" i="24"/>
  <c r="L7" i="8"/>
  <c r="L7" i="28" s="1"/>
  <c r="L59" i="28" s="1"/>
  <c r="Q10" i="8"/>
  <c r="Q10" i="28" s="1"/>
  <c r="Q62" i="28" s="1"/>
  <c r="Q43" i="8"/>
  <c r="Q43" i="28" s="1"/>
  <c r="Q95" i="28" s="1"/>
  <c r="Q15" i="8"/>
  <c r="Q15" i="28" s="1"/>
  <c r="Q67" i="28" s="1"/>
  <c r="Q35" i="8"/>
  <c r="Q35" i="28" s="1"/>
  <c r="Q87" i="28" s="1"/>
  <c r="Q18" i="8"/>
  <c r="Q18" i="28" s="1"/>
  <c r="Q70" i="28" s="1"/>
  <c r="U21" i="25"/>
  <c r="U21" i="12"/>
  <c r="U21" i="13"/>
  <c r="U17" i="25"/>
  <c r="U17" i="12"/>
  <c r="U17" i="13"/>
  <c r="S17" i="29" s="1"/>
  <c r="S60" i="29" s="1"/>
  <c r="U19" i="25"/>
  <c r="U19" i="13"/>
  <c r="U19" i="12"/>
  <c r="S19" i="29" s="1"/>
  <c r="S62" i="29" s="1"/>
  <c r="Q30" i="8"/>
  <c r="Q30" i="28" s="1"/>
  <c r="Q82" i="28" s="1"/>
  <c r="Q20" i="24"/>
  <c r="AB35" i="7"/>
  <c r="AB10" i="7"/>
  <c r="M41" i="24"/>
  <c r="AA18" i="28"/>
  <c r="AA70" i="28" s="1"/>
  <c r="S6" i="29"/>
  <c r="S49" i="29" s="1"/>
  <c r="S28" i="29"/>
  <c r="S71" i="29" s="1"/>
  <c r="Q14" i="8"/>
  <c r="Q14" i="28" s="1"/>
  <c r="Q66" i="28" s="1"/>
  <c r="P12" i="24"/>
  <c r="P16" i="8"/>
  <c r="P16" i="28" s="1"/>
  <c r="P68" i="28" s="1"/>
  <c r="P13" i="8"/>
  <c r="P13" i="28" s="1"/>
  <c r="P65" i="28" s="1"/>
  <c r="P46" i="8"/>
  <c r="P46" i="28" s="1"/>
  <c r="P98" i="28" s="1"/>
  <c r="P30" i="8"/>
  <c r="P30" i="28" s="1"/>
  <c r="P82" i="28" s="1"/>
  <c r="P8" i="24"/>
  <c r="P44" i="24"/>
  <c r="P34" i="8"/>
  <c r="P34" i="28" s="1"/>
  <c r="P86" i="28" s="1"/>
  <c r="P11" i="24"/>
  <c r="P48" i="24"/>
  <c r="P26" i="24"/>
  <c r="P37" i="24"/>
  <c r="P6" i="24"/>
  <c r="P26" i="8"/>
  <c r="P21" i="8"/>
  <c r="P29" i="8"/>
  <c r="P41" i="8"/>
  <c r="P41" i="28" s="1"/>
  <c r="P93" i="28" s="1"/>
  <c r="P11" i="8"/>
  <c r="P11" i="28" s="1"/>
  <c r="P63" i="28" s="1"/>
  <c r="P17" i="8"/>
  <c r="P17" i="28" s="1"/>
  <c r="P69" i="28" s="1"/>
  <c r="P38" i="8"/>
  <c r="P38" i="28" s="1"/>
  <c r="P90" i="28" s="1"/>
  <c r="P15" i="8"/>
  <c r="P15" i="28" s="1"/>
  <c r="P67" i="28" s="1"/>
  <c r="P39" i="8"/>
  <c r="P39" i="28" s="1"/>
  <c r="P91" i="28" s="1"/>
  <c r="P33" i="24"/>
  <c r="P42" i="24"/>
  <c r="P17" i="24"/>
  <c r="P31" i="24"/>
  <c r="P16" i="24"/>
  <c r="P10" i="24"/>
  <c r="P5" i="24"/>
  <c r="P46" i="24"/>
  <c r="P39" i="24"/>
  <c r="P50" i="8"/>
  <c r="P50" i="28" s="1"/>
  <c r="P102" i="28" s="1"/>
  <c r="P36" i="8"/>
  <c r="P36" i="28" s="1"/>
  <c r="P88" i="28" s="1"/>
  <c r="P37" i="8"/>
  <c r="P37" i="28" s="1"/>
  <c r="P89" i="28" s="1"/>
  <c r="P33" i="8"/>
  <c r="P33" i="28" s="1"/>
  <c r="P85" i="28" s="1"/>
  <c r="P10" i="8"/>
  <c r="P10" i="28" s="1"/>
  <c r="P62" i="28" s="1"/>
  <c r="P8" i="8"/>
  <c r="P8" i="28" s="1"/>
  <c r="P60" i="28" s="1"/>
  <c r="P14" i="8"/>
  <c r="P14" i="28" s="1"/>
  <c r="P66" i="28" s="1"/>
  <c r="P45" i="24"/>
  <c r="P20" i="24"/>
  <c r="P27" i="24"/>
  <c r="P7" i="24"/>
  <c r="P14" i="24"/>
  <c r="P30" i="24"/>
  <c r="P18" i="24"/>
  <c r="P38" i="24"/>
  <c r="P41" i="24"/>
  <c r="P12" i="8"/>
  <c r="P12" i="28" s="1"/>
  <c r="P64" i="28" s="1"/>
  <c r="P45" i="8"/>
  <c r="P45" i="28" s="1"/>
  <c r="P97" i="28" s="1"/>
  <c r="P34" i="24"/>
  <c r="P23" i="24"/>
  <c r="P44" i="8"/>
  <c r="P44" i="28" s="1"/>
  <c r="P96" i="28" s="1"/>
  <c r="P7" i="8"/>
  <c r="P7" i="28" s="1"/>
  <c r="P59" i="28" s="1"/>
  <c r="P19" i="8"/>
  <c r="P19" i="28" s="1"/>
  <c r="P71" i="28" s="1"/>
  <c r="P35" i="24"/>
  <c r="P20" i="8"/>
  <c r="P20" i="28" s="1"/>
  <c r="P72" i="28" s="1"/>
  <c r="P23" i="8"/>
  <c r="P6" i="8"/>
  <c r="P6" i="28" s="1"/>
  <c r="P58" i="28" s="1"/>
  <c r="P36" i="24"/>
  <c r="P29" i="24"/>
  <c r="P19" i="24"/>
  <c r="P15" i="24"/>
  <c r="P13" i="24"/>
  <c r="P47" i="24"/>
  <c r="P18" i="8"/>
  <c r="P18" i="28" s="1"/>
  <c r="P70" i="28" s="1"/>
  <c r="P42" i="8"/>
  <c r="P42" i="28" s="1"/>
  <c r="P94" i="28" s="1"/>
  <c r="P48" i="8"/>
  <c r="P48" i="28" s="1"/>
  <c r="P100" i="28" s="1"/>
  <c r="P50" i="24"/>
  <c r="P5" i="8"/>
  <c r="P27" i="8"/>
  <c r="P40" i="24"/>
  <c r="P21" i="24"/>
  <c r="P31" i="8"/>
  <c r="P31" i="28" s="1"/>
  <c r="P83" i="28" s="1"/>
  <c r="AD53" i="7"/>
  <c r="U9" i="25"/>
  <c r="U9" i="12"/>
  <c r="U9" i="13"/>
  <c r="U41" i="25"/>
  <c r="U41" i="12"/>
  <c r="U41" i="13"/>
  <c r="U32" i="25"/>
  <c r="U32" i="12"/>
  <c r="U32" i="13"/>
  <c r="U26" i="12"/>
  <c r="U26" i="25"/>
  <c r="U26" i="13"/>
  <c r="U24" i="12"/>
  <c r="U24" i="25"/>
  <c r="U24" i="13"/>
  <c r="U40" i="25"/>
  <c r="U40" i="12"/>
  <c r="U40" i="13"/>
  <c r="U22" i="25"/>
  <c r="U22" i="13"/>
  <c r="U22" i="12"/>
  <c r="U31" i="25"/>
  <c r="U31" i="12"/>
  <c r="U31" i="13"/>
  <c r="U18" i="25"/>
  <c r="U18" i="12"/>
  <c r="U18" i="13"/>
  <c r="O14" i="30"/>
  <c r="P14" i="30"/>
  <c r="Q13" i="8"/>
  <c r="Q13" i="28" s="1"/>
  <c r="Q65" i="28" s="1"/>
  <c r="Q34" i="8"/>
  <c r="Q34" i="28" s="1"/>
  <c r="Q86" i="28" s="1"/>
  <c r="AC50" i="24"/>
  <c r="AD50" i="24" s="1"/>
  <c r="P49" i="8"/>
  <c r="P49" i="28" s="1"/>
  <c r="P101" i="28" s="1"/>
  <c r="V27" i="9"/>
  <c r="V38" i="9"/>
  <c r="V33" i="9"/>
  <c r="V6" i="9"/>
  <c r="V25" i="9"/>
  <c r="V40" i="9"/>
  <c r="V41" i="9"/>
  <c r="V19" i="9"/>
  <c r="V9" i="9"/>
  <c r="AB9" i="7"/>
  <c r="V15" i="9"/>
  <c r="V47" i="9"/>
  <c r="P22" i="8"/>
  <c r="P9" i="24"/>
  <c r="P43" i="24"/>
  <c r="P28" i="8"/>
  <c r="AE12" i="28"/>
  <c r="AE64" i="28" s="1"/>
  <c r="AA15" i="28"/>
  <c r="AA67" i="28" s="1"/>
  <c r="AC38" i="24"/>
  <c r="AD38" i="24" s="1"/>
  <c r="Q42" i="24"/>
  <c r="O15" i="30"/>
  <c r="P15" i="30"/>
  <c r="V23" i="28"/>
  <c r="V75" i="28" s="1"/>
  <c r="AC29" i="8"/>
  <c r="AC23" i="24"/>
  <c r="AD23" i="24" s="1"/>
  <c r="Q36" i="8"/>
  <c r="Q36" i="28" s="1"/>
  <c r="Q88" i="28" s="1"/>
  <c r="Q8" i="8"/>
  <c r="Q8" i="28" s="1"/>
  <c r="Q60" i="28" s="1"/>
  <c r="Q26" i="24"/>
  <c r="W48" i="24"/>
  <c r="W47" i="8"/>
  <c r="V47" i="28" s="1"/>
  <c r="V99" i="28" s="1"/>
  <c r="W14" i="8"/>
  <c r="V14" i="28" s="1"/>
  <c r="V66" i="28" s="1"/>
  <c r="W15" i="8"/>
  <c r="V15" i="28" s="1"/>
  <c r="V67" i="28" s="1"/>
  <c r="W21" i="8"/>
  <c r="V21" i="28" s="1"/>
  <c r="V73" i="28" s="1"/>
  <c r="W49" i="8"/>
  <c r="V49" i="28" s="1"/>
  <c r="V101" i="28" s="1"/>
  <c r="W8" i="8"/>
  <c r="V8" i="28" s="1"/>
  <c r="V60" i="28" s="1"/>
  <c r="W20" i="24"/>
  <c r="W21" i="24"/>
  <c r="W33" i="24"/>
  <c r="W15" i="24"/>
  <c r="W14" i="24"/>
  <c r="W47" i="24"/>
  <c r="W17" i="24"/>
  <c r="W24" i="24"/>
  <c r="W22" i="24"/>
  <c r="W24" i="8"/>
  <c r="V24" i="28" s="1"/>
  <c r="V76" i="28" s="1"/>
  <c r="W45" i="8"/>
  <c r="V45" i="28" s="1"/>
  <c r="V97" i="28" s="1"/>
  <c r="W25" i="8"/>
  <c r="V25" i="28" s="1"/>
  <c r="V77" i="28" s="1"/>
  <c r="W32" i="8"/>
  <c r="V32" i="28" s="1"/>
  <c r="V84" i="28" s="1"/>
  <c r="W17" i="8"/>
  <c r="V17" i="28" s="1"/>
  <c r="V69" i="28" s="1"/>
  <c r="W51" i="8"/>
  <c r="V51" i="28" s="1"/>
  <c r="V103" i="28" s="1"/>
  <c r="W13" i="8"/>
  <c r="V13" i="28" s="1"/>
  <c r="V65" i="28" s="1"/>
  <c r="W16" i="8"/>
  <c r="V16" i="28" s="1"/>
  <c r="V68" i="28" s="1"/>
  <c r="W34" i="8"/>
  <c r="V34" i="28" s="1"/>
  <c r="V86" i="28" s="1"/>
  <c r="W33" i="8"/>
  <c r="V33" i="28" s="1"/>
  <c r="V85" i="28" s="1"/>
  <c r="W37" i="24"/>
  <c r="W12" i="24"/>
  <c r="W8" i="24"/>
  <c r="W49" i="24"/>
  <c r="W38" i="24"/>
  <c r="W7" i="24"/>
  <c r="W30" i="24"/>
  <c r="W25" i="24"/>
  <c r="W50" i="8"/>
  <c r="V50" i="28" s="1"/>
  <c r="V102" i="28" s="1"/>
  <c r="W7" i="8"/>
  <c r="V7" i="28" s="1"/>
  <c r="V59" i="28" s="1"/>
  <c r="W35" i="8"/>
  <c r="V35" i="28" s="1"/>
  <c r="V87" i="28" s="1"/>
  <c r="W39" i="8"/>
  <c r="V39" i="28" s="1"/>
  <c r="V91" i="28" s="1"/>
  <c r="W36" i="8"/>
  <c r="V36" i="28" s="1"/>
  <c r="V88" i="28" s="1"/>
  <c r="W42" i="24"/>
  <c r="W46" i="8"/>
  <c r="V46" i="28" s="1"/>
  <c r="V98" i="28" s="1"/>
  <c r="W39" i="24"/>
  <c r="W10" i="24"/>
  <c r="W11" i="24"/>
  <c r="W35" i="24"/>
  <c r="W32" i="24"/>
  <c r="W44" i="24"/>
  <c r="W40" i="24"/>
  <c r="W46" i="24"/>
  <c r="W50" i="24"/>
  <c r="W38" i="8"/>
  <c r="V38" i="28" s="1"/>
  <c r="V90" i="28" s="1"/>
  <c r="W18" i="24"/>
  <c r="W13" i="24"/>
  <c r="W30" i="8"/>
  <c r="V30" i="28" s="1"/>
  <c r="V82" i="28" s="1"/>
  <c r="W44" i="8"/>
  <c r="V44" i="28" s="1"/>
  <c r="V96" i="28" s="1"/>
  <c r="W19" i="24"/>
  <c r="W36" i="24"/>
  <c r="W11" i="8"/>
  <c r="V11" i="28" s="1"/>
  <c r="V63" i="28" s="1"/>
  <c r="W34" i="24"/>
  <c r="W51" i="24"/>
  <c r="W18" i="8"/>
  <c r="V18" i="28" s="1"/>
  <c r="V70" i="28" s="1"/>
  <c r="W42" i="8"/>
  <c r="V42" i="28" s="1"/>
  <c r="V94" i="28" s="1"/>
  <c r="W40" i="8"/>
  <c r="V40" i="28" s="1"/>
  <c r="V92" i="28" s="1"/>
  <c r="W12" i="8"/>
  <c r="V12" i="28" s="1"/>
  <c r="V64" i="28" s="1"/>
  <c r="W10" i="8"/>
  <c r="V10" i="28" s="1"/>
  <c r="V62" i="28" s="1"/>
  <c r="W16" i="24"/>
  <c r="W27" i="24"/>
  <c r="W45" i="24"/>
  <c r="W19" i="8"/>
  <c r="V19" i="28" s="1"/>
  <c r="V71" i="28" s="1"/>
  <c r="W37" i="8"/>
  <c r="V37" i="28" s="1"/>
  <c r="V89" i="28" s="1"/>
  <c r="AI40" i="24"/>
  <c r="AI53" i="9"/>
  <c r="AC12" i="8"/>
  <c r="L37" i="24"/>
  <c r="L34" i="8"/>
  <c r="L34" i="28" s="1"/>
  <c r="L86" i="28" s="1"/>
  <c r="L12" i="8"/>
  <c r="L12" i="28" s="1"/>
  <c r="L64" i="28" s="1"/>
  <c r="L19" i="24"/>
  <c r="L23" i="24"/>
  <c r="L42" i="24"/>
  <c r="L25" i="24"/>
  <c r="L13" i="24"/>
  <c r="L27" i="24"/>
  <c r="L40" i="24"/>
  <c r="L44" i="24"/>
  <c r="L17" i="8"/>
  <c r="L17" i="28" s="1"/>
  <c r="L69" i="28" s="1"/>
  <c r="L40" i="8"/>
  <c r="L40" i="28" s="1"/>
  <c r="L92" i="28" s="1"/>
  <c r="L30" i="8"/>
  <c r="L30" i="28" s="1"/>
  <c r="L82" i="28" s="1"/>
  <c r="L33" i="8"/>
  <c r="L33" i="28" s="1"/>
  <c r="L85" i="28" s="1"/>
  <c r="L41" i="8"/>
  <c r="L41" i="28" s="1"/>
  <c r="L93" i="28" s="1"/>
  <c r="L14" i="8"/>
  <c r="L14" i="28" s="1"/>
  <c r="L66" i="28" s="1"/>
  <c r="L45" i="8"/>
  <c r="L45" i="28" s="1"/>
  <c r="L97" i="28" s="1"/>
  <c r="L48" i="24"/>
  <c r="L30" i="24"/>
  <c r="L21" i="24"/>
  <c r="L36" i="8"/>
  <c r="L36" i="28" s="1"/>
  <c r="L88" i="28" s="1"/>
  <c r="L22" i="24"/>
  <c r="L17" i="24"/>
  <c r="L51" i="24"/>
  <c r="L14" i="24"/>
  <c r="L39" i="24"/>
  <c r="L8" i="24"/>
  <c r="L24" i="24"/>
  <c r="L47" i="24"/>
  <c r="L12" i="24"/>
  <c r="L19" i="8"/>
  <c r="L19" i="28" s="1"/>
  <c r="L71" i="28" s="1"/>
  <c r="L18" i="8"/>
  <c r="L18" i="28" s="1"/>
  <c r="L70" i="28" s="1"/>
  <c r="L15" i="8"/>
  <c r="L15" i="28" s="1"/>
  <c r="L67" i="28" s="1"/>
  <c r="L51" i="8"/>
  <c r="L51" i="28" s="1"/>
  <c r="L103" i="28" s="1"/>
  <c r="L10" i="8"/>
  <c r="L10" i="28" s="1"/>
  <c r="L62" i="28" s="1"/>
  <c r="L44" i="8"/>
  <c r="L44" i="28" s="1"/>
  <c r="L96" i="28" s="1"/>
  <c r="L11" i="8"/>
  <c r="L11" i="28" s="1"/>
  <c r="L63" i="28" s="1"/>
  <c r="L16" i="8"/>
  <c r="L16" i="28" s="1"/>
  <c r="L68" i="28" s="1"/>
  <c r="L42" i="8"/>
  <c r="L42" i="28" s="1"/>
  <c r="L94" i="28" s="1"/>
  <c r="L5" i="24"/>
  <c r="L36" i="24"/>
  <c r="L9" i="24"/>
  <c r="L41" i="24"/>
  <c r="L26" i="24"/>
  <c r="L15" i="24"/>
  <c r="L11" i="24"/>
  <c r="L16" i="24"/>
  <c r="L32" i="24"/>
  <c r="L46" i="24"/>
  <c r="L28" i="24"/>
  <c r="L23" i="8"/>
  <c r="L23" i="28" s="1"/>
  <c r="L75" i="28" s="1"/>
  <c r="L43" i="8"/>
  <c r="L43" i="28" s="1"/>
  <c r="L95" i="28" s="1"/>
  <c r="L5" i="8"/>
  <c r="L31" i="8"/>
  <c r="L31" i="28" s="1"/>
  <c r="L83" i="28" s="1"/>
  <c r="L6" i="8"/>
  <c r="L6" i="28" s="1"/>
  <c r="L58" i="28" s="1"/>
  <c r="L37" i="8"/>
  <c r="L37" i="28" s="1"/>
  <c r="L89" i="28" s="1"/>
  <c r="L29" i="8"/>
  <c r="L29" i="28" s="1"/>
  <c r="L81" i="28" s="1"/>
  <c r="L24" i="8"/>
  <c r="L24" i="28" s="1"/>
  <c r="L76" i="28" s="1"/>
  <c r="L38" i="8"/>
  <c r="L38" i="28" s="1"/>
  <c r="L90" i="28" s="1"/>
  <c r="L21" i="8"/>
  <c r="L21" i="28" s="1"/>
  <c r="L73" i="28" s="1"/>
  <c r="L10" i="24"/>
  <c r="L50" i="24"/>
  <c r="L29" i="24"/>
  <c r="L6" i="24"/>
  <c r="L33" i="24"/>
  <c r="L46" i="8"/>
  <c r="L46" i="28" s="1"/>
  <c r="L98" i="28" s="1"/>
  <c r="L50" i="8"/>
  <c r="L50" i="28" s="1"/>
  <c r="L102" i="28" s="1"/>
  <c r="L31" i="24"/>
  <c r="L47" i="8"/>
  <c r="L47" i="28" s="1"/>
  <c r="L99" i="28" s="1"/>
  <c r="L34" i="24"/>
  <c r="L38" i="24"/>
  <c r="L48" i="8"/>
  <c r="L48" i="28" s="1"/>
  <c r="L100" i="28" s="1"/>
  <c r="L25" i="8"/>
  <c r="L25" i="28" s="1"/>
  <c r="L77" i="28" s="1"/>
  <c r="L28" i="8"/>
  <c r="L28" i="28" s="1"/>
  <c r="L80" i="28" s="1"/>
  <c r="L18" i="24"/>
  <c r="L45" i="24"/>
  <c r="L49" i="24"/>
  <c r="L43" i="24"/>
  <c r="L13" i="8"/>
  <c r="L13" i="28" s="1"/>
  <c r="L65" i="28" s="1"/>
  <c r="L27" i="8"/>
  <c r="L27" i="28" s="1"/>
  <c r="L79" i="28" s="1"/>
  <c r="L7" i="24"/>
  <c r="L9" i="8"/>
  <c r="L9" i="28" s="1"/>
  <c r="L61" i="28" s="1"/>
  <c r="L35" i="8"/>
  <c r="L35" i="28" s="1"/>
  <c r="L87" i="28" s="1"/>
  <c r="W9" i="24"/>
  <c r="W29" i="24"/>
  <c r="W41" i="8"/>
  <c r="V41" i="28" s="1"/>
  <c r="V93" i="28" s="1"/>
  <c r="AC34" i="24"/>
  <c r="AD34" i="24" s="1"/>
  <c r="Q26" i="8"/>
  <c r="Q26" i="28" s="1"/>
  <c r="Q78" i="28" s="1"/>
  <c r="Q47" i="24"/>
  <c r="Q11" i="24"/>
  <c r="Q49" i="24"/>
  <c r="Q16" i="24"/>
  <c r="Q9" i="24"/>
  <c r="Q45" i="24"/>
  <c r="Q39" i="24"/>
  <c r="Q9" i="8"/>
  <c r="Q9" i="28" s="1"/>
  <c r="Q61" i="28" s="1"/>
  <c r="Q32" i="24"/>
  <c r="Q14" i="24"/>
  <c r="Q19" i="24"/>
  <c r="Q40" i="24"/>
  <c r="Q46" i="24"/>
  <c r="Q27" i="24"/>
  <c r="Q34" i="24"/>
  <c r="Q6" i="24"/>
  <c r="Q31" i="24"/>
  <c r="Q5" i="24"/>
  <c r="Q12" i="24"/>
  <c r="Q13" i="24"/>
  <c r="Q33" i="24"/>
  <c r="Q23" i="24"/>
  <c r="Q50" i="24"/>
  <c r="Q28" i="24"/>
  <c r="Q44" i="24"/>
  <c r="Q29" i="24"/>
  <c r="Q25" i="24"/>
  <c r="Q33" i="8"/>
  <c r="Q33" i="28" s="1"/>
  <c r="Q85" i="28" s="1"/>
  <c r="Q37" i="24"/>
  <c r="Q24" i="24"/>
  <c r="Q48" i="24"/>
  <c r="Q50" i="8"/>
  <c r="Q50" i="28" s="1"/>
  <c r="Q102" i="28" s="1"/>
  <c r="Q51" i="8"/>
  <c r="Q51" i="28" s="1"/>
  <c r="Q103" i="28" s="1"/>
  <c r="Q19" i="8"/>
  <c r="Q19" i="28" s="1"/>
  <c r="Q71" i="28" s="1"/>
  <c r="Q32" i="8"/>
  <c r="Q32" i="28" s="1"/>
  <c r="Q84" i="28" s="1"/>
  <c r="Q37" i="8"/>
  <c r="Q37" i="28" s="1"/>
  <c r="Q89" i="28" s="1"/>
  <c r="Q7" i="24"/>
  <c r="Q21" i="24"/>
  <c r="Q38" i="24"/>
  <c r="Q22" i="24"/>
  <c r="Q51" i="24"/>
  <c r="Q17" i="24"/>
  <c r="Q16" i="8"/>
  <c r="Q16" i="28" s="1"/>
  <c r="Q68" i="28" s="1"/>
  <c r="Q46" i="8"/>
  <c r="Q46" i="28" s="1"/>
  <c r="Q98" i="28" s="1"/>
  <c r="Q31" i="8"/>
  <c r="Q31" i="28" s="1"/>
  <c r="Q83" i="28" s="1"/>
  <c r="Q39" i="8"/>
  <c r="Q39" i="28" s="1"/>
  <c r="Q91" i="28" s="1"/>
  <c r="Q48" i="8"/>
  <c r="Q48" i="28" s="1"/>
  <c r="Q100" i="28" s="1"/>
  <c r="Q49" i="8"/>
  <c r="Q49" i="28" s="1"/>
  <c r="Q101" i="28" s="1"/>
  <c r="Q41" i="24"/>
  <c r="Q42" i="8"/>
  <c r="Q42" i="28" s="1"/>
  <c r="Q94" i="28" s="1"/>
  <c r="Q38" i="8"/>
  <c r="Q38" i="28" s="1"/>
  <c r="Q90" i="28" s="1"/>
  <c r="Q29" i="8"/>
  <c r="Q29" i="28" s="1"/>
  <c r="Q81" i="28" s="1"/>
  <c r="Q20" i="8"/>
  <c r="Q20" i="28" s="1"/>
  <c r="Q72" i="28" s="1"/>
  <c r="Q47" i="8"/>
  <c r="Q47" i="28" s="1"/>
  <c r="Q99" i="28" s="1"/>
  <c r="Q21" i="8"/>
  <c r="Q21" i="28" s="1"/>
  <c r="Q73" i="28" s="1"/>
  <c r="Q5" i="8"/>
  <c r="Q25" i="8"/>
  <c r="Q25" i="28" s="1"/>
  <c r="Q77" i="28" s="1"/>
  <c r="Q23" i="8"/>
  <c r="Q23" i="28" s="1"/>
  <c r="Q75" i="28" s="1"/>
  <c r="Q27" i="8"/>
  <c r="Q27" i="28" s="1"/>
  <c r="Q79" i="28" s="1"/>
  <c r="M51" i="8"/>
  <c r="M51" i="28" s="1"/>
  <c r="M103" i="28" s="1"/>
  <c r="M10" i="8"/>
  <c r="M10" i="28" s="1"/>
  <c r="M62" i="28" s="1"/>
  <c r="AB42" i="7"/>
  <c r="M40" i="8"/>
  <c r="M40" i="28" s="1"/>
  <c r="M92" i="28" s="1"/>
  <c r="M41" i="8"/>
  <c r="M41" i="28" s="1"/>
  <c r="M93" i="28" s="1"/>
  <c r="M46" i="8"/>
  <c r="M46" i="28" s="1"/>
  <c r="M98" i="28" s="1"/>
  <c r="AB23" i="7"/>
  <c r="AB45" i="7"/>
  <c r="M15" i="24"/>
  <c r="M10" i="24"/>
  <c r="M24" i="8"/>
  <c r="M24" i="28" s="1"/>
  <c r="M76" i="28" s="1"/>
  <c r="M5" i="24"/>
  <c r="M25" i="24"/>
  <c r="M51" i="24"/>
  <c r="M12" i="24"/>
  <c r="M24" i="24"/>
  <c r="S36" i="29"/>
  <c r="S79" i="29" s="1"/>
  <c r="AA17" i="28"/>
  <c r="AA69" i="28" s="1"/>
  <c r="AD17" i="8"/>
  <c r="Q28" i="8"/>
  <c r="Q28" i="28" s="1"/>
  <c r="Q80" i="28" s="1"/>
  <c r="Q44" i="8"/>
  <c r="Q44" i="28" s="1"/>
  <c r="Q96" i="28" s="1"/>
  <c r="L22" i="28"/>
  <c r="L74" i="28" s="1"/>
  <c r="Q40" i="8"/>
  <c r="Q40" i="28" s="1"/>
  <c r="Q92" i="28" s="1"/>
  <c r="Q17" i="8"/>
  <c r="Q17" i="28" s="1"/>
  <c r="Q69" i="28" s="1"/>
  <c r="AD5" i="9"/>
  <c r="AD53" i="9" s="1"/>
  <c r="AC53" i="9"/>
  <c r="U15" i="12"/>
  <c r="U15" i="13"/>
  <c r="U15" i="25"/>
  <c r="U10" i="25"/>
  <c r="U10" i="13"/>
  <c r="U10" i="12"/>
  <c r="U11" i="25"/>
  <c r="U11" i="13"/>
  <c r="U11" i="12"/>
  <c r="U27" i="13"/>
  <c r="U27" i="25"/>
  <c r="U27" i="12"/>
  <c r="U5" i="13"/>
  <c r="U44" i="11"/>
  <c r="U5" i="12"/>
  <c r="U5" i="25"/>
  <c r="U38" i="25"/>
  <c r="U38" i="12"/>
  <c r="U38" i="13"/>
  <c r="U25" i="25"/>
  <c r="U25" i="13"/>
  <c r="U25" i="12"/>
  <c r="U33" i="13"/>
  <c r="U33" i="25"/>
  <c r="U33" i="12"/>
  <c r="U35" i="13"/>
  <c r="U35" i="12"/>
  <c r="U35" i="25"/>
  <c r="L8" i="28"/>
  <c r="L60" i="28" s="1"/>
  <c r="Q22" i="8"/>
  <c r="Q22" i="28" s="1"/>
  <c r="Q74" i="28" s="1"/>
  <c r="Q53" i="9"/>
  <c r="V14" i="9"/>
  <c r="V30" i="9"/>
  <c r="V46" i="9"/>
  <c r="V44" i="9"/>
  <c r="V21" i="9"/>
  <c r="V37" i="9"/>
  <c r="V48" i="9"/>
  <c r="V36" i="9"/>
  <c r="V5" i="9"/>
  <c r="V53" i="7"/>
  <c r="V58" i="7" s="1"/>
  <c r="V31" i="8" s="1"/>
  <c r="V24" i="9"/>
  <c r="V13" i="9"/>
  <c r="V34" i="9"/>
  <c r="P25" i="8"/>
  <c r="P25" i="28" s="1"/>
  <c r="P77" i="28" s="1"/>
  <c r="P9" i="8"/>
  <c r="P9" i="28" s="1"/>
  <c r="P61" i="28" s="1"/>
  <c r="P35" i="8"/>
  <c r="P35" i="28" s="1"/>
  <c r="P87" i="28" s="1"/>
  <c r="AE8" i="28"/>
  <c r="AE60" i="28" s="1"/>
  <c r="AC34" i="8"/>
  <c r="AC15" i="24"/>
  <c r="AD15" i="24" s="1"/>
  <c r="AE50" i="28"/>
  <c r="AE102" i="28" s="1"/>
  <c r="W6" i="8"/>
  <c r="V6" i="28" s="1"/>
  <c r="V58" i="28" s="1"/>
  <c r="AC12" i="24"/>
  <c r="AD12" i="24" s="1"/>
  <c r="AC6" i="8"/>
  <c r="AE21" i="28"/>
  <c r="AE73" i="28" s="1"/>
  <c r="AE35" i="28"/>
  <c r="AE87" i="28" s="1"/>
  <c r="AI50" i="24"/>
  <c r="AI47" i="24"/>
  <c r="AI44" i="24"/>
  <c r="AI30" i="24"/>
  <c r="AI6" i="24"/>
  <c r="AI10" i="24"/>
  <c r="AI49" i="24"/>
  <c r="AI28" i="24"/>
  <c r="AI26" i="24"/>
  <c r="AI43" i="24"/>
  <c r="AI14" i="24"/>
  <c r="AI39" i="24"/>
  <c r="AI41" i="24"/>
  <c r="AI7" i="24"/>
  <c r="AI19" i="8"/>
  <c r="AE19" i="28" s="1"/>
  <c r="AE71" i="28" s="1"/>
  <c r="AI15" i="8"/>
  <c r="AE15" i="28" s="1"/>
  <c r="AE67" i="28" s="1"/>
  <c r="AI18" i="8"/>
  <c r="AE18" i="28" s="1"/>
  <c r="AE70" i="28" s="1"/>
  <c r="AI7" i="8"/>
  <c r="AE7" i="28" s="1"/>
  <c r="AE59" i="28" s="1"/>
  <c r="AI28" i="8"/>
  <c r="AE28" i="28" s="1"/>
  <c r="AE80" i="28" s="1"/>
  <c r="AI20" i="8"/>
  <c r="AE20" i="28" s="1"/>
  <c r="AE72" i="28" s="1"/>
  <c r="AI47" i="8"/>
  <c r="AE47" i="28" s="1"/>
  <c r="AE99" i="28" s="1"/>
  <c r="AI20" i="24"/>
  <c r="AI49" i="8"/>
  <c r="AE49" i="28" s="1"/>
  <c r="AE101" i="28" s="1"/>
  <c r="AI13" i="24"/>
  <c r="AI31" i="24"/>
  <c r="AI25" i="24"/>
  <c r="AI37" i="24"/>
  <c r="AI16" i="24"/>
  <c r="AI31" i="8"/>
  <c r="AE31" i="28" s="1"/>
  <c r="AE83" i="28" s="1"/>
  <c r="AI27" i="8"/>
  <c r="AE27" i="28" s="1"/>
  <c r="AE79" i="28" s="1"/>
  <c r="AI45" i="8"/>
  <c r="AE45" i="28" s="1"/>
  <c r="AE97" i="28" s="1"/>
  <c r="AI22" i="8"/>
  <c r="AE22" i="28" s="1"/>
  <c r="AE74" i="28" s="1"/>
  <c r="AI23" i="8"/>
  <c r="AE23" i="28" s="1"/>
  <c r="AE75" i="28" s="1"/>
  <c r="AI14" i="8"/>
  <c r="AE14" i="28" s="1"/>
  <c r="AE66" i="28" s="1"/>
  <c r="AI26" i="8"/>
  <c r="AE26" i="28" s="1"/>
  <c r="AE78" i="28" s="1"/>
  <c r="AI34" i="8"/>
  <c r="AE34" i="28" s="1"/>
  <c r="AE86" i="28" s="1"/>
  <c r="AI22" i="24"/>
  <c r="AI27" i="24"/>
  <c r="AI45" i="24"/>
  <c r="AI36" i="24"/>
  <c r="AI15" i="24"/>
  <c r="AI38" i="24"/>
  <c r="AI18" i="24"/>
  <c r="AI9" i="24"/>
  <c r="AI42" i="24"/>
  <c r="AI34" i="24"/>
  <c r="AI43" i="8"/>
  <c r="AE43" i="28" s="1"/>
  <c r="AE95" i="28" s="1"/>
  <c r="AI36" i="8"/>
  <c r="AE36" i="28" s="1"/>
  <c r="AE88" i="28" s="1"/>
  <c r="AI33" i="8"/>
  <c r="AE33" i="28" s="1"/>
  <c r="AE85" i="28" s="1"/>
  <c r="AI6" i="8"/>
  <c r="AE6" i="28" s="1"/>
  <c r="AE58" i="28" s="1"/>
  <c r="AI51" i="8"/>
  <c r="AE51" i="28" s="1"/>
  <c r="AE103" i="28" s="1"/>
  <c r="AI19" i="24"/>
  <c r="AI23" i="24"/>
  <c r="AI51" i="24"/>
  <c r="AI44" i="8"/>
  <c r="AE44" i="28" s="1"/>
  <c r="AE96" i="28" s="1"/>
  <c r="AI25" i="8"/>
  <c r="AE25" i="28" s="1"/>
  <c r="AE77" i="28" s="1"/>
  <c r="AI40" i="8"/>
  <c r="AE40" i="28" s="1"/>
  <c r="AE92" i="28" s="1"/>
  <c r="AI41" i="8"/>
  <c r="AE41" i="28" s="1"/>
  <c r="AE93" i="28" s="1"/>
  <c r="AI33" i="24"/>
  <c r="AI11" i="24"/>
  <c r="AI17" i="24"/>
  <c r="AI38" i="8"/>
  <c r="AE38" i="28" s="1"/>
  <c r="AE90" i="28" s="1"/>
  <c r="AI42" i="8"/>
  <c r="AE42" i="28" s="1"/>
  <c r="AE94" i="28" s="1"/>
  <c r="AI9" i="8"/>
  <c r="AE9" i="28" s="1"/>
  <c r="AE61" i="28" s="1"/>
  <c r="AI13" i="8"/>
  <c r="AE13" i="28" s="1"/>
  <c r="AE65" i="28" s="1"/>
  <c r="AI16" i="8"/>
  <c r="AE16" i="28" s="1"/>
  <c r="AE68" i="28" s="1"/>
  <c r="AI35" i="24"/>
  <c r="AI30" i="8"/>
  <c r="AE30" i="28" s="1"/>
  <c r="AE82" i="28" s="1"/>
  <c r="AI17" i="8"/>
  <c r="AE17" i="28" s="1"/>
  <c r="AE69" i="28" s="1"/>
  <c r="AI10" i="8"/>
  <c r="AE10" i="28" s="1"/>
  <c r="AE62" i="28" s="1"/>
  <c r="AI37" i="8"/>
  <c r="AE37" i="28" s="1"/>
  <c r="AE89" i="28" s="1"/>
  <c r="AI8" i="24"/>
  <c r="AI11" i="8"/>
  <c r="AE11" i="28" s="1"/>
  <c r="AE63" i="28" s="1"/>
  <c r="AI39" i="8"/>
  <c r="AE39" i="28" s="1"/>
  <c r="AE91" i="28" s="1"/>
  <c r="AC37" i="8"/>
  <c r="L53" i="9"/>
  <c r="Q35" i="24"/>
  <c r="Q18" i="24"/>
  <c r="W29" i="8"/>
  <c r="V29" i="28" s="1"/>
  <c r="V81" i="28" s="1"/>
  <c r="W5" i="8"/>
  <c r="V29" i="25"/>
  <c r="V29" i="12"/>
  <c r="V29" i="13"/>
  <c r="V8" i="25"/>
  <c r="V8" i="12"/>
  <c r="V8" i="13"/>
  <c r="V38" i="25"/>
  <c r="V38" i="12"/>
  <c r="T38" i="29" s="1"/>
  <c r="T81" i="29" s="1"/>
  <c r="V38" i="13"/>
  <c r="V32" i="25"/>
  <c r="V32" i="12"/>
  <c r="V32" i="13"/>
  <c r="V26" i="25"/>
  <c r="V26" i="12"/>
  <c r="V26" i="13"/>
  <c r="V25" i="25"/>
  <c r="V25" i="12"/>
  <c r="V25" i="13"/>
  <c r="V28" i="25"/>
  <c r="V28" i="12"/>
  <c r="T28" i="29" s="1"/>
  <c r="T71" i="29" s="1"/>
  <c r="V28" i="13"/>
  <c r="V22" i="25"/>
  <c r="V22" i="12"/>
  <c r="V22" i="13"/>
  <c r="V6" i="25"/>
  <c r="V6" i="12"/>
  <c r="V6" i="13"/>
  <c r="P38" i="25"/>
  <c r="P38" i="12"/>
  <c r="P38" i="13"/>
  <c r="P38" i="29"/>
  <c r="P81" i="29" s="1"/>
  <c r="P27" i="25"/>
  <c r="P27" i="12"/>
  <c r="P27" i="13"/>
  <c r="P15" i="25"/>
  <c r="P15" i="12"/>
  <c r="P15" i="13"/>
  <c r="P41" i="13"/>
  <c r="P41" i="25"/>
  <c r="P41" i="12"/>
  <c r="P41" i="29" s="1"/>
  <c r="P84" i="29" s="1"/>
  <c r="P5" i="25"/>
  <c r="P5" i="12"/>
  <c r="P44" i="11"/>
  <c r="P5" i="13"/>
  <c r="P5" i="29" s="1"/>
  <c r="P48" i="29" s="1"/>
  <c r="P17" i="13"/>
  <c r="P17" i="25"/>
  <c r="P17" i="12"/>
  <c r="P10" i="25"/>
  <c r="P10" i="12"/>
  <c r="P10" i="13"/>
  <c r="P22" i="12"/>
  <c r="P22" i="29" s="1"/>
  <c r="P65" i="29" s="1"/>
  <c r="P22" i="25"/>
  <c r="P22" i="13"/>
  <c r="P36" i="13"/>
  <c r="P36" i="25"/>
  <c r="P36" i="12"/>
  <c r="P16" i="13"/>
  <c r="P16" i="25"/>
  <c r="P16" i="12"/>
  <c r="N28" i="13"/>
  <c r="N28" i="25"/>
  <c r="N28" i="12"/>
  <c r="N28" i="29" s="1"/>
  <c r="N71" i="29" s="1"/>
  <c r="N39" i="12"/>
  <c r="N39" i="13"/>
  <c r="N39" i="25"/>
  <c r="N35" i="12"/>
  <c r="N35" i="25"/>
  <c r="N35" i="13"/>
  <c r="N27" i="12"/>
  <c r="N27" i="25"/>
  <c r="N27" i="13"/>
  <c r="N16" i="13"/>
  <c r="N16" i="25"/>
  <c r="N16" i="12"/>
  <c r="N16" i="29" s="1"/>
  <c r="N59" i="29" s="1"/>
  <c r="N14" i="25"/>
  <c r="N14" i="12"/>
  <c r="N14" i="13"/>
  <c r="N41" i="25"/>
  <c r="N41" i="12"/>
  <c r="N41" i="13"/>
  <c r="N26" i="25"/>
  <c r="N26" i="12"/>
  <c r="N26" i="13"/>
  <c r="N15" i="25"/>
  <c r="N15" i="12"/>
  <c r="N15" i="13"/>
  <c r="M32" i="13"/>
  <c r="M32" i="29" s="1"/>
  <c r="M75" i="29" s="1"/>
  <c r="M32" i="25"/>
  <c r="M32" i="12"/>
  <c r="M13" i="12"/>
  <c r="M13" i="25"/>
  <c r="M13" i="13"/>
  <c r="M36" i="12"/>
  <c r="M36" i="13"/>
  <c r="M36" i="25"/>
  <c r="M31" i="25"/>
  <c r="M31" i="13"/>
  <c r="M31" i="12"/>
  <c r="M23" i="13"/>
  <c r="M23" i="29" s="1"/>
  <c r="M66" i="29" s="1"/>
  <c r="M23" i="25"/>
  <c r="M23" i="12"/>
  <c r="M16" i="12"/>
  <c r="M16" i="13"/>
  <c r="M16" i="25"/>
  <c r="M19" i="13"/>
  <c r="M19" i="12"/>
  <c r="M19" i="25"/>
  <c r="M21" i="13"/>
  <c r="M21" i="25"/>
  <c r="M21" i="12"/>
  <c r="M18" i="13"/>
  <c r="M18" i="29" s="1"/>
  <c r="M61" i="29" s="1"/>
  <c r="M18" i="25"/>
  <c r="M18" i="12"/>
  <c r="M35" i="12"/>
  <c r="M35" i="13"/>
  <c r="M35" i="25"/>
  <c r="O32" i="25"/>
  <c r="O32" i="13"/>
  <c r="O32" i="29" s="1"/>
  <c r="O75" i="29" s="1"/>
  <c r="O32" i="12"/>
  <c r="O26" i="25"/>
  <c r="O26" i="12"/>
  <c r="O26" i="13"/>
  <c r="O11" i="25"/>
  <c r="O11" i="12"/>
  <c r="O11" i="13"/>
  <c r="O38" i="12"/>
  <c r="O38" i="13"/>
  <c r="O38" i="25"/>
  <c r="O31" i="12"/>
  <c r="O31" i="25"/>
  <c r="O31" i="13"/>
  <c r="O42" i="25"/>
  <c r="O42" i="12"/>
  <c r="O42" i="13"/>
  <c r="O19" i="13"/>
  <c r="O19" i="29" s="1"/>
  <c r="O62" i="29" s="1"/>
  <c r="O19" i="25"/>
  <c r="O19" i="12"/>
  <c r="O33" i="12"/>
  <c r="O33" i="13"/>
  <c r="O33" i="25"/>
  <c r="O27" i="25"/>
  <c r="O27" i="12"/>
  <c r="O27" i="13"/>
  <c r="O25" i="12"/>
  <c r="O25" i="13"/>
  <c r="O25" i="25"/>
  <c r="T20" i="12"/>
  <c r="T20" i="25"/>
  <c r="W20" i="11"/>
  <c r="T20" i="13"/>
  <c r="T9" i="12"/>
  <c r="T9" i="25"/>
  <c r="W9" i="11"/>
  <c r="T9" i="13"/>
  <c r="T40" i="13"/>
  <c r="T40" i="12"/>
  <c r="W40" i="11"/>
  <c r="T40" i="25"/>
  <c r="T14" i="13"/>
  <c r="T14" i="12"/>
  <c r="T14" i="25"/>
  <c r="W14" i="11"/>
  <c r="T31" i="13"/>
  <c r="T31" i="12"/>
  <c r="T31" i="25"/>
  <c r="W31" i="11"/>
  <c r="T21" i="13"/>
  <c r="T21" i="12"/>
  <c r="T21" i="25"/>
  <c r="W21" i="11"/>
  <c r="W8" i="11"/>
  <c r="T8" i="13"/>
  <c r="T8" i="25"/>
  <c r="T8" i="12"/>
  <c r="T36" i="25"/>
  <c r="T36" i="13"/>
  <c r="T36" i="12"/>
  <c r="W36" i="11"/>
  <c r="T7" i="25"/>
  <c r="W7" i="11"/>
  <c r="T7" i="13"/>
  <c r="T7" i="12"/>
  <c r="V19" i="13"/>
  <c r="V19" i="25"/>
  <c r="V19" i="12"/>
  <c r="V18" i="13"/>
  <c r="V18" i="25"/>
  <c r="V18" i="12"/>
  <c r="V12" i="12"/>
  <c r="V12" i="25"/>
  <c r="V12" i="13"/>
  <c r="V10" i="12"/>
  <c r="V10" i="25"/>
  <c r="V10" i="13"/>
  <c r="V17" i="12"/>
  <c r="V17" i="25"/>
  <c r="V17" i="13"/>
  <c r="V21" i="12"/>
  <c r="V21" i="25"/>
  <c r="V21" i="13"/>
  <c r="V9" i="12"/>
  <c r="V9" i="25"/>
  <c r="V9" i="13"/>
  <c r="V34" i="25"/>
  <c r="V34" i="12"/>
  <c r="V34" i="13"/>
  <c r="V16" i="25"/>
  <c r="V16" i="12"/>
  <c r="V16" i="13"/>
  <c r="P39" i="25"/>
  <c r="P39" i="12"/>
  <c r="P39" i="13"/>
  <c r="P37" i="13"/>
  <c r="P37" i="29" s="1"/>
  <c r="P80" i="29" s="1"/>
  <c r="P37" i="25"/>
  <c r="P37" i="12"/>
  <c r="P29" i="13"/>
  <c r="P29" i="25"/>
  <c r="P29" i="12"/>
  <c r="P31" i="25"/>
  <c r="P31" i="12"/>
  <c r="P31" i="13"/>
  <c r="P24" i="12"/>
  <c r="P24" i="25"/>
  <c r="P24" i="13"/>
  <c r="P14" i="25"/>
  <c r="P14" i="12"/>
  <c r="P14" i="13"/>
  <c r="P18" i="13"/>
  <c r="P18" i="25"/>
  <c r="P18" i="12"/>
  <c r="P34" i="25"/>
  <c r="P34" i="12"/>
  <c r="P34" i="13"/>
  <c r="P42" i="25"/>
  <c r="P42" i="12"/>
  <c r="P42" i="13"/>
  <c r="P25" i="13"/>
  <c r="P25" i="12"/>
  <c r="P25" i="25"/>
  <c r="N33" i="12"/>
  <c r="N33" i="13"/>
  <c r="N33" i="25"/>
  <c r="N22" i="12"/>
  <c r="N22" i="13"/>
  <c r="N22" i="25"/>
  <c r="N19" i="13"/>
  <c r="N19" i="25"/>
  <c r="N19" i="12"/>
  <c r="N34" i="13"/>
  <c r="N34" i="25"/>
  <c r="N34" i="12"/>
  <c r="N11" i="13"/>
  <c r="N11" i="25"/>
  <c r="N11" i="12"/>
  <c r="N38" i="12"/>
  <c r="N38" i="13"/>
  <c r="N38" i="25"/>
  <c r="N6" i="12"/>
  <c r="N6" i="13"/>
  <c r="N6" i="25"/>
  <c r="N18" i="25"/>
  <c r="N18" i="12"/>
  <c r="N18" i="13"/>
  <c r="N25" i="25"/>
  <c r="N25" i="12"/>
  <c r="N25" i="13"/>
  <c r="M28" i="25"/>
  <c r="M28" i="12"/>
  <c r="M28" i="13"/>
  <c r="M40" i="12"/>
  <c r="M40" i="25"/>
  <c r="M40" i="13"/>
  <c r="M40" i="29" s="1"/>
  <c r="M83" i="29" s="1"/>
  <c r="M7" i="12"/>
  <c r="M7" i="25"/>
  <c r="M7" i="13"/>
  <c r="M10" i="12"/>
  <c r="M10" i="25"/>
  <c r="M10" i="13"/>
  <c r="M10" i="29" s="1"/>
  <c r="M53" i="29" s="1"/>
  <c r="M38" i="12"/>
  <c r="M38" i="13"/>
  <c r="M38" i="25"/>
  <c r="M37" i="12"/>
  <c r="M37" i="25"/>
  <c r="M37" i="13"/>
  <c r="M37" i="29" s="1"/>
  <c r="M80" i="29" s="1"/>
  <c r="M34" i="12"/>
  <c r="M34" i="13"/>
  <c r="M34" i="25"/>
  <c r="M14" i="12"/>
  <c r="M14" i="13"/>
  <c r="M14" i="29" s="1"/>
  <c r="M57" i="29" s="1"/>
  <c r="M14" i="25"/>
  <c r="M25" i="12"/>
  <c r="M25" i="25"/>
  <c r="M25" i="13"/>
  <c r="M15" i="13"/>
  <c r="M15" i="25"/>
  <c r="M15" i="12"/>
  <c r="M15" i="29" s="1"/>
  <c r="M58" i="29" s="1"/>
  <c r="O28" i="25"/>
  <c r="O28" i="12"/>
  <c r="O28" i="13"/>
  <c r="O28" i="29"/>
  <c r="O71" i="29" s="1"/>
  <c r="O12" i="25"/>
  <c r="O12" i="13"/>
  <c r="O12" i="12"/>
  <c r="O12" i="29" s="1"/>
  <c r="O55" i="29" s="1"/>
  <c r="O35" i="12"/>
  <c r="O35" i="13"/>
  <c r="O35" i="25"/>
  <c r="O29" i="25"/>
  <c r="O29" i="12"/>
  <c r="O29" i="13"/>
  <c r="O18" i="13"/>
  <c r="O18" i="25"/>
  <c r="O18" i="12"/>
  <c r="O40" i="25"/>
  <c r="O40" i="12"/>
  <c r="O40" i="13"/>
  <c r="O24" i="12"/>
  <c r="O24" i="13"/>
  <c r="O24" i="25"/>
  <c r="O5" i="25"/>
  <c r="O5" i="12"/>
  <c r="O44" i="11"/>
  <c r="O5" i="13"/>
  <c r="O15" i="12"/>
  <c r="O15" i="25"/>
  <c r="O15" i="13"/>
  <c r="W28" i="11"/>
  <c r="T28" i="13"/>
  <c r="T28" i="25"/>
  <c r="T28" i="12"/>
  <c r="W26" i="11"/>
  <c r="T26" i="13"/>
  <c r="W26" i="13" s="1"/>
  <c r="T26" i="25"/>
  <c r="T26" i="12"/>
  <c r="T19" i="12"/>
  <c r="W19" i="11"/>
  <c r="T19" i="13"/>
  <c r="W19" i="13" s="1"/>
  <c r="T19" i="25"/>
  <c r="T41" i="25"/>
  <c r="W41" i="11"/>
  <c r="T41" i="13"/>
  <c r="T41" i="12"/>
  <c r="T17" i="25"/>
  <c r="W17" i="25" s="1"/>
  <c r="W17" i="11"/>
  <c r="T17" i="13"/>
  <c r="T17" i="12"/>
  <c r="T24" i="25"/>
  <c r="T24" i="12"/>
  <c r="W24" i="11"/>
  <c r="T24" i="13"/>
  <c r="T38" i="25"/>
  <c r="T38" i="12"/>
  <c r="W38" i="11"/>
  <c r="T38" i="13"/>
  <c r="W38" i="13" s="1"/>
  <c r="T29" i="25"/>
  <c r="T29" i="12"/>
  <c r="W29" i="11"/>
  <c r="T29" i="13"/>
  <c r="T42" i="25"/>
  <c r="T42" i="12"/>
  <c r="W42" i="11"/>
  <c r="T42" i="13"/>
  <c r="T15" i="25"/>
  <c r="T15" i="12"/>
  <c r="W15" i="11"/>
  <c r="T15" i="13"/>
  <c r="V31" i="12"/>
  <c r="V31" i="13"/>
  <c r="V31" i="25"/>
  <c r="V30" i="12"/>
  <c r="V30" i="13"/>
  <c r="V30" i="25"/>
  <c r="V5" i="12"/>
  <c r="V44" i="11"/>
  <c r="V5" i="25"/>
  <c r="V5" i="13"/>
  <c r="V13" i="25"/>
  <c r="V13" i="12"/>
  <c r="V13" i="13"/>
  <c r="V20" i="25"/>
  <c r="V20" i="12"/>
  <c r="V20" i="13"/>
  <c r="V23" i="25"/>
  <c r="V23" i="12"/>
  <c r="V23" i="13"/>
  <c r="V40" i="25"/>
  <c r="V40" i="12"/>
  <c r="V40" i="13"/>
  <c r="V37" i="12"/>
  <c r="V37" i="13"/>
  <c r="V37" i="25"/>
  <c r="V35" i="12"/>
  <c r="V35" i="13"/>
  <c r="V35" i="25"/>
  <c r="V36" i="12"/>
  <c r="V36" i="13"/>
  <c r="V36" i="25"/>
  <c r="P26" i="13"/>
  <c r="P26" i="25"/>
  <c r="P26" i="12"/>
  <c r="P20" i="12"/>
  <c r="P20" i="25"/>
  <c r="P20" i="13"/>
  <c r="P7" i="12"/>
  <c r="P7" i="25"/>
  <c r="P7" i="13"/>
  <c r="P28" i="12"/>
  <c r="P28" i="25"/>
  <c r="P28" i="13"/>
  <c r="P21" i="12"/>
  <c r="P21" i="25"/>
  <c r="P21" i="13"/>
  <c r="P12" i="12"/>
  <c r="P12" i="13"/>
  <c r="P12" i="25"/>
  <c r="P35" i="12"/>
  <c r="P35" i="29" s="1"/>
  <c r="P78" i="29" s="1"/>
  <c r="P35" i="25"/>
  <c r="P35" i="13"/>
  <c r="P40" i="13"/>
  <c r="P40" i="25"/>
  <c r="P40" i="12"/>
  <c r="P23" i="13"/>
  <c r="P23" i="25"/>
  <c r="P23" i="12"/>
  <c r="N21" i="25"/>
  <c r="N21" i="12"/>
  <c r="N21" i="13"/>
  <c r="N20" i="25"/>
  <c r="N20" i="13"/>
  <c r="N20" i="12"/>
  <c r="N10" i="25"/>
  <c r="N10" i="13"/>
  <c r="N10" i="12"/>
  <c r="N31" i="25"/>
  <c r="N31" i="12"/>
  <c r="N31" i="13"/>
  <c r="N23" i="25"/>
  <c r="N23" i="12"/>
  <c r="N23" i="13"/>
  <c r="N37" i="25"/>
  <c r="N37" i="12"/>
  <c r="N37" i="13"/>
  <c r="N13" i="25"/>
  <c r="N13" i="12"/>
  <c r="N13" i="13"/>
  <c r="N5" i="25"/>
  <c r="N44" i="11"/>
  <c r="N5" i="13"/>
  <c r="N5" i="12"/>
  <c r="N40" i="13"/>
  <c r="N40" i="25"/>
  <c r="N40" i="12"/>
  <c r="N8" i="25"/>
  <c r="N8" i="12"/>
  <c r="N8" i="13"/>
  <c r="M17" i="25"/>
  <c r="M17" i="12"/>
  <c r="M17" i="13"/>
  <c r="M12" i="25"/>
  <c r="M12" i="12"/>
  <c r="M12" i="13"/>
  <c r="M24" i="25"/>
  <c r="M24" i="12"/>
  <c r="M24" i="13"/>
  <c r="M20" i="13"/>
  <c r="M20" i="25"/>
  <c r="M20" i="12"/>
  <c r="M27" i="25"/>
  <c r="M27" i="12"/>
  <c r="M27" i="13"/>
  <c r="M33" i="25"/>
  <c r="M33" i="12"/>
  <c r="M33" i="13"/>
  <c r="M33" i="29"/>
  <c r="M76" i="29" s="1"/>
  <c r="M22" i="12"/>
  <c r="M22" i="13"/>
  <c r="M22" i="25"/>
  <c r="M30" i="13"/>
  <c r="M30" i="25"/>
  <c r="M30" i="12"/>
  <c r="M41" i="13"/>
  <c r="M41" i="25"/>
  <c r="M41" i="12"/>
  <c r="O30" i="25"/>
  <c r="O30" i="12"/>
  <c r="O30" i="13"/>
  <c r="O6" i="12"/>
  <c r="O6" i="13"/>
  <c r="O6" i="25"/>
  <c r="O17" i="25"/>
  <c r="O17" i="12"/>
  <c r="O17" i="13"/>
  <c r="O9" i="13"/>
  <c r="O9" i="25"/>
  <c r="O9" i="12"/>
  <c r="O14" i="25"/>
  <c r="O14" i="12"/>
  <c r="O14" i="13"/>
  <c r="O34" i="25"/>
  <c r="O34" i="12"/>
  <c r="O34" i="13"/>
  <c r="O13" i="12"/>
  <c r="O13" i="13"/>
  <c r="O13" i="25"/>
  <c r="O39" i="12"/>
  <c r="O39" i="13"/>
  <c r="O39" i="25"/>
  <c r="O16" i="25"/>
  <c r="O16" i="12"/>
  <c r="O16" i="13"/>
  <c r="T34" i="25"/>
  <c r="T34" i="13"/>
  <c r="W34" i="13" s="1"/>
  <c r="T34" i="12"/>
  <c r="W34" i="11"/>
  <c r="T35" i="25"/>
  <c r="W35" i="11"/>
  <c r="T35" i="12"/>
  <c r="T35" i="13"/>
  <c r="W35" i="13" s="1"/>
  <c r="T16" i="25"/>
  <c r="W16" i="25" s="1"/>
  <c r="T16" i="13"/>
  <c r="T16" i="12"/>
  <c r="W16" i="11"/>
  <c r="T39" i="25"/>
  <c r="W39" i="25" s="1"/>
  <c r="T39" i="13"/>
  <c r="T39" i="12"/>
  <c r="W39" i="11"/>
  <c r="W11" i="11"/>
  <c r="T11" i="25"/>
  <c r="T11" i="13"/>
  <c r="T11" i="12"/>
  <c r="T25" i="12"/>
  <c r="T25" i="25"/>
  <c r="W25" i="11"/>
  <c r="T25" i="13"/>
  <c r="W5" i="11"/>
  <c r="T5" i="25"/>
  <c r="T5" i="12"/>
  <c r="T5" i="13"/>
  <c r="T44" i="11"/>
  <c r="T12" i="12"/>
  <c r="W12" i="11"/>
  <c r="T12" i="25"/>
  <c r="W12" i="25" s="1"/>
  <c r="T12" i="13"/>
  <c r="W12" i="13" s="1"/>
  <c r="T32" i="12"/>
  <c r="W32" i="11"/>
  <c r="T32" i="25"/>
  <c r="T32" i="13"/>
  <c r="T10" i="12"/>
  <c r="W10" i="11"/>
  <c r="T10" i="25"/>
  <c r="T10" i="13"/>
  <c r="V27" i="25"/>
  <c r="V27" i="13"/>
  <c r="V27" i="12"/>
  <c r="V33" i="25"/>
  <c r="V33" i="13"/>
  <c r="V33" i="12"/>
  <c r="V15" i="12"/>
  <c r="V15" i="13"/>
  <c r="V15" i="25"/>
  <c r="V24" i="12"/>
  <c r="V24" i="13"/>
  <c r="V24" i="25"/>
  <c r="V7" i="12"/>
  <c r="V7" i="13"/>
  <c r="V7" i="25"/>
  <c r="V39" i="12"/>
  <c r="V39" i="13"/>
  <c r="V39" i="25"/>
  <c r="V14" i="12"/>
  <c r="V14" i="13"/>
  <c r="V14" i="25"/>
  <c r="V42" i="12"/>
  <c r="V42" i="25"/>
  <c r="V42" i="13"/>
  <c r="V41" i="12"/>
  <c r="V41" i="25"/>
  <c r="V41" i="13"/>
  <c r="V11" i="12"/>
  <c r="T11" i="29" s="1"/>
  <c r="T54" i="29" s="1"/>
  <c r="V11" i="25"/>
  <c r="V11" i="13"/>
  <c r="P32" i="13"/>
  <c r="P32" i="25"/>
  <c r="P32" i="12"/>
  <c r="P33" i="13"/>
  <c r="P33" i="25"/>
  <c r="P33" i="12"/>
  <c r="P8" i="13"/>
  <c r="P8" i="25"/>
  <c r="P8" i="12"/>
  <c r="P13" i="13"/>
  <c r="P13" i="29" s="1"/>
  <c r="P56" i="29" s="1"/>
  <c r="P13" i="25"/>
  <c r="P13" i="12"/>
  <c r="P19" i="25"/>
  <c r="P19" i="12"/>
  <c r="P19" i="13"/>
  <c r="P9" i="25"/>
  <c r="P9" i="12"/>
  <c r="P9" i="13"/>
  <c r="P6" i="13"/>
  <c r="P6" i="25"/>
  <c r="P6" i="12"/>
  <c r="P30" i="12"/>
  <c r="P30" i="29" s="1"/>
  <c r="P73" i="29" s="1"/>
  <c r="P30" i="25"/>
  <c r="P30" i="13"/>
  <c r="P11" i="13"/>
  <c r="P11" i="25"/>
  <c r="P11" i="12"/>
  <c r="N32" i="25"/>
  <c r="N32" i="12"/>
  <c r="N32" i="13"/>
  <c r="N12" i="25"/>
  <c r="N12" i="12"/>
  <c r="N12" i="13"/>
  <c r="N9" i="25"/>
  <c r="N9" i="12"/>
  <c r="N9" i="13"/>
  <c r="N17" i="13"/>
  <c r="N17" i="25"/>
  <c r="N17" i="12"/>
  <c r="N17" i="29" s="1"/>
  <c r="N60" i="29" s="1"/>
  <c r="N24" i="13"/>
  <c r="N24" i="25"/>
  <c r="N24" i="12"/>
  <c r="N42" i="12"/>
  <c r="N42" i="25"/>
  <c r="N42" i="13"/>
  <c r="N36" i="12"/>
  <c r="N36" i="25"/>
  <c r="N36" i="13"/>
  <c r="N30" i="12"/>
  <c r="N30" i="13"/>
  <c r="N30" i="25"/>
  <c r="N29" i="12"/>
  <c r="N29" i="13"/>
  <c r="N29" i="25"/>
  <c r="N7" i="12"/>
  <c r="N7" i="13"/>
  <c r="N7" i="25"/>
  <c r="M42" i="25"/>
  <c r="M42" i="12"/>
  <c r="M42" i="13"/>
  <c r="M29" i="25"/>
  <c r="M29" i="12"/>
  <c r="M29" i="13"/>
  <c r="M26" i="12"/>
  <c r="M26" i="29" s="1"/>
  <c r="M69" i="29" s="1"/>
  <c r="M26" i="13"/>
  <c r="M26" i="25"/>
  <c r="M44" i="11"/>
  <c r="M5" i="25"/>
  <c r="M5" i="13"/>
  <c r="M5" i="12"/>
  <c r="M5" i="29" s="1"/>
  <c r="M48" i="29" s="1"/>
  <c r="M6" i="25"/>
  <c r="M6" i="13"/>
  <c r="M6" i="12"/>
  <c r="M6" i="29" s="1"/>
  <c r="M49" i="29" s="1"/>
  <c r="M9" i="13"/>
  <c r="M9" i="25"/>
  <c r="M9" i="12"/>
  <c r="M39" i="25"/>
  <c r="M39" i="13"/>
  <c r="M39" i="12"/>
  <c r="M39" i="29" s="1"/>
  <c r="M82" i="29" s="1"/>
  <c r="M8" i="25"/>
  <c r="M8" i="12"/>
  <c r="M8" i="13"/>
  <c r="M11" i="25"/>
  <c r="M11" i="12"/>
  <c r="M11" i="13"/>
  <c r="O8" i="25"/>
  <c r="O8" i="12"/>
  <c r="O8" i="13"/>
  <c r="O22" i="25"/>
  <c r="O22" i="12"/>
  <c r="O22" i="13"/>
  <c r="O37" i="12"/>
  <c r="O37" i="25"/>
  <c r="O37" i="13"/>
  <c r="O36" i="13"/>
  <c r="O36" i="25"/>
  <c r="O36" i="12"/>
  <c r="O21" i="25"/>
  <c r="O21" i="12"/>
  <c r="O21" i="29" s="1"/>
  <c r="O64" i="29" s="1"/>
  <c r="O21" i="13"/>
  <c r="O7" i="25"/>
  <c r="O7" i="13"/>
  <c r="O7" i="12"/>
  <c r="O7" i="29" s="1"/>
  <c r="O50" i="29" s="1"/>
  <c r="O23" i="12"/>
  <c r="O23" i="13"/>
  <c r="O23" i="25"/>
  <c r="O10" i="12"/>
  <c r="O10" i="13"/>
  <c r="O10" i="25"/>
  <c r="O41" i="12"/>
  <c r="O41" i="13"/>
  <c r="O41" i="25"/>
  <c r="O20" i="13"/>
  <c r="O20" i="12"/>
  <c r="O20" i="25"/>
  <c r="T30" i="13"/>
  <c r="T30" i="25"/>
  <c r="T30" i="12"/>
  <c r="W30" i="11"/>
  <c r="T33" i="25"/>
  <c r="T33" i="12"/>
  <c r="W33" i="11"/>
  <c r="T33" i="13"/>
  <c r="T18" i="25"/>
  <c r="T18" i="12"/>
  <c r="W18" i="11"/>
  <c r="T18" i="13"/>
  <c r="T37" i="13"/>
  <c r="T37" i="25"/>
  <c r="T37" i="12"/>
  <c r="W37" i="11"/>
  <c r="T6" i="25"/>
  <c r="W6" i="25" s="1"/>
  <c r="T6" i="12"/>
  <c r="W6" i="11"/>
  <c r="T6" i="13"/>
  <c r="W23" i="11"/>
  <c r="T23" i="13"/>
  <c r="T23" i="25"/>
  <c r="W23" i="25" s="1"/>
  <c r="T23" i="12"/>
  <c r="T13" i="12"/>
  <c r="W13" i="11"/>
  <c r="T13" i="25"/>
  <c r="W13" i="25" s="1"/>
  <c r="T13" i="13"/>
  <c r="W27" i="11"/>
  <c r="T27" i="13"/>
  <c r="W27" i="13" s="1"/>
  <c r="T27" i="25"/>
  <c r="T27" i="12"/>
  <c r="W22" i="11"/>
  <c r="T22" i="13"/>
  <c r="W22" i="13" s="1"/>
  <c r="T22" i="25"/>
  <c r="T22" i="12"/>
  <c r="F29" i="5"/>
  <c r="AM56" i="24" s="1"/>
  <c r="E42" i="5"/>
  <c r="X46" i="25" s="1"/>
  <c r="E21" i="5"/>
  <c r="AE55" i="24" s="1"/>
  <c r="AO54" i="24" s="1"/>
  <c r="L9" i="31"/>
  <c r="L15" i="31" s="1"/>
  <c r="G11" i="31"/>
  <c r="E14" i="30"/>
  <c r="E15" i="30"/>
  <c r="J15" i="30"/>
  <c r="J14" i="30"/>
  <c r="L7" i="31"/>
  <c r="L13" i="31" s="1"/>
  <c r="L11" i="31"/>
  <c r="G9" i="31"/>
  <c r="M15" i="30"/>
  <c r="M14" i="30"/>
  <c r="G7" i="31"/>
  <c r="G13" i="31" s="1"/>
  <c r="T14" i="30"/>
  <c r="T15" i="30"/>
  <c r="L5" i="25"/>
  <c r="L19" i="25"/>
  <c r="Q19" i="25" s="1"/>
  <c r="L32" i="25"/>
  <c r="Q32" i="25" s="1"/>
  <c r="L26" i="25"/>
  <c r="L39" i="25"/>
  <c r="L37" i="25"/>
  <c r="L35" i="25"/>
  <c r="Q35" i="25" s="1"/>
  <c r="L33" i="25"/>
  <c r="Q33" i="25" s="1"/>
  <c r="L7" i="25"/>
  <c r="L8" i="25"/>
  <c r="L15" i="25"/>
  <c r="L42" i="25"/>
  <c r="L6" i="25"/>
  <c r="L36" i="25"/>
  <c r="L29" i="25"/>
  <c r="Q29" i="25" s="1"/>
  <c r="L27" i="25"/>
  <c r="L41" i="25"/>
  <c r="L24" i="25"/>
  <c r="Q24" i="25" s="1"/>
  <c r="L17" i="25"/>
  <c r="Q17" i="25" s="1"/>
  <c r="L20" i="25"/>
  <c r="L12" i="25"/>
  <c r="L9" i="25"/>
  <c r="L10" i="25"/>
  <c r="L13" i="25"/>
  <c r="L28" i="25"/>
  <c r="L22" i="25"/>
  <c r="L40" i="25"/>
  <c r="Q40" i="25" s="1"/>
  <c r="L18" i="25"/>
  <c r="L31" i="25"/>
  <c r="L30" i="25"/>
  <c r="L14" i="25"/>
  <c r="Q14" i="25" s="1"/>
  <c r="L25" i="25"/>
  <c r="Q25" i="25" s="1"/>
  <c r="L38" i="25"/>
  <c r="L21" i="25"/>
  <c r="L34" i="25"/>
  <c r="L23" i="25"/>
  <c r="L11" i="25"/>
  <c r="L16" i="25"/>
  <c r="AQ11" i="24"/>
  <c r="Q46" i="13"/>
  <c r="Q46" i="12"/>
  <c r="Q46" i="11"/>
  <c r="Q46" i="10"/>
  <c r="Q36" i="11"/>
  <c r="AB36" i="11" s="1"/>
  <c r="L36" i="12"/>
  <c r="L36" i="13"/>
  <c r="Q29" i="11"/>
  <c r="L29" i="12"/>
  <c r="L29" i="13"/>
  <c r="Q29" i="13" s="1"/>
  <c r="Q27" i="11"/>
  <c r="AB27" i="11" s="1"/>
  <c r="L27" i="12"/>
  <c r="L27" i="13"/>
  <c r="L41" i="12"/>
  <c r="L41" i="13"/>
  <c r="Q41" i="11"/>
  <c r="Q24" i="11"/>
  <c r="AB24" i="11" s="1"/>
  <c r="L24" i="12"/>
  <c r="L24" i="13"/>
  <c r="Q17" i="11"/>
  <c r="L17" i="12"/>
  <c r="L17" i="13"/>
  <c r="Q17" i="13" s="1"/>
  <c r="Q20" i="11"/>
  <c r="AB20" i="11" s="1"/>
  <c r="L20" i="12"/>
  <c r="L20" i="13"/>
  <c r="Q12" i="11"/>
  <c r="L12" i="12"/>
  <c r="Q12" i="12" s="1"/>
  <c r="L12" i="13"/>
  <c r="Q9" i="11"/>
  <c r="L9" i="12"/>
  <c r="L9" i="13"/>
  <c r="Q10" i="11"/>
  <c r="L10" i="12"/>
  <c r="Q10" i="12" s="1"/>
  <c r="L10" i="13"/>
  <c r="T57" i="6"/>
  <c r="T55" i="9"/>
  <c r="T55" i="7"/>
  <c r="T55" i="8"/>
  <c r="Q31" i="11"/>
  <c r="AB31" i="11" s="1"/>
  <c r="L31" i="12"/>
  <c r="Q31" i="12" s="1"/>
  <c r="L31" i="13"/>
  <c r="Q30" i="11"/>
  <c r="L30" i="12"/>
  <c r="L30" i="13"/>
  <c r="Q14" i="11"/>
  <c r="AB14" i="11" s="1"/>
  <c r="L14" i="12"/>
  <c r="Q14" i="12" s="1"/>
  <c r="L14" i="13"/>
  <c r="Q14" i="13" s="1"/>
  <c r="Q25" i="11"/>
  <c r="L25" i="12"/>
  <c r="L25" i="13"/>
  <c r="Q38" i="11"/>
  <c r="AB38" i="11" s="1"/>
  <c r="L38" i="12"/>
  <c r="Q38" i="12" s="1"/>
  <c r="L38" i="13"/>
  <c r="Q21" i="11"/>
  <c r="L21" i="12"/>
  <c r="L21" i="13"/>
  <c r="Q34" i="11"/>
  <c r="AB34" i="11" s="1"/>
  <c r="L34" i="12"/>
  <c r="Q34" i="12" s="1"/>
  <c r="L34" i="13"/>
  <c r="Q23" i="11"/>
  <c r="L23" i="12"/>
  <c r="L23" i="13"/>
  <c r="Q11" i="11"/>
  <c r="AB11" i="11" s="1"/>
  <c r="L11" i="12"/>
  <c r="Q11" i="12" s="1"/>
  <c r="L11" i="13"/>
  <c r="Q16" i="11"/>
  <c r="L16" i="12"/>
  <c r="L16" i="13"/>
  <c r="Q16" i="13" s="1"/>
  <c r="AM56" i="6"/>
  <c r="AM54" i="9"/>
  <c r="AM54" i="7"/>
  <c r="Q15" i="11"/>
  <c r="L15" i="12"/>
  <c r="L15" i="13"/>
  <c r="Q13" i="11"/>
  <c r="L13" i="12"/>
  <c r="L13" i="13"/>
  <c r="Q13" i="13" s="1"/>
  <c r="Q42" i="11"/>
  <c r="L42" i="12"/>
  <c r="L42" i="13"/>
  <c r="Q28" i="11"/>
  <c r="AB28" i="11" s="1"/>
  <c r="L28" i="12"/>
  <c r="Q28" i="12" s="1"/>
  <c r="L28" i="13"/>
  <c r="Q22" i="11"/>
  <c r="L22" i="12"/>
  <c r="L22" i="13"/>
  <c r="Q40" i="11"/>
  <c r="L40" i="12"/>
  <c r="L40" i="13"/>
  <c r="Q40" i="13" s="1"/>
  <c r="Q18" i="11"/>
  <c r="L18" i="12"/>
  <c r="L18" i="13"/>
  <c r="Q18" i="13" s="1"/>
  <c r="Q5" i="11"/>
  <c r="L5" i="12"/>
  <c r="L44" i="11"/>
  <c r="L5" i="13"/>
  <c r="Q6" i="11"/>
  <c r="L6" i="12"/>
  <c r="L6" i="13"/>
  <c r="T58" i="6"/>
  <c r="T56" i="9"/>
  <c r="T56" i="7"/>
  <c r="T56" i="8"/>
  <c r="F46" i="5"/>
  <c r="AB47" i="25" s="1"/>
  <c r="Q47" i="13"/>
  <c r="Q47" i="12"/>
  <c r="Q47" i="11"/>
  <c r="Q47" i="10"/>
  <c r="Q19" i="11"/>
  <c r="L19" i="12"/>
  <c r="L19" i="13"/>
  <c r="Q32" i="11"/>
  <c r="AB32" i="11" s="1"/>
  <c r="L32" i="12"/>
  <c r="L32" i="13"/>
  <c r="Q26" i="11"/>
  <c r="L26" i="12"/>
  <c r="L26" i="13"/>
  <c r="Q39" i="11"/>
  <c r="AB39" i="11" s="1"/>
  <c r="L39" i="12"/>
  <c r="L39" i="13"/>
  <c r="Q39" i="13" s="1"/>
  <c r="Q37" i="11"/>
  <c r="L37" i="12"/>
  <c r="L37" i="13"/>
  <c r="Q37" i="13" s="1"/>
  <c r="Q35" i="11"/>
  <c r="L35" i="12"/>
  <c r="L35" i="13"/>
  <c r="Q35" i="13" s="1"/>
  <c r="Q33" i="11"/>
  <c r="L33" i="12"/>
  <c r="L33" i="13"/>
  <c r="Q7" i="11"/>
  <c r="AB7" i="11" s="1"/>
  <c r="L7" i="12"/>
  <c r="L7" i="13"/>
  <c r="Q8" i="11"/>
  <c r="L8" i="12"/>
  <c r="L8" i="13"/>
  <c r="V26" i="35" l="1"/>
  <c r="V21" i="35"/>
  <c r="V16" i="35"/>
  <c r="Q12" i="13"/>
  <c r="V31" i="34"/>
  <c r="V31" i="35"/>
  <c r="V9" i="34"/>
  <c r="V9" i="35"/>
  <c r="M22" i="29"/>
  <c r="M65" i="29" s="1"/>
  <c r="Q6" i="12"/>
  <c r="Q15" i="13"/>
  <c r="Q25" i="13"/>
  <c r="AB12" i="11"/>
  <c r="Q30" i="25"/>
  <c r="W13" i="13"/>
  <c r="P11" i="29"/>
  <c r="P54" i="29" s="1"/>
  <c r="N6" i="29"/>
  <c r="N49" i="29" s="1"/>
  <c r="Q22" i="12"/>
  <c r="Q31" i="25"/>
  <c r="O16" i="29"/>
  <c r="O59" i="29" s="1"/>
  <c r="O30" i="29"/>
  <c r="O73" i="29" s="1"/>
  <c r="P12" i="29"/>
  <c r="P55" i="29" s="1"/>
  <c r="W28" i="25"/>
  <c r="O24" i="29"/>
  <c r="O67" i="29" s="1"/>
  <c r="M25" i="29"/>
  <c r="M68" i="29" s="1"/>
  <c r="W8" i="25"/>
  <c r="M13" i="29"/>
  <c r="M56" i="29" s="1"/>
  <c r="N35" i="29"/>
  <c r="N78" i="29" s="1"/>
  <c r="AB26" i="11"/>
  <c r="AB22" i="11"/>
  <c r="AB15" i="11"/>
  <c r="AB23" i="11"/>
  <c r="AB25" i="11"/>
  <c r="Q26" i="25"/>
  <c r="W37" i="25"/>
  <c r="W30" i="25"/>
  <c r="O37" i="29"/>
  <c r="O80" i="29" s="1"/>
  <c r="W25" i="25"/>
  <c r="W16" i="13"/>
  <c r="P26" i="29"/>
  <c r="P69" i="29" s="1"/>
  <c r="W28" i="13"/>
  <c r="M38" i="29"/>
  <c r="M81" i="29" s="1"/>
  <c r="M28" i="29"/>
  <c r="M71" i="29" s="1"/>
  <c r="W8" i="13"/>
  <c r="O11" i="29"/>
  <c r="O54" i="29" s="1"/>
  <c r="S11" i="29"/>
  <c r="S54" i="29" s="1"/>
  <c r="M40" i="24"/>
  <c r="S21" i="29"/>
  <c r="S64" i="29" s="1"/>
  <c r="S23" i="29"/>
  <c r="S66" i="29" s="1"/>
  <c r="M27" i="24"/>
  <c r="M6" i="24"/>
  <c r="AD42" i="8"/>
  <c r="AA42" i="28"/>
  <c r="AA94" i="28" s="1"/>
  <c r="V19" i="34"/>
  <c r="V19" i="35"/>
  <c r="M17" i="29"/>
  <c r="M60" i="29" s="1"/>
  <c r="M31" i="29"/>
  <c r="M74" i="29" s="1"/>
  <c r="S38" i="29"/>
  <c r="S81" i="29" s="1"/>
  <c r="M25" i="8"/>
  <c r="M25" i="28" s="1"/>
  <c r="M77" i="28" s="1"/>
  <c r="AB10" i="11"/>
  <c r="O22" i="29"/>
  <c r="O65" i="29" s="1"/>
  <c r="P8" i="29"/>
  <c r="P51" i="29" s="1"/>
  <c r="M44" i="25"/>
  <c r="Q19" i="13"/>
  <c r="W23" i="13"/>
  <c r="Q34" i="25"/>
  <c r="P40" i="29"/>
  <c r="P83" i="29" s="1"/>
  <c r="M12" i="8"/>
  <c r="M12" i="28" s="1"/>
  <c r="M64" i="28" s="1"/>
  <c r="S26" i="8"/>
  <c r="S28" i="8"/>
  <c r="S9" i="8"/>
  <c r="S25" i="24"/>
  <c r="S35" i="24"/>
  <c r="S47" i="24"/>
  <c r="S32" i="24"/>
  <c r="S48" i="24"/>
  <c r="S26" i="24"/>
  <c r="S22" i="24"/>
  <c r="S19" i="8"/>
  <c r="S31" i="24"/>
  <c r="S20" i="24"/>
  <c r="S39" i="24"/>
  <c r="S28" i="24"/>
  <c r="S42" i="24"/>
  <c r="S24" i="24"/>
  <c r="S16" i="24"/>
  <c r="S46" i="24"/>
  <c r="S5" i="8"/>
  <c r="S8" i="8"/>
  <c r="S42" i="8"/>
  <c r="S15" i="8"/>
  <c r="S27" i="24"/>
  <c r="S10" i="24"/>
  <c r="S9" i="24"/>
  <c r="S50" i="24"/>
  <c r="S25" i="8"/>
  <c r="S33" i="8"/>
  <c r="S38" i="8"/>
  <c r="S13" i="8"/>
  <c r="S12" i="24"/>
  <c r="S49" i="24"/>
  <c r="S37" i="24"/>
  <c r="S14" i="8"/>
  <c r="S6" i="8"/>
  <c r="S11" i="8"/>
  <c r="S32" i="8"/>
  <c r="S47" i="8"/>
  <c r="S39" i="8"/>
  <c r="S6" i="24"/>
  <c r="S36" i="8"/>
  <c r="S50" i="8"/>
  <c r="S21" i="8"/>
  <c r="S43" i="8"/>
  <c r="S21" i="24"/>
  <c r="S30" i="24"/>
  <c r="S41" i="24"/>
  <c r="S36" i="24"/>
  <c r="S40" i="24"/>
  <c r="S7" i="24"/>
  <c r="S8" i="24"/>
  <c r="S43" i="24"/>
  <c r="S29" i="8"/>
  <c r="S15" i="24"/>
  <c r="S19" i="24"/>
  <c r="S33" i="24"/>
  <c r="S44" i="24"/>
  <c r="S20" i="8"/>
  <c r="S17" i="24"/>
  <c r="S23" i="24"/>
  <c r="S38" i="24"/>
  <c r="S14" i="24"/>
  <c r="S44" i="8"/>
  <c r="S37" i="8"/>
  <c r="S16" i="8"/>
  <c r="S17" i="8"/>
  <c r="S18" i="24"/>
  <c r="S34" i="24"/>
  <c r="S13" i="24"/>
  <c r="S11" i="24"/>
  <c r="S40" i="8"/>
  <c r="S48" i="8"/>
  <c r="S24" i="8"/>
  <c r="S35" i="8"/>
  <c r="S5" i="24"/>
  <c r="S29" i="24"/>
  <c r="S45" i="24"/>
  <c r="S51" i="24"/>
  <c r="S30" i="8"/>
  <c r="S41" i="8"/>
  <c r="S31" i="8"/>
  <c r="S7" i="8"/>
  <c r="S10" i="8"/>
  <c r="S49" i="8"/>
  <c r="S18" i="8"/>
  <c r="S23" i="8"/>
  <c r="S27" i="8"/>
  <c r="S12" i="8"/>
  <c r="S22" i="8"/>
  <c r="S34" i="8"/>
  <c r="S46" i="8"/>
  <c r="S51" i="8"/>
  <c r="S45" i="8"/>
  <c r="O39" i="29"/>
  <c r="O82" i="29" s="1"/>
  <c r="M41" i="29"/>
  <c r="M84" i="29" s="1"/>
  <c r="AB29" i="11"/>
  <c r="N42" i="29"/>
  <c r="N85" i="29" s="1"/>
  <c r="P6" i="29"/>
  <c r="P49" i="29" s="1"/>
  <c r="T23" i="29"/>
  <c r="T66" i="29" s="1"/>
  <c r="O15" i="29"/>
  <c r="O58" i="29" s="1"/>
  <c r="P29" i="29"/>
  <c r="P72" i="29" s="1"/>
  <c r="Q37" i="12"/>
  <c r="Q19" i="12"/>
  <c r="AM56" i="7"/>
  <c r="Q18" i="12"/>
  <c r="Q21" i="12"/>
  <c r="Q9" i="13"/>
  <c r="Q24" i="13"/>
  <c r="Q10" i="25"/>
  <c r="Q15" i="25"/>
  <c r="W18" i="25"/>
  <c r="M20" i="29"/>
  <c r="M63" i="29" s="1"/>
  <c r="P28" i="29"/>
  <c r="P71" i="29" s="1"/>
  <c r="M7" i="29"/>
  <c r="M50" i="29" s="1"/>
  <c r="M21" i="29"/>
  <c r="M64" i="29" s="1"/>
  <c r="P15" i="29"/>
  <c r="P58" i="29" s="1"/>
  <c r="AB8" i="11"/>
  <c r="AB37" i="11"/>
  <c r="AM56" i="8"/>
  <c r="AB18" i="11"/>
  <c r="AB42" i="11"/>
  <c r="AB16" i="11"/>
  <c r="AB21" i="11"/>
  <c r="AB30" i="11"/>
  <c r="Q9" i="12"/>
  <c r="Q24" i="12"/>
  <c r="Q8" i="25"/>
  <c r="O13" i="29"/>
  <c r="O56" i="29" s="1"/>
  <c r="M30" i="29"/>
  <c r="M73" i="29" s="1"/>
  <c r="W29" i="13"/>
  <c r="M34" i="29"/>
  <c r="M77" i="29" s="1"/>
  <c r="N18" i="29"/>
  <c r="N61" i="29" s="1"/>
  <c r="P14" i="29"/>
  <c r="P57" i="29" s="1"/>
  <c r="O27" i="29"/>
  <c r="O70" i="29" s="1"/>
  <c r="P16" i="29"/>
  <c r="P59" i="29" s="1"/>
  <c r="S31" i="29"/>
  <c r="S74" i="29" s="1"/>
  <c r="R7" i="24"/>
  <c r="R37" i="24"/>
  <c r="R30" i="8"/>
  <c r="R30" i="28" s="1"/>
  <c r="R82" i="28" s="1"/>
  <c r="R33" i="24"/>
  <c r="R23" i="8"/>
  <c r="R12" i="8"/>
  <c r="R12" i="28" s="1"/>
  <c r="R64" i="28" s="1"/>
  <c r="R18" i="8"/>
  <c r="R18" i="28" s="1"/>
  <c r="R70" i="28" s="1"/>
  <c r="R32" i="24"/>
  <c r="R19" i="24"/>
  <c r="R6" i="24"/>
  <c r="R46" i="24"/>
  <c r="R47" i="8"/>
  <c r="R47" i="28" s="1"/>
  <c r="R99" i="28" s="1"/>
  <c r="R9" i="8"/>
  <c r="R9" i="28" s="1"/>
  <c r="R61" i="28" s="1"/>
  <c r="R20" i="24"/>
  <c r="R42" i="24"/>
  <c r="R30" i="24"/>
  <c r="R35" i="24"/>
  <c r="R40" i="8"/>
  <c r="R40" i="28" s="1"/>
  <c r="R92" i="28" s="1"/>
  <c r="R22" i="8"/>
  <c r="R16" i="24"/>
  <c r="R23" i="24"/>
  <c r="R13" i="24"/>
  <c r="R50" i="24"/>
  <c r="R32" i="8"/>
  <c r="R32" i="28" s="1"/>
  <c r="R84" i="28" s="1"/>
  <c r="R24" i="24"/>
  <c r="R12" i="24"/>
  <c r="R31" i="24"/>
  <c r="R18" i="24"/>
  <c r="R5" i="8"/>
  <c r="R51" i="8"/>
  <c r="R51" i="28" s="1"/>
  <c r="R103" i="28" s="1"/>
  <c r="R28" i="8"/>
  <c r="R43" i="8"/>
  <c r="R43" i="28" s="1"/>
  <c r="R95" i="28" s="1"/>
  <c r="R51" i="24"/>
  <c r="R39" i="8"/>
  <c r="R39" i="28" s="1"/>
  <c r="R91" i="28" s="1"/>
  <c r="R37" i="8"/>
  <c r="R37" i="28" s="1"/>
  <c r="R89" i="28" s="1"/>
  <c r="R38" i="8"/>
  <c r="R38" i="28" s="1"/>
  <c r="R90" i="28" s="1"/>
  <c r="R29" i="8"/>
  <c r="R20" i="8"/>
  <c r="R20" i="28" s="1"/>
  <c r="R72" i="28" s="1"/>
  <c r="R33" i="8"/>
  <c r="R33" i="28" s="1"/>
  <c r="R85" i="28" s="1"/>
  <c r="R45" i="8"/>
  <c r="R45" i="28" s="1"/>
  <c r="R97" i="28" s="1"/>
  <c r="R21" i="8"/>
  <c r="R17" i="8"/>
  <c r="R17" i="28" s="1"/>
  <c r="R69" i="28" s="1"/>
  <c r="R8" i="24"/>
  <c r="R40" i="24"/>
  <c r="R27" i="24"/>
  <c r="R38" i="24"/>
  <c r="R25" i="24"/>
  <c r="R27" i="8"/>
  <c r="R48" i="24"/>
  <c r="R21" i="24"/>
  <c r="R42" i="8"/>
  <c r="R42" i="28" s="1"/>
  <c r="R94" i="28" s="1"/>
  <c r="R43" i="24"/>
  <c r="R39" i="24"/>
  <c r="R34" i="24"/>
  <c r="R36" i="24"/>
  <c r="R16" i="8"/>
  <c r="R16" i="28" s="1"/>
  <c r="R68" i="28" s="1"/>
  <c r="R45" i="24"/>
  <c r="R9" i="24"/>
  <c r="R15" i="24"/>
  <c r="R29" i="24"/>
  <c r="R24" i="8"/>
  <c r="R7" i="8"/>
  <c r="R7" i="28" s="1"/>
  <c r="R59" i="28" s="1"/>
  <c r="R34" i="8"/>
  <c r="R34" i="28" s="1"/>
  <c r="R86" i="28" s="1"/>
  <c r="R35" i="8"/>
  <c r="R35" i="28" s="1"/>
  <c r="R87" i="28" s="1"/>
  <c r="R11" i="24"/>
  <c r="R49" i="24"/>
  <c r="R17" i="24"/>
  <c r="R44" i="24"/>
  <c r="R22" i="24"/>
  <c r="R41" i="24"/>
  <c r="R26" i="24"/>
  <c r="R47" i="24"/>
  <c r="R49" i="8"/>
  <c r="R49" i="28" s="1"/>
  <c r="R101" i="28" s="1"/>
  <c r="R19" i="8"/>
  <c r="R19" i="28" s="1"/>
  <c r="R71" i="28" s="1"/>
  <c r="R13" i="8"/>
  <c r="R13" i="28" s="1"/>
  <c r="R65" i="28" s="1"/>
  <c r="R28" i="24"/>
  <c r="R10" i="24"/>
  <c r="R5" i="24"/>
  <c r="R53" i="24" s="1"/>
  <c r="S58" i="24" s="1"/>
  <c r="R14" i="24"/>
  <c r="R44" i="8"/>
  <c r="R44" i="28" s="1"/>
  <c r="R96" i="28" s="1"/>
  <c r="R36" i="8"/>
  <c r="R36" i="28" s="1"/>
  <c r="R88" i="28" s="1"/>
  <c r="R41" i="8"/>
  <c r="R41" i="28" s="1"/>
  <c r="R93" i="28" s="1"/>
  <c r="R11" i="8"/>
  <c r="R11" i="28" s="1"/>
  <c r="R63" i="28" s="1"/>
  <c r="R46" i="8"/>
  <c r="R46" i="28" s="1"/>
  <c r="R98" i="28" s="1"/>
  <c r="R48" i="8"/>
  <c r="R48" i="28" s="1"/>
  <c r="R100" i="28" s="1"/>
  <c r="R10" i="8"/>
  <c r="R10" i="28" s="1"/>
  <c r="R62" i="28" s="1"/>
  <c r="R8" i="8"/>
  <c r="R8" i="28" s="1"/>
  <c r="R60" i="28" s="1"/>
  <c r="R25" i="8"/>
  <c r="R25" i="28" s="1"/>
  <c r="R77" i="28" s="1"/>
  <c r="R6" i="8"/>
  <c r="R6" i="28" s="1"/>
  <c r="R58" i="28" s="1"/>
  <c r="R14" i="8"/>
  <c r="R14" i="28" s="1"/>
  <c r="R66" i="28" s="1"/>
  <c r="R50" i="8"/>
  <c r="R50" i="28" s="1"/>
  <c r="R102" i="28" s="1"/>
  <c r="R31" i="8"/>
  <c r="R31" i="28" s="1"/>
  <c r="R83" i="28" s="1"/>
  <c r="R15" i="8"/>
  <c r="R15" i="28" s="1"/>
  <c r="R67" i="28" s="1"/>
  <c r="R26" i="8"/>
  <c r="AB13" i="9"/>
  <c r="AD16" i="8"/>
  <c r="AA16" i="28"/>
  <c r="AA68" i="28" s="1"/>
  <c r="T35" i="29"/>
  <c r="T78" i="29" s="1"/>
  <c r="M19" i="29"/>
  <c r="M62" i="29" s="1"/>
  <c r="S33" i="29"/>
  <c r="S76" i="29" s="1"/>
  <c r="U44" i="13"/>
  <c r="S15" i="29"/>
  <c r="S58" i="29" s="1"/>
  <c r="V27" i="34"/>
  <c r="V27" i="35"/>
  <c r="V29" i="34"/>
  <c r="V29" i="35"/>
  <c r="M24" i="29"/>
  <c r="M67" i="29" s="1"/>
  <c r="S32" i="29"/>
  <c r="S75" i="29" s="1"/>
  <c r="AM56" i="9"/>
  <c r="AM58" i="6"/>
  <c r="V24" i="34"/>
  <c r="V24" i="35"/>
  <c r="Q15" i="12"/>
  <c r="Q39" i="25"/>
  <c r="O35" i="29"/>
  <c r="O78" i="29" s="1"/>
  <c r="U31" i="28"/>
  <c r="U83" i="28" s="1"/>
  <c r="P53" i="24"/>
  <c r="AI53" i="24"/>
  <c r="AD10" i="8"/>
  <c r="AA10" i="28"/>
  <c r="AA62" i="28" s="1"/>
  <c r="AA5" i="28"/>
  <c r="AA57" i="28" s="1"/>
  <c r="AC53" i="8"/>
  <c r="AD5" i="8"/>
  <c r="G9" i="30"/>
  <c r="G11" i="30"/>
  <c r="AB44" i="7"/>
  <c r="Y44" i="9"/>
  <c r="AB44" i="9" s="1"/>
  <c r="AB25" i="7"/>
  <c r="Y25" i="9"/>
  <c r="AB25" i="9" s="1"/>
  <c r="Y8" i="9"/>
  <c r="AB8" i="9" s="1"/>
  <c r="AB8" i="7"/>
  <c r="Y47" i="9"/>
  <c r="AB47" i="9" s="1"/>
  <c r="AB47" i="7"/>
  <c r="Y49" i="9"/>
  <c r="AB49" i="9" s="1"/>
  <c r="AB49" i="7"/>
  <c r="Q32" i="13"/>
  <c r="Q40" i="12"/>
  <c r="Q42" i="13"/>
  <c r="Q13" i="12"/>
  <c r="Q23" i="12"/>
  <c r="Q38" i="13"/>
  <c r="Q25" i="12"/>
  <c r="Q31" i="13"/>
  <c r="Q10" i="13"/>
  <c r="Q41" i="12"/>
  <c r="Q36" i="12"/>
  <c r="Q16" i="25"/>
  <c r="Q21" i="25"/>
  <c r="Q22" i="25"/>
  <c r="Q9" i="25"/>
  <c r="Q36" i="25"/>
  <c r="Q37" i="25"/>
  <c r="W37" i="13"/>
  <c r="W30" i="13"/>
  <c r="O23" i="29"/>
  <c r="O66" i="29" s="1"/>
  <c r="M42" i="29"/>
  <c r="M85" i="29" s="1"/>
  <c r="N7" i="29"/>
  <c r="N50" i="29" s="1"/>
  <c r="N9" i="29"/>
  <c r="N52" i="29" s="1"/>
  <c r="P19" i="29"/>
  <c r="P62" i="29" s="1"/>
  <c r="T39" i="29"/>
  <c r="T82" i="29" s="1"/>
  <c r="W10" i="13"/>
  <c r="W32" i="13"/>
  <c r="W34" i="25"/>
  <c r="W29" i="25"/>
  <c r="W38" i="25"/>
  <c r="O40" i="29"/>
  <c r="O83" i="29" s="1"/>
  <c r="P34" i="29"/>
  <c r="P77" i="29" s="1"/>
  <c r="P31" i="29"/>
  <c r="P74" i="29" s="1"/>
  <c r="O25" i="29"/>
  <c r="O68" i="29" s="1"/>
  <c r="N26" i="29"/>
  <c r="N69" i="29" s="1"/>
  <c r="AD37" i="8"/>
  <c r="AA37" i="28"/>
  <c r="AA89" i="28" s="1"/>
  <c r="U11" i="30"/>
  <c r="U9" i="30"/>
  <c r="V53" i="9"/>
  <c r="U44" i="25"/>
  <c r="S27" i="29"/>
  <c r="S70" i="29" s="1"/>
  <c r="V23" i="24"/>
  <c r="V35" i="24"/>
  <c r="V42" i="8"/>
  <c r="U42" i="28" s="1"/>
  <c r="U94" i="28" s="1"/>
  <c r="AD12" i="8"/>
  <c r="AA12" i="28"/>
  <c r="AA64" i="28" s="1"/>
  <c r="S18" i="29"/>
  <c r="S61" i="29" s="1"/>
  <c r="S26" i="29"/>
  <c r="S69" i="29" s="1"/>
  <c r="S9" i="29"/>
  <c r="S52" i="29" s="1"/>
  <c r="V7" i="8"/>
  <c r="U7" i="28" s="1"/>
  <c r="U59" i="28" s="1"/>
  <c r="S37" i="29"/>
  <c r="S80" i="29" s="1"/>
  <c r="AD32" i="8"/>
  <c r="AA32" i="28"/>
  <c r="AA84" i="28" s="1"/>
  <c r="AD39" i="8"/>
  <c r="AA39" i="28"/>
  <c r="AA91" i="28" s="1"/>
  <c r="AD25" i="8"/>
  <c r="AA25" i="28"/>
  <c r="AA77" i="28" s="1"/>
  <c r="AD44" i="8"/>
  <c r="AA44" i="28"/>
  <c r="AA96" i="28" s="1"/>
  <c r="AA14" i="28"/>
  <c r="AA66" i="28" s="1"/>
  <c r="AD14" i="8"/>
  <c r="AD21" i="8"/>
  <c r="AA21" i="28"/>
  <c r="AA73" i="28" s="1"/>
  <c r="AA35" i="28"/>
  <c r="AA87" i="28" s="1"/>
  <c r="AD35" i="8"/>
  <c r="AD28" i="8"/>
  <c r="AA28" i="28"/>
  <c r="AA80" i="28" s="1"/>
  <c r="S16" i="29"/>
  <c r="S59" i="29" s="1"/>
  <c r="Y48" i="9"/>
  <c r="AB48" i="9" s="1"/>
  <c r="AB48" i="7"/>
  <c r="Y21" i="9"/>
  <c r="AB21" i="9" s="1"/>
  <c r="AB21" i="7"/>
  <c r="Y19" i="9"/>
  <c r="AB19" i="9" s="1"/>
  <c r="AB19" i="7"/>
  <c r="Y14" i="9"/>
  <c r="AB14" i="9" s="1"/>
  <c r="AB14" i="7"/>
  <c r="Y51" i="9"/>
  <c r="AB51" i="9" s="1"/>
  <c r="AB51" i="7"/>
  <c r="AB6" i="7"/>
  <c r="Y6" i="9"/>
  <c r="AB6" i="9" s="1"/>
  <c r="Y12" i="9"/>
  <c r="AB12" i="9" s="1"/>
  <c r="AB12" i="7"/>
  <c r="AB37" i="7"/>
  <c r="Y37" i="9"/>
  <c r="AB37" i="9" s="1"/>
  <c r="AB11" i="7"/>
  <c r="Y11" i="9"/>
  <c r="AB11" i="9" s="1"/>
  <c r="Y17" i="9"/>
  <c r="AB17" i="9" s="1"/>
  <c r="AB17" i="7"/>
  <c r="V29" i="24"/>
  <c r="Q5" i="28"/>
  <c r="Q57" i="28" s="1"/>
  <c r="G7" i="30" s="1"/>
  <c r="G13" i="30" s="1"/>
  <c r="Q53" i="8"/>
  <c r="L53" i="24"/>
  <c r="F7" i="30"/>
  <c r="F13" i="30" s="1"/>
  <c r="P5" i="28"/>
  <c r="P57" i="28" s="1"/>
  <c r="P53" i="8"/>
  <c r="AA51" i="28"/>
  <c r="AA103" i="28" s="1"/>
  <c r="AD51" i="8"/>
  <c r="AA7" i="28"/>
  <c r="AA59" i="28" s="1"/>
  <c r="AD7" i="8"/>
  <c r="AA40" i="28"/>
  <c r="AA92" i="28" s="1"/>
  <c r="AD40" i="8"/>
  <c r="AD9" i="8"/>
  <c r="AA9" i="28"/>
  <c r="AA61" i="28" s="1"/>
  <c r="AA24" i="28"/>
  <c r="AA76" i="28" s="1"/>
  <c r="AD24" i="8"/>
  <c r="AD8" i="8"/>
  <c r="AA8" i="28"/>
  <c r="AA60" i="28" s="1"/>
  <c r="AB22" i="7"/>
  <c r="Y22" i="9"/>
  <c r="AB22" i="9" s="1"/>
  <c r="AB27" i="7"/>
  <c r="Y27" i="9"/>
  <c r="AB27" i="9" s="1"/>
  <c r="AB26" i="7"/>
  <c r="Y26" i="9"/>
  <c r="AB26" i="9" s="1"/>
  <c r="Q8" i="12"/>
  <c r="Q33" i="13"/>
  <c r="Q35" i="12"/>
  <c r="Q32" i="12"/>
  <c r="AB19" i="11"/>
  <c r="Q6" i="13"/>
  <c r="AB40" i="11"/>
  <c r="Q28" i="13"/>
  <c r="AB13" i="11"/>
  <c r="Q21" i="13"/>
  <c r="Q30" i="13"/>
  <c r="AB9" i="11"/>
  <c r="Q20" i="13"/>
  <c r="V21" i="34"/>
  <c r="V16" i="34"/>
  <c r="V26" i="34"/>
  <c r="Q27" i="13"/>
  <c r="Q11" i="25"/>
  <c r="Q38" i="25"/>
  <c r="Q28" i="25"/>
  <c r="Q41" i="25"/>
  <c r="W6" i="13"/>
  <c r="W18" i="13"/>
  <c r="W33" i="13"/>
  <c r="O10" i="29"/>
  <c r="O53" i="29" s="1"/>
  <c r="M8" i="29"/>
  <c r="M51" i="29" s="1"/>
  <c r="M29" i="29"/>
  <c r="M72" i="29" s="1"/>
  <c r="N36" i="29"/>
  <c r="N79" i="29" s="1"/>
  <c r="N24" i="29"/>
  <c r="N67" i="29" s="1"/>
  <c r="P32" i="29"/>
  <c r="P75" i="29" s="1"/>
  <c r="T27" i="29"/>
  <c r="T70" i="29" s="1"/>
  <c r="W10" i="25"/>
  <c r="W32" i="25"/>
  <c r="W25" i="13"/>
  <c r="O17" i="29"/>
  <c r="O60" i="29" s="1"/>
  <c r="N8" i="29"/>
  <c r="N51" i="29" s="1"/>
  <c r="N23" i="29"/>
  <c r="N66" i="29" s="1"/>
  <c r="N20" i="29"/>
  <c r="N63" i="29" s="1"/>
  <c r="N21" i="29"/>
  <c r="N64" i="29" s="1"/>
  <c r="P23" i="29"/>
  <c r="P66" i="29" s="1"/>
  <c r="P21" i="29"/>
  <c r="P64" i="29" s="1"/>
  <c r="P42" i="29"/>
  <c r="P85" i="29" s="1"/>
  <c r="P39" i="29"/>
  <c r="P82" i="29" s="1"/>
  <c r="T17" i="29"/>
  <c r="T60" i="29" s="1"/>
  <c r="W21" i="13"/>
  <c r="O31" i="29"/>
  <c r="O74" i="29" s="1"/>
  <c r="M35" i="29"/>
  <c r="M78" i="29" s="1"/>
  <c r="M16" i="29"/>
  <c r="M59" i="29" s="1"/>
  <c r="N27" i="29"/>
  <c r="N70" i="29" s="1"/>
  <c r="P10" i="29"/>
  <c r="P53" i="29" s="1"/>
  <c r="AD6" i="8"/>
  <c r="AA6" i="28"/>
  <c r="AA58" i="28" s="1"/>
  <c r="AB13" i="7"/>
  <c r="S35" i="29"/>
  <c r="S78" i="29" s="1"/>
  <c r="U44" i="12"/>
  <c r="S5" i="29"/>
  <c r="S48" i="29" s="1"/>
  <c r="AB29" i="7"/>
  <c r="V16" i="8"/>
  <c r="U16" i="28" s="1"/>
  <c r="U68" i="28" s="1"/>
  <c r="V11" i="8"/>
  <c r="Q53" i="24"/>
  <c r="AD29" i="8"/>
  <c r="AA29" i="28"/>
  <c r="AA81" i="28" s="1"/>
  <c r="S22" i="29"/>
  <c r="S65" i="29" s="1"/>
  <c r="S40" i="29"/>
  <c r="S83" i="29" s="1"/>
  <c r="S24" i="29"/>
  <c r="S67" i="29" s="1"/>
  <c r="S41" i="29"/>
  <c r="S84" i="29" s="1"/>
  <c r="V18" i="24"/>
  <c r="AE5" i="28"/>
  <c r="AE57" i="28" s="1"/>
  <c r="U7" i="30" s="1"/>
  <c r="U13" i="30" s="1"/>
  <c r="AI53" i="8"/>
  <c r="S20" i="29"/>
  <c r="S63" i="29" s="1"/>
  <c r="S14" i="29"/>
  <c r="S57" i="29" s="1"/>
  <c r="S30" i="29"/>
  <c r="S73" i="29" s="1"/>
  <c r="AD50" i="8"/>
  <c r="AA50" i="28"/>
  <c r="AA102" i="28" s="1"/>
  <c r="AD31" i="8"/>
  <c r="AA31" i="28"/>
  <c r="AA83" i="28" s="1"/>
  <c r="AA46" i="28"/>
  <c r="AA98" i="28" s="1"/>
  <c r="AD46" i="8"/>
  <c r="AA20" i="28"/>
  <c r="AA72" i="28" s="1"/>
  <c r="AD20" i="8"/>
  <c r="AA11" i="28"/>
  <c r="AA63" i="28" s="1"/>
  <c r="AD11" i="8"/>
  <c r="AD19" i="8"/>
  <c r="AA19" i="28"/>
  <c r="AA71" i="28" s="1"/>
  <c r="AA33" i="28"/>
  <c r="AA85" i="28" s="1"/>
  <c r="AD33" i="8"/>
  <c r="M22" i="28"/>
  <c r="M74" i="28" s="1"/>
  <c r="V18" i="8"/>
  <c r="AB34" i="7"/>
  <c r="Y34" i="9"/>
  <c r="AB34" i="9" s="1"/>
  <c r="AB43" i="7"/>
  <c r="Y43" i="9"/>
  <c r="AB43" i="9" s="1"/>
  <c r="AB36" i="7"/>
  <c r="Y36" i="9"/>
  <c r="AB36" i="9" s="1"/>
  <c r="AB20" i="7"/>
  <c r="Y20" i="9"/>
  <c r="AB20" i="9" s="1"/>
  <c r="Y16" i="9"/>
  <c r="AB16" i="9" s="1"/>
  <c r="AB16" i="7"/>
  <c r="AB46" i="7"/>
  <c r="Y46" i="9"/>
  <c r="AB46" i="9" s="1"/>
  <c r="Y30" i="9"/>
  <c r="AB30" i="9" s="1"/>
  <c r="AB30" i="7"/>
  <c r="AB9" i="9"/>
  <c r="Y41" i="9"/>
  <c r="AB41" i="9" s="1"/>
  <c r="AB41" i="7"/>
  <c r="AB32" i="7"/>
  <c r="Y32" i="9"/>
  <c r="AB32" i="9" s="1"/>
  <c r="AB15" i="7"/>
  <c r="Y15" i="9"/>
  <c r="AB15" i="9" s="1"/>
  <c r="V5" i="28"/>
  <c r="V57" i="28" s="1"/>
  <c r="L7" i="30" s="1"/>
  <c r="L13" i="30" s="1"/>
  <c r="W53" i="8"/>
  <c r="V9" i="8"/>
  <c r="U9" i="28" s="1"/>
  <c r="U61" i="28" s="1"/>
  <c r="V37" i="8"/>
  <c r="U37" i="28" s="1"/>
  <c r="U89" i="28" s="1"/>
  <c r="V25" i="8"/>
  <c r="U25" i="28" s="1"/>
  <c r="U77" i="28" s="1"/>
  <c r="V51" i="8"/>
  <c r="U51" i="28" s="1"/>
  <c r="U103" i="28" s="1"/>
  <c r="V48" i="24"/>
  <c r="V21" i="24"/>
  <c r="V49" i="24"/>
  <c r="V15" i="24"/>
  <c r="V28" i="24"/>
  <c r="V39" i="24"/>
  <c r="V43" i="8"/>
  <c r="U43" i="28" s="1"/>
  <c r="U95" i="28" s="1"/>
  <c r="V30" i="8"/>
  <c r="V13" i="8"/>
  <c r="V33" i="8"/>
  <c r="U33" i="28" s="1"/>
  <c r="U85" i="28" s="1"/>
  <c r="V17" i="8"/>
  <c r="V45" i="8"/>
  <c r="U45" i="28" s="1"/>
  <c r="U97" i="28" s="1"/>
  <c r="V40" i="24"/>
  <c r="V51" i="24"/>
  <c r="V17" i="24"/>
  <c r="V16" i="24"/>
  <c r="V34" i="24"/>
  <c r="V24" i="24"/>
  <c r="V41" i="8"/>
  <c r="U41" i="28" s="1"/>
  <c r="U93" i="28" s="1"/>
  <c r="V22" i="8"/>
  <c r="U22" i="28" s="1"/>
  <c r="U74" i="28" s="1"/>
  <c r="V8" i="8"/>
  <c r="U8" i="28" s="1"/>
  <c r="U60" i="28" s="1"/>
  <c r="V46" i="8"/>
  <c r="U46" i="28" s="1"/>
  <c r="U98" i="28" s="1"/>
  <c r="V32" i="24"/>
  <c r="V22" i="24"/>
  <c r="V30" i="24"/>
  <c r="V33" i="24"/>
  <c r="V25" i="24"/>
  <c r="V5" i="24"/>
  <c r="V36" i="24"/>
  <c r="V13" i="24"/>
  <c r="V28" i="8"/>
  <c r="V27" i="8"/>
  <c r="V50" i="8"/>
  <c r="V26" i="8"/>
  <c r="V20" i="8"/>
  <c r="V47" i="8"/>
  <c r="U47" i="28" s="1"/>
  <c r="U99" i="28" s="1"/>
  <c r="V32" i="8"/>
  <c r="U32" i="28" s="1"/>
  <c r="U84" i="28" s="1"/>
  <c r="V29" i="8"/>
  <c r="U29" i="28" s="1"/>
  <c r="U81" i="28" s="1"/>
  <c r="V31" i="24"/>
  <c r="V38" i="8"/>
  <c r="U38" i="28" s="1"/>
  <c r="U90" i="28" s="1"/>
  <c r="V49" i="8"/>
  <c r="U49" i="28" s="1"/>
  <c r="U101" i="28" s="1"/>
  <c r="V19" i="8"/>
  <c r="U19" i="28" s="1"/>
  <c r="U71" i="28" s="1"/>
  <c r="V15" i="8"/>
  <c r="V48" i="8"/>
  <c r="U48" i="28" s="1"/>
  <c r="U100" i="28" s="1"/>
  <c r="V21" i="8"/>
  <c r="U21" i="28" s="1"/>
  <c r="U73" i="28" s="1"/>
  <c r="V40" i="8"/>
  <c r="U40" i="28" s="1"/>
  <c r="U92" i="28" s="1"/>
  <c r="V6" i="8"/>
  <c r="V37" i="24"/>
  <c r="V38" i="24"/>
  <c r="V27" i="24"/>
  <c r="V20" i="24"/>
  <c r="V47" i="24"/>
  <c r="V9" i="24"/>
  <c r="V46" i="24"/>
  <c r="V19" i="24"/>
  <c r="V41" i="24"/>
  <c r="V50" i="24"/>
  <c r="V26" i="24"/>
  <c r="V36" i="8"/>
  <c r="U36" i="28" s="1"/>
  <c r="U88" i="28" s="1"/>
  <c r="V34" i="8"/>
  <c r="U34" i="28" s="1"/>
  <c r="U86" i="28" s="1"/>
  <c r="V24" i="8"/>
  <c r="U24" i="28" s="1"/>
  <c r="U76" i="28" s="1"/>
  <c r="V44" i="8"/>
  <c r="U44" i="28" s="1"/>
  <c r="U96" i="28" s="1"/>
  <c r="V14" i="8"/>
  <c r="U14" i="28" s="1"/>
  <c r="U66" i="28" s="1"/>
  <c r="V5" i="8"/>
  <c r="V8" i="24"/>
  <c r="V43" i="24"/>
  <c r="V10" i="24"/>
  <c r="V44" i="24"/>
  <c r="V14" i="24"/>
  <c r="V6" i="24"/>
  <c r="V39" i="8"/>
  <c r="U39" i="28" s="1"/>
  <c r="U91" i="28" s="1"/>
  <c r="V12" i="8"/>
  <c r="L9" i="30"/>
  <c r="L11" i="30"/>
  <c r="F11" i="30"/>
  <c r="F9" i="30"/>
  <c r="V11" i="24"/>
  <c r="V23" i="8"/>
  <c r="U23" i="28" s="1"/>
  <c r="U75" i="28" s="1"/>
  <c r="AD49" i="8"/>
  <c r="AA49" i="28"/>
  <c r="AA101" i="28" s="1"/>
  <c r="AD30" i="8"/>
  <c r="AA30" i="28"/>
  <c r="AA82" i="28" s="1"/>
  <c r="AD47" i="8"/>
  <c r="AA47" i="28"/>
  <c r="AA99" i="28" s="1"/>
  <c r="Y50" i="9"/>
  <c r="AB50" i="9" s="1"/>
  <c r="AB50" i="7"/>
  <c r="Q7" i="13"/>
  <c r="Q33" i="12"/>
  <c r="AB35" i="11"/>
  <c r="Q26" i="12"/>
  <c r="Q22" i="13"/>
  <c r="Q16" i="12"/>
  <c r="Q34" i="13"/>
  <c r="Q30" i="12"/>
  <c r="AB17" i="11"/>
  <c r="AB41" i="11"/>
  <c r="Q27" i="12"/>
  <c r="Q23" i="25"/>
  <c r="Q18" i="25"/>
  <c r="Q13" i="25"/>
  <c r="Q20" i="25"/>
  <c r="Q27" i="25"/>
  <c r="Q42" i="25"/>
  <c r="W22" i="25"/>
  <c r="W27" i="25"/>
  <c r="O20" i="29"/>
  <c r="O63" i="29" s="1"/>
  <c r="O41" i="29"/>
  <c r="O84" i="29" s="1"/>
  <c r="O36" i="29"/>
  <c r="O79" i="29" s="1"/>
  <c r="O8" i="29"/>
  <c r="O51" i="29" s="1"/>
  <c r="M11" i="29"/>
  <c r="M54" i="29" s="1"/>
  <c r="P33" i="29"/>
  <c r="P76" i="29" s="1"/>
  <c r="T33" i="29"/>
  <c r="T76" i="29" s="1"/>
  <c r="N10" i="29"/>
  <c r="N53" i="29" s="1"/>
  <c r="W31" i="25"/>
  <c r="W17" i="13"/>
  <c r="W26" i="25"/>
  <c r="N11" i="29"/>
  <c r="N54" i="29" s="1"/>
  <c r="P25" i="29"/>
  <c r="P68" i="29" s="1"/>
  <c r="P18" i="29"/>
  <c r="P61" i="29" s="1"/>
  <c r="P24" i="29"/>
  <c r="P67" i="29" s="1"/>
  <c r="T21" i="29"/>
  <c r="T64" i="29" s="1"/>
  <c r="O33" i="29"/>
  <c r="O76" i="29" s="1"/>
  <c r="P36" i="29"/>
  <c r="P79" i="29" s="1"/>
  <c r="AD34" i="8"/>
  <c r="AA34" i="28"/>
  <c r="AA86" i="28" s="1"/>
  <c r="S25" i="29"/>
  <c r="S68" i="29" s="1"/>
  <c r="S10" i="29"/>
  <c r="S53" i="29" s="1"/>
  <c r="V35" i="8"/>
  <c r="U35" i="28" s="1"/>
  <c r="U87" i="28" s="1"/>
  <c r="V12" i="24"/>
  <c r="V45" i="24"/>
  <c r="L5" i="28"/>
  <c r="L57" i="28" s="1"/>
  <c r="B7" i="30" s="1"/>
  <c r="B13" i="30" s="1"/>
  <c r="L53" i="8"/>
  <c r="B11" i="30"/>
  <c r="B9" i="30"/>
  <c r="V42" i="24"/>
  <c r="W53" i="24"/>
  <c r="AD23" i="8"/>
  <c r="AA23" i="28"/>
  <c r="AA75" i="28" s="1"/>
  <c r="S39" i="29"/>
  <c r="S82" i="29" s="1"/>
  <c r="AA36" i="28"/>
  <c r="AA88" i="28" s="1"/>
  <c r="AD36" i="8"/>
  <c r="AD13" i="8"/>
  <c r="AA13" i="28"/>
  <c r="AA65" i="28" s="1"/>
  <c r="AD48" i="8"/>
  <c r="AA48" i="28"/>
  <c r="AA100" i="28" s="1"/>
  <c r="AD27" i="8"/>
  <c r="AA27" i="28"/>
  <c r="AA79" i="28" s="1"/>
  <c r="AD45" i="8"/>
  <c r="AA45" i="28"/>
  <c r="AA97" i="28" s="1"/>
  <c r="AD22" i="8"/>
  <c r="AA22" i="28"/>
  <c r="AA74" i="28" s="1"/>
  <c r="AD5" i="24"/>
  <c r="AD53" i="24" s="1"/>
  <c r="AC53" i="24"/>
  <c r="AA41" i="28"/>
  <c r="AA93" i="28" s="1"/>
  <c r="AD41" i="8"/>
  <c r="AA43" i="28"/>
  <c r="AA95" i="28" s="1"/>
  <c r="AD43" i="8"/>
  <c r="V7" i="24"/>
  <c r="V10" i="8"/>
  <c r="M46" i="24"/>
  <c r="M29" i="24"/>
  <c r="M26" i="24"/>
  <c r="M45" i="24"/>
  <c r="M38" i="24"/>
  <c r="M42" i="24"/>
  <c r="M47" i="24"/>
  <c r="M18" i="24"/>
  <c r="M39" i="24"/>
  <c r="M37" i="8"/>
  <c r="M37" i="28" s="1"/>
  <c r="M89" i="28" s="1"/>
  <c r="M20" i="8"/>
  <c r="M20" i="28" s="1"/>
  <c r="M72" i="28" s="1"/>
  <c r="M8" i="8"/>
  <c r="M8" i="28" s="1"/>
  <c r="M60" i="28" s="1"/>
  <c r="M47" i="8"/>
  <c r="M47" i="28" s="1"/>
  <c r="M99" i="28" s="1"/>
  <c r="M33" i="8"/>
  <c r="M33" i="28" s="1"/>
  <c r="M85" i="28" s="1"/>
  <c r="M29" i="8"/>
  <c r="M29" i="28" s="1"/>
  <c r="M81" i="28" s="1"/>
  <c r="M37" i="24"/>
  <c r="M17" i="24"/>
  <c r="M49" i="8"/>
  <c r="M49" i="28" s="1"/>
  <c r="M101" i="28" s="1"/>
  <c r="M32" i="8"/>
  <c r="M32" i="28" s="1"/>
  <c r="M84" i="28" s="1"/>
  <c r="M19" i="8"/>
  <c r="M19" i="28" s="1"/>
  <c r="M71" i="28" s="1"/>
  <c r="M9" i="24"/>
  <c r="M23" i="24"/>
  <c r="M11" i="24"/>
  <c r="M7" i="24"/>
  <c r="M49" i="24"/>
  <c r="M50" i="24"/>
  <c r="M19" i="24"/>
  <c r="M31" i="24"/>
  <c r="M30" i="8"/>
  <c r="M30" i="28" s="1"/>
  <c r="M82" i="28" s="1"/>
  <c r="M42" i="8"/>
  <c r="M42" i="28" s="1"/>
  <c r="M94" i="28" s="1"/>
  <c r="M38" i="8"/>
  <c r="M38" i="28" s="1"/>
  <c r="M90" i="28" s="1"/>
  <c r="M44" i="8"/>
  <c r="M44" i="28" s="1"/>
  <c r="M96" i="28" s="1"/>
  <c r="M43" i="8"/>
  <c r="M43" i="28" s="1"/>
  <c r="M95" i="28" s="1"/>
  <c r="M36" i="8"/>
  <c r="M36" i="28" s="1"/>
  <c r="M88" i="28" s="1"/>
  <c r="M50" i="8"/>
  <c r="M50" i="28" s="1"/>
  <c r="M102" i="28" s="1"/>
  <c r="M18" i="8"/>
  <c r="M18" i="28" s="1"/>
  <c r="M70" i="28" s="1"/>
  <c r="M13" i="8"/>
  <c r="M13" i="28" s="1"/>
  <c r="M65" i="28" s="1"/>
  <c r="M27" i="8"/>
  <c r="M27" i="28" s="1"/>
  <c r="M79" i="28" s="1"/>
  <c r="M23" i="8"/>
  <c r="M23" i="28" s="1"/>
  <c r="M75" i="28" s="1"/>
  <c r="M31" i="8"/>
  <c r="M31" i="28" s="1"/>
  <c r="M83" i="28" s="1"/>
  <c r="M45" i="8"/>
  <c r="M45" i="28" s="1"/>
  <c r="M97" i="28" s="1"/>
  <c r="M20" i="24"/>
  <c r="M44" i="24"/>
  <c r="M43" i="24"/>
  <c r="M32" i="24"/>
  <c r="M33" i="24"/>
  <c r="M8" i="24"/>
  <c r="M13" i="24"/>
  <c r="M48" i="24"/>
  <c r="M35" i="24"/>
  <c r="M36" i="24"/>
  <c r="M16" i="8"/>
  <c r="M16" i="28" s="1"/>
  <c r="M68" i="28" s="1"/>
  <c r="M34" i="8"/>
  <c r="M34" i="28" s="1"/>
  <c r="M86" i="28" s="1"/>
  <c r="M7" i="8"/>
  <c r="M7" i="28" s="1"/>
  <c r="M59" i="28" s="1"/>
  <c r="M28" i="8"/>
  <c r="M28" i="28" s="1"/>
  <c r="M80" i="28" s="1"/>
  <c r="M14" i="8"/>
  <c r="M14" i="28" s="1"/>
  <c r="M66" i="28" s="1"/>
  <c r="M21" i="8"/>
  <c r="M21" i="28" s="1"/>
  <c r="M73" i="28" s="1"/>
  <c r="M17" i="8"/>
  <c r="M17" i="28" s="1"/>
  <c r="M69" i="28" s="1"/>
  <c r="M11" i="8"/>
  <c r="M11" i="28" s="1"/>
  <c r="M63" i="28" s="1"/>
  <c r="M48" i="8"/>
  <c r="M48" i="28" s="1"/>
  <c r="M100" i="28" s="1"/>
  <c r="M35" i="8"/>
  <c r="M35" i="28" s="1"/>
  <c r="M87" i="28" s="1"/>
  <c r="M6" i="8"/>
  <c r="M6" i="28" s="1"/>
  <c r="M58" i="28" s="1"/>
  <c r="M39" i="8"/>
  <c r="M39" i="28" s="1"/>
  <c r="M91" i="28" s="1"/>
  <c r="M16" i="24"/>
  <c r="M28" i="24"/>
  <c r="M14" i="24"/>
  <c r="M22" i="24"/>
  <c r="M21" i="24"/>
  <c r="M34" i="24"/>
  <c r="M30" i="24"/>
  <c r="M5" i="8"/>
  <c r="M15" i="8"/>
  <c r="M15" i="28" s="1"/>
  <c r="M67" i="28" s="1"/>
  <c r="M26" i="8"/>
  <c r="M26" i="28" s="1"/>
  <c r="M78" i="28" s="1"/>
  <c r="M9" i="8"/>
  <c r="M9" i="28" s="1"/>
  <c r="M61" i="28" s="1"/>
  <c r="Y24" i="9"/>
  <c r="AB24" i="9" s="1"/>
  <c r="AB24" i="7"/>
  <c r="Y33" i="9"/>
  <c r="AB33" i="9" s="1"/>
  <c r="AB33" i="7"/>
  <c r="Y5" i="9"/>
  <c r="Y53" i="7"/>
  <c r="Y58" i="7" s="1"/>
  <c r="Y44" i="8" s="1"/>
  <c r="X44" i="28" s="1"/>
  <c r="X96" i="28" s="1"/>
  <c r="AB5" i="7"/>
  <c r="Y39" i="9"/>
  <c r="AB39" i="9" s="1"/>
  <c r="AB39" i="7"/>
  <c r="AB38" i="7"/>
  <c r="Y38" i="9"/>
  <c r="AB38" i="9" s="1"/>
  <c r="AB31" i="7"/>
  <c r="Y31" i="9"/>
  <c r="AB31" i="9" s="1"/>
  <c r="AB18" i="7"/>
  <c r="Y18" i="9"/>
  <c r="AB18" i="9" s="1"/>
  <c r="AB28" i="7"/>
  <c r="Y28" i="9"/>
  <c r="AB28" i="9" s="1"/>
  <c r="Y40" i="9"/>
  <c r="AB40" i="9" s="1"/>
  <c r="AB40" i="7"/>
  <c r="W44" i="11"/>
  <c r="R25" i="29"/>
  <c r="R68" i="29" s="1"/>
  <c r="W25" i="12"/>
  <c r="N44" i="25"/>
  <c r="V44" i="13"/>
  <c r="W15" i="12"/>
  <c r="R15" i="29"/>
  <c r="R58" i="29" s="1"/>
  <c r="R42" i="29"/>
  <c r="R85" i="29" s="1"/>
  <c r="W42" i="12"/>
  <c r="R29" i="29"/>
  <c r="R72" i="29" s="1"/>
  <c r="W29" i="12"/>
  <c r="W38" i="12"/>
  <c r="R38" i="29"/>
  <c r="R81" i="29" s="1"/>
  <c r="R24" i="29"/>
  <c r="R67" i="29" s="1"/>
  <c r="W24" i="12"/>
  <c r="W7" i="25"/>
  <c r="W36" i="25"/>
  <c r="W31" i="13"/>
  <c r="W14" i="13"/>
  <c r="W40" i="13"/>
  <c r="W9" i="12"/>
  <c r="R9" i="29"/>
  <c r="R52" i="29" s="1"/>
  <c r="W20" i="12"/>
  <c r="R20" i="29"/>
  <c r="R63" i="29" s="1"/>
  <c r="AB33" i="11"/>
  <c r="Q39" i="12"/>
  <c r="AB6" i="11"/>
  <c r="Q17" i="12"/>
  <c r="Q29" i="12"/>
  <c r="Q12" i="25"/>
  <c r="Q6" i="25"/>
  <c r="Q7" i="25"/>
  <c r="W6" i="12"/>
  <c r="R6" i="29"/>
  <c r="R49" i="29" s="1"/>
  <c r="W18" i="12"/>
  <c r="R18" i="29"/>
  <c r="R61" i="29" s="1"/>
  <c r="R33" i="29"/>
  <c r="R76" i="29" s="1"/>
  <c r="W33" i="12"/>
  <c r="C9" i="31"/>
  <c r="C11" i="31"/>
  <c r="P9" i="29"/>
  <c r="P52" i="29" s="1"/>
  <c r="T14" i="29"/>
  <c r="T57" i="29" s="1"/>
  <c r="T15" i="29"/>
  <c r="T58" i="29" s="1"/>
  <c r="W5" i="13"/>
  <c r="T44" i="13"/>
  <c r="R11" i="29"/>
  <c r="R54" i="29" s="1"/>
  <c r="W11" i="12"/>
  <c r="O14" i="29"/>
  <c r="O57" i="29" s="1"/>
  <c r="M12" i="29"/>
  <c r="M55" i="29" s="1"/>
  <c r="N5" i="29"/>
  <c r="N48" i="29" s="1"/>
  <c r="N44" i="12"/>
  <c r="N37" i="29"/>
  <c r="N80" i="29" s="1"/>
  <c r="T36" i="29"/>
  <c r="T79" i="29" s="1"/>
  <c r="T40" i="29"/>
  <c r="T83" i="29" s="1"/>
  <c r="V44" i="25"/>
  <c r="T31" i="29"/>
  <c r="T74" i="29" s="1"/>
  <c r="W15" i="25"/>
  <c r="W42" i="25"/>
  <c r="W24" i="25"/>
  <c r="W41" i="25"/>
  <c r="W19" i="12"/>
  <c r="R19" i="29"/>
  <c r="R62" i="29" s="1"/>
  <c r="O44" i="12"/>
  <c r="N25" i="29"/>
  <c r="N68" i="29" s="1"/>
  <c r="W7" i="12"/>
  <c r="R7" i="29"/>
  <c r="R50" i="29" s="1"/>
  <c r="W8" i="12"/>
  <c r="R8" i="29"/>
  <c r="R51" i="29" s="1"/>
  <c r="W40" i="25"/>
  <c r="W9" i="13"/>
  <c r="W20" i="13"/>
  <c r="O42" i="29"/>
  <c r="O85" i="29" s="1"/>
  <c r="O38" i="29"/>
  <c r="O81" i="29" s="1"/>
  <c r="N15" i="29"/>
  <c r="N58" i="29" s="1"/>
  <c r="P44" i="12"/>
  <c r="T22" i="29"/>
  <c r="T65" i="29" s="1"/>
  <c r="T32" i="29"/>
  <c r="T75" i="29" s="1"/>
  <c r="W30" i="12"/>
  <c r="R30" i="29"/>
  <c r="R73" i="29" s="1"/>
  <c r="Q23" i="13"/>
  <c r="Q20" i="12"/>
  <c r="R13" i="29"/>
  <c r="R56" i="29" s="1"/>
  <c r="W13" i="12"/>
  <c r="W33" i="25"/>
  <c r="M44" i="12"/>
  <c r="N30" i="29"/>
  <c r="N73" i="29" s="1"/>
  <c r="N32" i="29"/>
  <c r="N75" i="29" s="1"/>
  <c r="T42" i="29"/>
  <c r="T85" i="29" s="1"/>
  <c r="T24" i="29"/>
  <c r="T67" i="29" s="1"/>
  <c r="R5" i="29"/>
  <c r="R48" i="29" s="1"/>
  <c r="T44" i="12"/>
  <c r="W5" i="12"/>
  <c r="W11" i="13"/>
  <c r="W39" i="12"/>
  <c r="R39" i="29"/>
  <c r="R82" i="29" s="1"/>
  <c r="W16" i="12"/>
  <c r="R16" i="29"/>
  <c r="R59" i="29" s="1"/>
  <c r="W35" i="12"/>
  <c r="R35" i="29"/>
  <c r="R78" i="29" s="1"/>
  <c r="W34" i="12"/>
  <c r="R34" i="29"/>
  <c r="R77" i="29" s="1"/>
  <c r="O34" i="29"/>
  <c r="O77" i="29" s="1"/>
  <c r="O44" i="25"/>
  <c r="M27" i="29"/>
  <c r="M70" i="29" s="1"/>
  <c r="N40" i="29"/>
  <c r="N83" i="29" s="1"/>
  <c r="N44" i="13"/>
  <c r="N13" i="29"/>
  <c r="N56" i="29" s="1"/>
  <c r="P20" i="29"/>
  <c r="P63" i="29" s="1"/>
  <c r="W35" i="25"/>
  <c r="T13" i="29"/>
  <c r="T56" i="29" s="1"/>
  <c r="T30" i="29"/>
  <c r="T73" i="29" s="1"/>
  <c r="W15" i="13"/>
  <c r="W42" i="13"/>
  <c r="W24" i="13"/>
  <c r="R17" i="29"/>
  <c r="R60" i="29" s="1"/>
  <c r="W17" i="12"/>
  <c r="R41" i="29"/>
  <c r="R84" i="29" s="1"/>
  <c r="W41" i="12"/>
  <c r="W26" i="12"/>
  <c r="R26" i="29"/>
  <c r="R69" i="29" s="1"/>
  <c r="R28" i="29"/>
  <c r="R71" i="29" s="1"/>
  <c r="W28" i="12"/>
  <c r="O5" i="29"/>
  <c r="O48" i="29" s="1"/>
  <c r="N19" i="29"/>
  <c r="N62" i="29" s="1"/>
  <c r="N33" i="29"/>
  <c r="N76" i="29" s="1"/>
  <c r="T34" i="29"/>
  <c r="T77" i="29" s="1"/>
  <c r="T9" i="29"/>
  <c r="T52" i="29" s="1"/>
  <c r="T12" i="29"/>
  <c r="T55" i="29" s="1"/>
  <c r="T19" i="29"/>
  <c r="T62" i="29" s="1"/>
  <c r="W7" i="13"/>
  <c r="R36" i="29"/>
  <c r="R79" i="29" s="1"/>
  <c r="W36" i="12"/>
  <c r="W21" i="25"/>
  <c r="W14" i="25"/>
  <c r="N14" i="29"/>
  <c r="N57" i="29" s="1"/>
  <c r="P44" i="25"/>
  <c r="T6" i="29"/>
  <c r="T49" i="29" s="1"/>
  <c r="T26" i="29"/>
  <c r="T69" i="29" s="1"/>
  <c r="T29" i="29"/>
  <c r="T72" i="29" s="1"/>
  <c r="W37" i="12"/>
  <c r="R37" i="29"/>
  <c r="R80" i="29" s="1"/>
  <c r="Q8" i="13"/>
  <c r="Q7" i="12"/>
  <c r="Q26" i="13"/>
  <c r="Q42" i="12"/>
  <c r="Q11" i="13"/>
  <c r="Q41" i="13"/>
  <c r="Q36" i="13"/>
  <c r="R22" i="29"/>
  <c r="R65" i="29" s="1"/>
  <c r="W22" i="12"/>
  <c r="W27" i="12"/>
  <c r="R27" i="29"/>
  <c r="R70" i="29" s="1"/>
  <c r="R23" i="29"/>
  <c r="R66" i="29" s="1"/>
  <c r="W23" i="12"/>
  <c r="M9" i="29"/>
  <c r="M52" i="29" s="1"/>
  <c r="C7" i="31" s="1"/>
  <c r="C13" i="31" s="1"/>
  <c r="M44" i="13"/>
  <c r="N29" i="29"/>
  <c r="N72" i="29" s="1"/>
  <c r="N12" i="29"/>
  <c r="N55" i="29" s="1"/>
  <c r="T41" i="29"/>
  <c r="T84" i="29" s="1"/>
  <c r="T7" i="29"/>
  <c r="T50" i="29" s="1"/>
  <c r="W10" i="12"/>
  <c r="R10" i="29"/>
  <c r="R53" i="29" s="1"/>
  <c r="R32" i="29"/>
  <c r="R75" i="29" s="1"/>
  <c r="W32" i="12"/>
  <c r="W12" i="12"/>
  <c r="R12" i="29"/>
  <c r="R55" i="29" s="1"/>
  <c r="W5" i="25"/>
  <c r="T44" i="25"/>
  <c r="W11" i="25"/>
  <c r="W39" i="13"/>
  <c r="O9" i="29"/>
  <c r="O52" i="29" s="1"/>
  <c r="O6" i="29"/>
  <c r="O49" i="29" s="1"/>
  <c r="N31" i="29"/>
  <c r="N74" i="29" s="1"/>
  <c r="P7" i="29"/>
  <c r="P50" i="29" s="1"/>
  <c r="F11" i="31" s="1"/>
  <c r="T37" i="29"/>
  <c r="T80" i="29" s="1"/>
  <c r="T20" i="29"/>
  <c r="T63" i="29" s="1"/>
  <c r="V44" i="12"/>
  <c r="T5" i="29"/>
  <c r="T48" i="29" s="1"/>
  <c r="W41" i="13"/>
  <c r="O44" i="13"/>
  <c r="O18" i="29"/>
  <c r="O61" i="29" s="1"/>
  <c r="O29" i="29"/>
  <c r="O72" i="29" s="1"/>
  <c r="N38" i="29"/>
  <c r="N81" i="29" s="1"/>
  <c r="N34" i="29"/>
  <c r="N77" i="29" s="1"/>
  <c r="N22" i="29"/>
  <c r="N65" i="29" s="1"/>
  <c r="T16" i="29"/>
  <c r="T59" i="29" s="1"/>
  <c r="T10" i="29"/>
  <c r="T53" i="29" s="1"/>
  <c r="T18" i="29"/>
  <c r="T61" i="29" s="1"/>
  <c r="W19" i="25"/>
  <c r="W36" i="13"/>
  <c r="R21" i="29"/>
  <c r="R64" i="29" s="1"/>
  <c r="W21" i="12"/>
  <c r="W31" i="12"/>
  <c r="R31" i="29"/>
  <c r="R74" i="29" s="1"/>
  <c r="W14" i="12"/>
  <c r="R14" i="29"/>
  <c r="R57" i="29" s="1"/>
  <c r="W40" i="12"/>
  <c r="R40" i="29"/>
  <c r="R83" i="29" s="1"/>
  <c r="W9" i="25"/>
  <c r="W20" i="25"/>
  <c r="O26" i="29"/>
  <c r="O69" i="29" s="1"/>
  <c r="M36" i="29"/>
  <c r="M79" i="29" s="1"/>
  <c r="N41" i="29"/>
  <c r="N84" i="29" s="1"/>
  <c r="N39" i="29"/>
  <c r="N82" i="29" s="1"/>
  <c r="P17" i="29"/>
  <c r="P60" i="29" s="1"/>
  <c r="P44" i="13"/>
  <c r="P27" i="29"/>
  <c r="P70" i="29" s="1"/>
  <c r="T25" i="29"/>
  <c r="T68" i="29" s="1"/>
  <c r="T8" i="29"/>
  <c r="T51" i="29" s="1"/>
  <c r="L14" i="31"/>
  <c r="L5" i="29"/>
  <c r="L48" i="29" s="1"/>
  <c r="L22" i="29"/>
  <c r="L65" i="29" s="1"/>
  <c r="L25" i="29"/>
  <c r="L68" i="29" s="1"/>
  <c r="L9" i="29"/>
  <c r="L52" i="29" s="1"/>
  <c r="L24" i="29"/>
  <c r="L67" i="29" s="1"/>
  <c r="G15" i="31"/>
  <c r="G14" i="31"/>
  <c r="L8" i="29"/>
  <c r="L51" i="29" s="1"/>
  <c r="L16" i="29"/>
  <c r="L59" i="29" s="1"/>
  <c r="L23" i="29"/>
  <c r="L66" i="29" s="1"/>
  <c r="L21" i="29"/>
  <c r="L64" i="29" s="1"/>
  <c r="L30" i="29"/>
  <c r="L73" i="29" s="1"/>
  <c r="L13" i="29"/>
  <c r="L56" i="29" s="1"/>
  <c r="L27" i="29"/>
  <c r="L70" i="29" s="1"/>
  <c r="L36" i="29"/>
  <c r="L79" i="29" s="1"/>
  <c r="L33" i="29"/>
  <c r="L76" i="29" s="1"/>
  <c r="L37" i="29"/>
  <c r="L80" i="29" s="1"/>
  <c r="L19" i="29"/>
  <c r="L62" i="29" s="1"/>
  <c r="L18" i="29"/>
  <c r="L61" i="29" s="1"/>
  <c r="L20" i="29"/>
  <c r="L63" i="29" s="1"/>
  <c r="L34" i="29"/>
  <c r="L77" i="29" s="1"/>
  <c r="L38" i="29"/>
  <c r="L81" i="29" s="1"/>
  <c r="L31" i="29"/>
  <c r="L74" i="29" s="1"/>
  <c r="L28" i="29"/>
  <c r="L71" i="29" s="1"/>
  <c r="L10" i="29"/>
  <c r="L53" i="29" s="1"/>
  <c r="L12" i="29"/>
  <c r="L55" i="29" s="1"/>
  <c r="L6" i="29"/>
  <c r="L49" i="29" s="1"/>
  <c r="L15" i="29"/>
  <c r="L58" i="29" s="1"/>
  <c r="Q5" i="25"/>
  <c r="L44" i="25"/>
  <c r="AM54" i="8"/>
  <c r="AM54" i="24"/>
  <c r="L42" i="29"/>
  <c r="L85" i="29" s="1"/>
  <c r="L26" i="29"/>
  <c r="L69" i="29" s="1"/>
  <c r="L11" i="29"/>
  <c r="L54" i="29" s="1"/>
  <c r="L14" i="29"/>
  <c r="L57" i="29" s="1"/>
  <c r="L40" i="29"/>
  <c r="L83" i="29" s="1"/>
  <c r="L17" i="29"/>
  <c r="L60" i="29" s="1"/>
  <c r="L41" i="29"/>
  <c r="L84" i="29" s="1"/>
  <c r="L29" i="29"/>
  <c r="L72" i="29" s="1"/>
  <c r="L7" i="29"/>
  <c r="L50" i="29" s="1"/>
  <c r="L35" i="29"/>
  <c r="L78" i="29" s="1"/>
  <c r="L39" i="29"/>
  <c r="L82" i="29" s="1"/>
  <c r="L32" i="29"/>
  <c r="L75" i="29" s="1"/>
  <c r="AQ12" i="24"/>
  <c r="X32" i="13"/>
  <c r="AB47" i="13"/>
  <c r="AB47" i="10"/>
  <c r="AB47" i="12"/>
  <c r="AB47" i="11"/>
  <c r="X40" i="13"/>
  <c r="X13" i="13"/>
  <c r="X23" i="13"/>
  <c r="X25" i="13"/>
  <c r="X9" i="13"/>
  <c r="X24" i="13"/>
  <c r="X36" i="13"/>
  <c r="X35" i="13"/>
  <c r="X33" i="13"/>
  <c r="X26" i="13"/>
  <c r="L44" i="12"/>
  <c r="Q5" i="12"/>
  <c r="X18" i="13"/>
  <c r="X42" i="13"/>
  <c r="X11" i="13"/>
  <c r="X38" i="13"/>
  <c r="X31" i="13"/>
  <c r="X10" i="13"/>
  <c r="X17" i="13"/>
  <c r="X41" i="13"/>
  <c r="X29" i="13"/>
  <c r="E43" i="5"/>
  <c r="Y46" i="25" s="1"/>
  <c r="X46" i="13"/>
  <c r="X46" i="12"/>
  <c r="X46" i="11"/>
  <c r="X49" i="11" s="1"/>
  <c r="X18" i="12" s="1"/>
  <c r="Y18" i="12" s="1"/>
  <c r="AB18" i="12" s="1"/>
  <c r="X46" i="10"/>
  <c r="X7" i="13"/>
  <c r="X39" i="13"/>
  <c r="X6" i="13"/>
  <c r="AB5" i="11"/>
  <c r="Q44" i="11"/>
  <c r="X28" i="13"/>
  <c r="X16" i="13"/>
  <c r="X21" i="13"/>
  <c r="X30" i="13"/>
  <c r="X20" i="13"/>
  <c r="X27" i="13"/>
  <c r="AE55" i="9"/>
  <c r="AE55" i="8"/>
  <c r="AO54" i="8" s="1"/>
  <c r="AE55" i="7"/>
  <c r="X8" i="13"/>
  <c r="X37" i="13"/>
  <c r="X19" i="13"/>
  <c r="L44" i="13"/>
  <c r="Q5" i="13"/>
  <c r="X22" i="13"/>
  <c r="X15" i="13"/>
  <c r="X34" i="13"/>
  <c r="X14" i="13"/>
  <c r="X12" i="13"/>
  <c r="E23" i="5"/>
  <c r="AG55" i="24" s="1"/>
  <c r="AE57" i="6"/>
  <c r="J10" i="35" l="1"/>
  <c r="J5" i="35"/>
  <c r="X8" i="12"/>
  <c r="Y8" i="12" s="1"/>
  <c r="AB8" i="12" s="1"/>
  <c r="F7" i="31"/>
  <c r="F13" i="31" s="1"/>
  <c r="V6" i="34"/>
  <c r="V6" i="35"/>
  <c r="V25" i="35"/>
  <c r="V20" i="35"/>
  <c r="V15" i="35"/>
  <c r="Y22" i="8"/>
  <c r="V12" i="34"/>
  <c r="V12" i="35"/>
  <c r="S53" i="24"/>
  <c r="V7" i="34"/>
  <c r="V7" i="35"/>
  <c r="AB53" i="7"/>
  <c r="Y49" i="8"/>
  <c r="X49" i="28" s="1"/>
  <c r="X101" i="28" s="1"/>
  <c r="Y44" i="24"/>
  <c r="AB44" i="24" s="1"/>
  <c r="V8" i="34"/>
  <c r="V8" i="35"/>
  <c r="V33" i="34"/>
  <c r="V33" i="35"/>
  <c r="V32" i="34"/>
  <c r="V32" i="35"/>
  <c r="V22" i="34"/>
  <c r="V22" i="35"/>
  <c r="V17" i="34"/>
  <c r="V17" i="35"/>
  <c r="V10" i="34"/>
  <c r="V10" i="35"/>
  <c r="V14" i="34"/>
  <c r="V14" i="35"/>
  <c r="V28" i="34"/>
  <c r="V28" i="35"/>
  <c r="V30" i="34"/>
  <c r="V30" i="35"/>
  <c r="Y26" i="24"/>
  <c r="AB26" i="24" s="1"/>
  <c r="R5" i="28"/>
  <c r="R57" i="28" s="1"/>
  <c r="H7" i="30" s="1"/>
  <c r="H13" i="30" s="1"/>
  <c r="R53" i="8"/>
  <c r="S58" i="8" s="1"/>
  <c r="V5" i="34"/>
  <c r="V5" i="35"/>
  <c r="V13" i="34"/>
  <c r="V13" i="35"/>
  <c r="Y13" i="24"/>
  <c r="AB13" i="24" s="1"/>
  <c r="H9" i="30"/>
  <c r="H11" i="30"/>
  <c r="V18" i="34"/>
  <c r="V18" i="35"/>
  <c r="S53" i="8"/>
  <c r="J6" i="35"/>
  <c r="J11" i="35"/>
  <c r="V23" i="34"/>
  <c r="V23" i="35"/>
  <c r="V11" i="34"/>
  <c r="V11" i="35"/>
  <c r="C11" i="30"/>
  <c r="C9" i="30"/>
  <c r="Q44" i="25"/>
  <c r="J11" i="34"/>
  <c r="J6" i="34"/>
  <c r="Y27" i="8"/>
  <c r="X27" i="28" s="1"/>
  <c r="X79" i="28" s="1"/>
  <c r="Y40" i="8"/>
  <c r="Y10" i="8"/>
  <c r="X10" i="28" s="1"/>
  <c r="X62" i="28" s="1"/>
  <c r="Y12" i="8"/>
  <c r="X12" i="28" s="1"/>
  <c r="X64" i="28" s="1"/>
  <c r="Y31" i="8"/>
  <c r="Y20" i="8"/>
  <c r="X20" i="28" s="1"/>
  <c r="X72" i="28" s="1"/>
  <c r="Y31" i="24"/>
  <c r="AB31" i="24" s="1"/>
  <c r="Y24" i="24"/>
  <c r="AB24" i="24" s="1"/>
  <c r="Y17" i="24"/>
  <c r="AB17" i="24" s="1"/>
  <c r="Y37" i="24"/>
  <c r="AB37" i="24" s="1"/>
  <c r="Y42" i="24"/>
  <c r="AB42" i="24" s="1"/>
  <c r="Y34" i="24"/>
  <c r="AB34" i="24" s="1"/>
  <c r="Y46" i="24"/>
  <c r="AB46" i="24" s="1"/>
  <c r="Y33" i="24"/>
  <c r="AB33" i="24" s="1"/>
  <c r="Y18" i="8"/>
  <c r="X18" i="28" s="1"/>
  <c r="X70" i="28" s="1"/>
  <c r="Y7" i="8"/>
  <c r="Y39" i="8"/>
  <c r="Y34" i="8"/>
  <c r="Y17" i="8"/>
  <c r="X17" i="28" s="1"/>
  <c r="X69" i="28" s="1"/>
  <c r="Y26" i="8"/>
  <c r="X26" i="28" s="1"/>
  <c r="X78" i="28" s="1"/>
  <c r="Y11" i="8"/>
  <c r="X11" i="28" s="1"/>
  <c r="X63" i="28" s="1"/>
  <c r="Y51" i="8"/>
  <c r="Y28" i="8"/>
  <c r="X28" i="28" s="1"/>
  <c r="X80" i="28" s="1"/>
  <c r="Y43" i="8"/>
  <c r="Y24" i="8"/>
  <c r="Y30" i="8"/>
  <c r="X30" i="28" s="1"/>
  <c r="X82" i="28" s="1"/>
  <c r="Y35" i="8"/>
  <c r="Y38" i="8"/>
  <c r="Y41" i="8"/>
  <c r="Y46" i="8"/>
  <c r="Y12" i="24"/>
  <c r="AB12" i="24" s="1"/>
  <c r="Y9" i="24"/>
  <c r="AB9" i="24" s="1"/>
  <c r="Y40" i="24"/>
  <c r="AB40" i="24" s="1"/>
  <c r="Y20" i="24"/>
  <c r="AB20" i="24" s="1"/>
  <c r="Y43" i="24"/>
  <c r="AB43" i="24" s="1"/>
  <c r="Y10" i="24"/>
  <c r="AB10" i="24" s="1"/>
  <c r="Y51" i="24"/>
  <c r="AB51" i="24" s="1"/>
  <c r="Y23" i="24"/>
  <c r="AB23" i="24" s="1"/>
  <c r="Y32" i="24"/>
  <c r="AB32" i="24" s="1"/>
  <c r="Y7" i="24"/>
  <c r="AB7" i="24" s="1"/>
  <c r="Y21" i="24"/>
  <c r="AB21" i="24" s="1"/>
  <c r="Y33" i="8"/>
  <c r="X33" i="28" s="1"/>
  <c r="X85" i="28" s="1"/>
  <c r="Y9" i="8"/>
  <c r="Y23" i="8"/>
  <c r="Y19" i="8"/>
  <c r="X19" i="28" s="1"/>
  <c r="X71" i="28" s="1"/>
  <c r="Y15" i="8"/>
  <c r="X15" i="28" s="1"/>
  <c r="X67" i="28" s="1"/>
  <c r="Y39" i="24"/>
  <c r="AB39" i="24" s="1"/>
  <c r="Y36" i="24"/>
  <c r="AB36" i="24" s="1"/>
  <c r="Y30" i="24"/>
  <c r="AB30" i="24" s="1"/>
  <c r="Y16" i="24"/>
  <c r="AB16" i="24" s="1"/>
  <c r="Y45" i="24"/>
  <c r="AB45" i="24" s="1"/>
  <c r="Y15" i="24"/>
  <c r="AB15" i="24" s="1"/>
  <c r="Y41" i="24"/>
  <c r="AB41" i="24" s="1"/>
  <c r="Y19" i="24"/>
  <c r="AB19" i="24" s="1"/>
  <c r="Y14" i="8"/>
  <c r="Y6" i="8"/>
  <c r="X6" i="28" s="1"/>
  <c r="X58" i="28" s="1"/>
  <c r="Y37" i="8"/>
  <c r="Y42" i="8"/>
  <c r="Y32" i="8"/>
  <c r="Y5" i="8"/>
  <c r="Y38" i="24"/>
  <c r="AB38" i="24" s="1"/>
  <c r="Y14" i="24"/>
  <c r="AB14" i="24" s="1"/>
  <c r="Y11" i="24"/>
  <c r="AB11" i="24" s="1"/>
  <c r="Y18" i="24"/>
  <c r="AB18" i="24" s="1"/>
  <c r="Y5" i="24"/>
  <c r="Y48" i="8"/>
  <c r="Y45" i="8"/>
  <c r="Y21" i="8"/>
  <c r="Y16" i="8"/>
  <c r="Y36" i="8"/>
  <c r="Y6" i="24"/>
  <c r="AB6" i="24" s="1"/>
  <c r="Y48" i="24"/>
  <c r="AB48" i="24" s="1"/>
  <c r="Y35" i="24"/>
  <c r="AB35" i="24" s="1"/>
  <c r="Y28" i="24"/>
  <c r="AB28" i="24" s="1"/>
  <c r="M53" i="24"/>
  <c r="U10" i="28"/>
  <c r="U62" i="28" s="1"/>
  <c r="AB10" i="8"/>
  <c r="Y50" i="8"/>
  <c r="X50" i="28" s="1"/>
  <c r="X102" i="28" s="1"/>
  <c r="Y47" i="24"/>
  <c r="AB47" i="24" s="1"/>
  <c r="Y50" i="24"/>
  <c r="AB50" i="24" s="1"/>
  <c r="L14" i="30"/>
  <c r="L15" i="30"/>
  <c r="U50" i="28"/>
  <c r="U102" i="28" s="1"/>
  <c r="U13" i="28"/>
  <c r="U65" i="28" s="1"/>
  <c r="U18" i="28"/>
  <c r="U70" i="28" s="1"/>
  <c r="AB18" i="8"/>
  <c r="I9" i="31"/>
  <c r="I11" i="31"/>
  <c r="I7" i="31"/>
  <c r="I13" i="31" s="1"/>
  <c r="Y25" i="8"/>
  <c r="Y13" i="8"/>
  <c r="X13" i="28" s="1"/>
  <c r="X65" i="28" s="1"/>
  <c r="Y8" i="24"/>
  <c r="AB8" i="24" s="1"/>
  <c r="AD53" i="8"/>
  <c r="U26" i="28"/>
  <c r="U78" i="28" s="1"/>
  <c r="AB26" i="8"/>
  <c r="X19" i="12"/>
  <c r="Y19" i="12" s="1"/>
  <c r="AB19" i="12" s="1"/>
  <c r="X34" i="12"/>
  <c r="Y34" i="12" s="1"/>
  <c r="AB34" i="12" s="1"/>
  <c r="F9" i="31"/>
  <c r="F14" i="31" s="1"/>
  <c r="AB5" i="9"/>
  <c r="AB53" i="9" s="1"/>
  <c r="Y53" i="9"/>
  <c r="M5" i="28"/>
  <c r="M57" i="28" s="1"/>
  <c r="C7" i="30" s="1"/>
  <c r="C13" i="30" s="1"/>
  <c r="M53" i="8"/>
  <c r="B15" i="30"/>
  <c r="B14" i="30"/>
  <c r="Y8" i="8"/>
  <c r="Y22" i="24"/>
  <c r="AB22" i="24" s="1"/>
  <c r="Y47" i="8"/>
  <c r="F15" i="30"/>
  <c r="F14" i="30"/>
  <c r="U12" i="28"/>
  <c r="U64" i="28" s="1"/>
  <c r="AB12" i="8"/>
  <c r="U5" i="28"/>
  <c r="U57" i="28" s="1"/>
  <c r="V53" i="8"/>
  <c r="AB5" i="8"/>
  <c r="U27" i="28"/>
  <c r="U79" i="28" s="1"/>
  <c r="AB27" i="8"/>
  <c r="V53" i="24"/>
  <c r="K11" i="30"/>
  <c r="K9" i="30"/>
  <c r="U30" i="28"/>
  <c r="U82" i="28" s="1"/>
  <c r="U11" i="28"/>
  <c r="U63" i="28" s="1"/>
  <c r="Y29" i="8"/>
  <c r="Y49" i="24"/>
  <c r="AB49" i="24" s="1"/>
  <c r="G15" i="30"/>
  <c r="G14" i="30"/>
  <c r="X22" i="12"/>
  <c r="Y22" i="12" s="1"/>
  <c r="AB22" i="12" s="1"/>
  <c r="X12" i="12"/>
  <c r="Y12" i="12" s="1"/>
  <c r="AB12" i="12" s="1"/>
  <c r="J5" i="34"/>
  <c r="J10" i="34"/>
  <c r="AB19" i="8"/>
  <c r="AB44" i="8"/>
  <c r="V15" i="34"/>
  <c r="V25" i="34"/>
  <c r="V20" i="34"/>
  <c r="Q9" i="30"/>
  <c r="Q11" i="30"/>
  <c r="Y29" i="24"/>
  <c r="AB29" i="24" s="1"/>
  <c r="U6" i="28"/>
  <c r="U58" i="28" s="1"/>
  <c r="AB6" i="8"/>
  <c r="U15" i="28"/>
  <c r="U67" i="28" s="1"/>
  <c r="U20" i="28"/>
  <c r="U72" i="28" s="1"/>
  <c r="U28" i="28"/>
  <c r="U80" i="28" s="1"/>
  <c r="U17" i="28"/>
  <c r="U69" i="28" s="1"/>
  <c r="AB17" i="8"/>
  <c r="U14" i="30"/>
  <c r="U15" i="30"/>
  <c r="Y25" i="24"/>
  <c r="AB25" i="24" s="1"/>
  <c r="Q7" i="30"/>
  <c r="Q13" i="30" s="1"/>
  <c r="Y27" i="24"/>
  <c r="AB27" i="24" s="1"/>
  <c r="W44" i="25"/>
  <c r="W44" i="12"/>
  <c r="D11" i="31"/>
  <c r="D9" i="31"/>
  <c r="C14" i="31"/>
  <c r="C15" i="31"/>
  <c r="X37" i="12"/>
  <c r="Y37" i="12" s="1"/>
  <c r="AB37" i="12" s="1"/>
  <c r="J11" i="31"/>
  <c r="J9" i="31"/>
  <c r="J7" i="31"/>
  <c r="J13" i="31" s="1"/>
  <c r="E7" i="31"/>
  <c r="E13" i="31" s="1"/>
  <c r="E9" i="31"/>
  <c r="E11" i="31"/>
  <c r="H11" i="31"/>
  <c r="X14" i="12"/>
  <c r="Y14" i="12" s="1"/>
  <c r="AB14" i="12" s="1"/>
  <c r="X15" i="12"/>
  <c r="Y15" i="12" s="1"/>
  <c r="AB15" i="12" s="1"/>
  <c r="H7" i="31"/>
  <c r="H13" i="31" s="1"/>
  <c r="H9" i="31"/>
  <c r="W44" i="13"/>
  <c r="D7" i="31"/>
  <c r="D13" i="31" s="1"/>
  <c r="E29" i="5"/>
  <c r="AM55" i="24" s="1"/>
  <c r="E47" i="5"/>
  <c r="B9" i="31"/>
  <c r="B14" i="31" s="1"/>
  <c r="X20" i="12"/>
  <c r="Y20" i="12" s="1"/>
  <c r="AB20" i="12" s="1"/>
  <c r="X21" i="12"/>
  <c r="Y21" i="12" s="1"/>
  <c r="AB21" i="12" s="1"/>
  <c r="X28" i="12"/>
  <c r="Y28" i="12" s="1"/>
  <c r="AB28" i="12" s="1"/>
  <c r="X6" i="12"/>
  <c r="Y6" i="12" s="1"/>
  <c r="AB6" i="12" s="1"/>
  <c r="X17" i="12"/>
  <c r="Y17" i="12" s="1"/>
  <c r="AB17" i="12" s="1"/>
  <c r="X11" i="25"/>
  <c r="Y11" i="25" s="1"/>
  <c r="X23" i="25"/>
  <c r="Y23" i="25" s="1"/>
  <c r="X34" i="25"/>
  <c r="Y34" i="25" s="1"/>
  <c r="X27" i="12"/>
  <c r="Y27" i="12" s="1"/>
  <c r="AB27" i="12" s="1"/>
  <c r="X30" i="12"/>
  <c r="Y30" i="12" s="1"/>
  <c r="AB30" i="12" s="1"/>
  <c r="X16" i="12"/>
  <c r="Y16" i="12" s="1"/>
  <c r="AB16" i="12" s="1"/>
  <c r="X8" i="25"/>
  <c r="Y8" i="25" s="1"/>
  <c r="X29" i="25"/>
  <c r="Y29" i="25" s="1"/>
  <c r="X19" i="25"/>
  <c r="Y19" i="25" s="1"/>
  <c r="X32" i="25"/>
  <c r="Y32" i="25" s="1"/>
  <c r="X18" i="25"/>
  <c r="Y18" i="25" s="1"/>
  <c r="X25" i="25"/>
  <c r="Y25" i="25" s="1"/>
  <c r="X15" i="25"/>
  <c r="Y15" i="25" s="1"/>
  <c r="X13" i="25"/>
  <c r="Y13" i="25" s="1"/>
  <c r="X27" i="25"/>
  <c r="Y27" i="25" s="1"/>
  <c r="X28" i="25"/>
  <c r="Y28" i="25" s="1"/>
  <c r="X39" i="25"/>
  <c r="Y39" i="25" s="1"/>
  <c r="X35" i="25"/>
  <c r="Y35" i="25" s="1"/>
  <c r="X17" i="25"/>
  <c r="Y17" i="25" s="1"/>
  <c r="X30" i="25"/>
  <c r="Y30" i="25" s="1"/>
  <c r="X16" i="25"/>
  <c r="Y16" i="25" s="1"/>
  <c r="X33" i="25"/>
  <c r="Y33" i="25" s="1"/>
  <c r="X9" i="25"/>
  <c r="Y9" i="25" s="1"/>
  <c r="B11" i="31"/>
  <c r="X5" i="25"/>
  <c r="X10" i="12"/>
  <c r="Y10" i="12" s="1"/>
  <c r="AB10" i="12" s="1"/>
  <c r="X37" i="25"/>
  <c r="Y37" i="25" s="1"/>
  <c r="X24" i="25"/>
  <c r="Y24" i="25" s="1"/>
  <c r="X20" i="25"/>
  <c r="Y20" i="25" s="1"/>
  <c r="X40" i="25"/>
  <c r="Y40" i="25" s="1"/>
  <c r="X10" i="25"/>
  <c r="Y10" i="25" s="1"/>
  <c r="X42" i="25"/>
  <c r="Y42" i="25" s="1"/>
  <c r="X26" i="25"/>
  <c r="Y26" i="25" s="1"/>
  <c r="B7" i="31"/>
  <c r="B13" i="31" s="1"/>
  <c r="X12" i="25"/>
  <c r="Y12" i="25" s="1"/>
  <c r="X22" i="25"/>
  <c r="Y22" i="25" s="1"/>
  <c r="X14" i="25"/>
  <c r="Y14" i="25" s="1"/>
  <c r="X6" i="25"/>
  <c r="Y6" i="25" s="1"/>
  <c r="X7" i="25"/>
  <c r="Y7" i="25" s="1"/>
  <c r="X31" i="25"/>
  <c r="Y31" i="25" s="1"/>
  <c r="X41" i="25"/>
  <c r="Y41" i="25" s="1"/>
  <c r="X21" i="25"/>
  <c r="Y21" i="25" s="1"/>
  <c r="X36" i="25"/>
  <c r="Y36" i="25" s="1"/>
  <c r="X38" i="25"/>
  <c r="Y38" i="25" s="1"/>
  <c r="Y29" i="13"/>
  <c r="AB29" i="13" s="1"/>
  <c r="Y11" i="13"/>
  <c r="AB11" i="13" s="1"/>
  <c r="Y23" i="13"/>
  <c r="AB23" i="13" s="1"/>
  <c r="Y12" i="13"/>
  <c r="AB12" i="13" s="1"/>
  <c r="U12" i="29"/>
  <c r="U55" i="29" s="1"/>
  <c r="Y14" i="13"/>
  <c r="AB14" i="13" s="1"/>
  <c r="AJ14" i="25" s="1"/>
  <c r="U14" i="29"/>
  <c r="U57" i="29" s="1"/>
  <c r="Y22" i="13"/>
  <c r="AB22" i="13" s="1"/>
  <c r="S13" i="35" s="1"/>
  <c r="U22" i="29"/>
  <c r="U65" i="29" s="1"/>
  <c r="Y37" i="13"/>
  <c r="AB37" i="13" s="1"/>
  <c r="AA215" i="16" s="1"/>
  <c r="Y28" i="13"/>
  <c r="AB28" i="13" s="1"/>
  <c r="AJ28" i="25" s="1"/>
  <c r="U28" i="29"/>
  <c r="U71" i="29" s="1"/>
  <c r="Y39" i="13"/>
  <c r="AB39" i="13" s="1"/>
  <c r="Y41" i="13"/>
  <c r="AB41" i="13" s="1"/>
  <c r="Y42" i="13"/>
  <c r="AB42" i="13" s="1"/>
  <c r="Y26" i="13"/>
  <c r="AB26" i="13" s="1"/>
  <c r="Y24" i="13"/>
  <c r="AB24" i="13" s="1"/>
  <c r="Y13" i="13"/>
  <c r="AB13" i="13" s="1"/>
  <c r="Y10" i="13"/>
  <c r="AB10" i="13" s="1"/>
  <c r="Y30" i="13"/>
  <c r="AB30" i="13" s="1"/>
  <c r="S23" i="35" s="1"/>
  <c r="U30" i="29"/>
  <c r="U73" i="29" s="1"/>
  <c r="Y15" i="13"/>
  <c r="AB15" i="13" s="1"/>
  <c r="Y19" i="13"/>
  <c r="AB19" i="13" s="1"/>
  <c r="AJ19" i="25" s="1"/>
  <c r="U19" i="29"/>
  <c r="U62" i="29" s="1"/>
  <c r="Y27" i="13"/>
  <c r="AB27" i="13" s="1"/>
  <c r="U27" i="29"/>
  <c r="U70" i="29" s="1"/>
  <c r="Y20" i="13"/>
  <c r="AB20" i="13" s="1"/>
  <c r="AJ20" i="25" s="1"/>
  <c r="U20" i="29"/>
  <c r="U63" i="29" s="1"/>
  <c r="Y16" i="13"/>
  <c r="AB16" i="13" s="1"/>
  <c r="U16" i="29"/>
  <c r="U59" i="29" s="1"/>
  <c r="Y6" i="13"/>
  <c r="AB6" i="13" s="1"/>
  <c r="Y7" i="13"/>
  <c r="AB7" i="13" s="1"/>
  <c r="Y17" i="13"/>
  <c r="AB17" i="13" s="1"/>
  <c r="U17" i="29"/>
  <c r="U60" i="29" s="1"/>
  <c r="Y31" i="13"/>
  <c r="AB31" i="13" s="1"/>
  <c r="Y18" i="13"/>
  <c r="AB18" i="13" s="1"/>
  <c r="AJ18" i="25" s="1"/>
  <c r="U18" i="29"/>
  <c r="U61" i="29" s="1"/>
  <c r="Y33" i="13"/>
  <c r="AB33" i="13" s="1"/>
  <c r="Y9" i="13"/>
  <c r="AB9" i="13" s="1"/>
  <c r="Y40" i="13"/>
  <c r="AB40" i="13" s="1"/>
  <c r="S30" i="35" s="1"/>
  <c r="Y32" i="13"/>
  <c r="AB32" i="13" s="1"/>
  <c r="Y8" i="13"/>
  <c r="AB8" i="13" s="1"/>
  <c r="S5" i="35" s="1"/>
  <c r="U8" i="29"/>
  <c r="U51" i="29" s="1"/>
  <c r="Y36" i="13"/>
  <c r="AB36" i="13" s="1"/>
  <c r="Y34" i="13"/>
  <c r="AB34" i="13" s="1"/>
  <c r="AJ34" i="25" s="1"/>
  <c r="U34" i="29"/>
  <c r="U77" i="29" s="1"/>
  <c r="Y21" i="13"/>
  <c r="AB21" i="13" s="1"/>
  <c r="Y38" i="13"/>
  <c r="AB38" i="13" s="1"/>
  <c r="Y35" i="13"/>
  <c r="AB35" i="13" s="1"/>
  <c r="Y25" i="13"/>
  <c r="AB25" i="13" s="1"/>
  <c r="AQ13" i="24"/>
  <c r="AG57" i="6"/>
  <c r="AG55" i="9"/>
  <c r="AG55" i="8"/>
  <c r="AG55" i="7"/>
  <c r="Q44" i="13"/>
  <c r="X39" i="12"/>
  <c r="X7" i="12"/>
  <c r="Y7" i="12" s="1"/>
  <c r="AB7" i="12" s="1"/>
  <c r="X29" i="12"/>
  <c r="Q44" i="12"/>
  <c r="X32" i="12"/>
  <c r="X5" i="12"/>
  <c r="X5" i="13"/>
  <c r="AB44" i="11"/>
  <c r="X26" i="12"/>
  <c r="X33" i="12"/>
  <c r="Y33" i="12" s="1"/>
  <c r="AB33" i="12" s="1"/>
  <c r="X36" i="12"/>
  <c r="X24" i="12"/>
  <c r="Y24" i="12" s="1"/>
  <c r="AB24" i="12" s="1"/>
  <c r="X9" i="12"/>
  <c r="X23" i="12"/>
  <c r="Y23" i="12" s="1"/>
  <c r="AB23" i="12" s="1"/>
  <c r="X13" i="12"/>
  <c r="X40" i="12"/>
  <c r="Y40" i="12" s="1"/>
  <c r="AB40" i="12" s="1"/>
  <c r="E46" i="5"/>
  <c r="AB46" i="25" s="1"/>
  <c r="Y46" i="13"/>
  <c r="Y46" i="12"/>
  <c r="Y46" i="10"/>
  <c r="Y46" i="11"/>
  <c r="X35" i="12"/>
  <c r="X25" i="12"/>
  <c r="Y25" i="12" s="1"/>
  <c r="AB25" i="12" s="1"/>
  <c r="X41" i="12"/>
  <c r="X31" i="12"/>
  <c r="Y31" i="12" s="1"/>
  <c r="AB31" i="12" s="1"/>
  <c r="X38" i="12"/>
  <c r="X11" i="12"/>
  <c r="Y11" i="12" s="1"/>
  <c r="AB11" i="12" s="1"/>
  <c r="X42" i="12"/>
  <c r="F15" i="31" l="1"/>
  <c r="AA212" i="16"/>
  <c r="AM55" i="8"/>
  <c r="AJ15" i="25"/>
  <c r="U37" i="29"/>
  <c r="U80" i="29" s="1"/>
  <c r="AB49" i="8"/>
  <c r="AM55" i="7"/>
  <c r="AB22" i="8"/>
  <c r="X22" i="28"/>
  <c r="X74" i="28" s="1"/>
  <c r="AM57" i="6"/>
  <c r="U6" i="29"/>
  <c r="U49" i="29" s="1"/>
  <c r="H15" i="30"/>
  <c r="H14" i="30"/>
  <c r="AM55" i="9"/>
  <c r="S7" i="35"/>
  <c r="K7" i="30"/>
  <c r="K13" i="30" s="1"/>
  <c r="S14" i="35"/>
  <c r="AB11" i="8"/>
  <c r="S29" i="9"/>
  <c r="S29" i="28" s="1"/>
  <c r="S81" i="28" s="1"/>
  <c r="S35" i="9"/>
  <c r="S35" i="28" s="1"/>
  <c r="S87" i="28" s="1"/>
  <c r="S26" i="9"/>
  <c r="S26" i="28" s="1"/>
  <c r="S78" i="28" s="1"/>
  <c r="S50" i="9"/>
  <c r="S50" i="28" s="1"/>
  <c r="S102" i="28" s="1"/>
  <c r="S28" i="9"/>
  <c r="S28" i="28" s="1"/>
  <c r="S80" i="28" s="1"/>
  <c r="S21" i="9"/>
  <c r="S21" i="28" s="1"/>
  <c r="S73" i="28" s="1"/>
  <c r="S47" i="9"/>
  <c r="S47" i="28" s="1"/>
  <c r="S99" i="28" s="1"/>
  <c r="S39" i="9"/>
  <c r="S39" i="28" s="1"/>
  <c r="S91" i="28" s="1"/>
  <c r="S7" i="9"/>
  <c r="S7" i="28" s="1"/>
  <c r="S59" i="28" s="1"/>
  <c r="S20" i="9"/>
  <c r="S20" i="28" s="1"/>
  <c r="S72" i="28" s="1"/>
  <c r="S48" i="9"/>
  <c r="S48" i="28" s="1"/>
  <c r="S100" i="28" s="1"/>
  <c r="S12" i="9"/>
  <c r="S12" i="28" s="1"/>
  <c r="S64" i="28" s="1"/>
  <c r="S40" i="9"/>
  <c r="S40" i="28" s="1"/>
  <c r="S92" i="28" s="1"/>
  <c r="S16" i="9"/>
  <c r="S16" i="28" s="1"/>
  <c r="S68" i="28" s="1"/>
  <c r="S51" i="9"/>
  <c r="S51" i="28" s="1"/>
  <c r="S103" i="28" s="1"/>
  <c r="S18" i="9"/>
  <c r="S18" i="28" s="1"/>
  <c r="S70" i="28" s="1"/>
  <c r="S32" i="9"/>
  <c r="S32" i="28" s="1"/>
  <c r="S84" i="28" s="1"/>
  <c r="S9" i="9"/>
  <c r="S9" i="28" s="1"/>
  <c r="S61" i="28" s="1"/>
  <c r="S22" i="9"/>
  <c r="S22" i="28" s="1"/>
  <c r="S74" i="28" s="1"/>
  <c r="S24" i="9"/>
  <c r="S24" i="28" s="1"/>
  <c r="S76" i="28" s="1"/>
  <c r="S10" i="9"/>
  <c r="S10" i="28" s="1"/>
  <c r="S62" i="28" s="1"/>
  <c r="S43" i="9"/>
  <c r="S43" i="28" s="1"/>
  <c r="S95" i="28" s="1"/>
  <c r="S44" i="9"/>
  <c r="S44" i="28" s="1"/>
  <c r="S96" i="28" s="1"/>
  <c r="S31" i="9"/>
  <c r="S31" i="28" s="1"/>
  <c r="S83" i="28" s="1"/>
  <c r="S6" i="9"/>
  <c r="S6" i="28" s="1"/>
  <c r="S58" i="28" s="1"/>
  <c r="S30" i="9"/>
  <c r="S30" i="28" s="1"/>
  <c r="S82" i="28" s="1"/>
  <c r="S46" i="9"/>
  <c r="S46" i="28" s="1"/>
  <c r="S98" i="28" s="1"/>
  <c r="S15" i="9"/>
  <c r="S15" i="28" s="1"/>
  <c r="S67" i="28" s="1"/>
  <c r="S37" i="9"/>
  <c r="S37" i="28" s="1"/>
  <c r="S89" i="28" s="1"/>
  <c r="S17" i="9"/>
  <c r="S17" i="28" s="1"/>
  <c r="S69" i="28" s="1"/>
  <c r="S5" i="9"/>
  <c r="S19" i="9"/>
  <c r="S19" i="28" s="1"/>
  <c r="S71" i="28" s="1"/>
  <c r="S34" i="9"/>
  <c r="S34" i="28" s="1"/>
  <c r="S86" i="28" s="1"/>
  <c r="S13" i="9"/>
  <c r="S13" i="28" s="1"/>
  <c r="S65" i="28" s="1"/>
  <c r="S25" i="9"/>
  <c r="S25" i="28" s="1"/>
  <c r="S77" i="28" s="1"/>
  <c r="S41" i="9"/>
  <c r="S41" i="28" s="1"/>
  <c r="S93" i="28" s="1"/>
  <c r="S42" i="9"/>
  <c r="S42" i="28" s="1"/>
  <c r="S94" i="28" s="1"/>
  <c r="S14" i="9"/>
  <c r="S14" i="28" s="1"/>
  <c r="S66" i="28" s="1"/>
  <c r="S27" i="9"/>
  <c r="S27" i="28" s="1"/>
  <c r="S79" i="28" s="1"/>
  <c r="S45" i="9"/>
  <c r="S45" i="28" s="1"/>
  <c r="S97" i="28" s="1"/>
  <c r="S8" i="9"/>
  <c r="S8" i="28" s="1"/>
  <c r="S60" i="28" s="1"/>
  <c r="S38" i="9"/>
  <c r="S38" i="28" s="1"/>
  <c r="S90" i="28" s="1"/>
  <c r="S33" i="9"/>
  <c r="S33" i="28" s="1"/>
  <c r="S85" i="28" s="1"/>
  <c r="S11" i="9"/>
  <c r="S11" i="28" s="1"/>
  <c r="S63" i="28" s="1"/>
  <c r="S23" i="9"/>
  <c r="S23" i="28" s="1"/>
  <c r="S75" i="28" s="1"/>
  <c r="S36" i="9"/>
  <c r="S36" i="28" s="1"/>
  <c r="S88" i="28" s="1"/>
  <c r="S49" i="9"/>
  <c r="S49" i="28" s="1"/>
  <c r="S101" i="28" s="1"/>
  <c r="S17" i="35"/>
  <c r="U21" i="29"/>
  <c r="U64" i="29" s="1"/>
  <c r="S9" i="35"/>
  <c r="S12" i="35"/>
  <c r="S24" i="35"/>
  <c r="AB28" i="8"/>
  <c r="G11" i="35"/>
  <c r="G6" i="35"/>
  <c r="AJ16" i="25"/>
  <c r="S8" i="35"/>
  <c r="S21" i="35"/>
  <c r="S16" i="35"/>
  <c r="S26" i="35"/>
  <c r="AJ27" i="25"/>
  <c r="S19" i="35"/>
  <c r="S20" i="35"/>
  <c r="S25" i="35"/>
  <c r="S15" i="35"/>
  <c r="AJ17" i="25"/>
  <c r="S10" i="35"/>
  <c r="AA44" i="17"/>
  <c r="S11" i="35"/>
  <c r="AJ37" i="25"/>
  <c r="S28" i="35"/>
  <c r="AA173" i="16"/>
  <c r="AG173" i="16" s="1"/>
  <c r="X47" i="28"/>
  <c r="X99" i="28" s="1"/>
  <c r="AB47" i="8"/>
  <c r="AB13" i="8"/>
  <c r="X48" i="28"/>
  <c r="X100" i="28" s="1"/>
  <c r="AB48" i="8"/>
  <c r="AB51" i="8"/>
  <c r="X51" i="28"/>
  <c r="X103" i="28" s="1"/>
  <c r="AB34" i="8"/>
  <c r="X34" i="28"/>
  <c r="X86" i="28" s="1"/>
  <c r="AB40" i="8"/>
  <c r="X40" i="28"/>
  <c r="X92" i="28" s="1"/>
  <c r="AB20" i="8"/>
  <c r="Q15" i="30"/>
  <c r="Q14" i="30"/>
  <c r="AB33" i="8"/>
  <c r="I15" i="31"/>
  <c r="I14" i="31"/>
  <c r="X16" i="28"/>
  <c r="X68" i="28" s="1"/>
  <c r="AB16" i="8"/>
  <c r="AB5" i="24"/>
  <c r="AB53" i="24" s="1"/>
  <c r="Y53" i="24"/>
  <c r="AB37" i="8"/>
  <c r="X37" i="28"/>
  <c r="X89" i="28" s="1"/>
  <c r="AB41" i="8"/>
  <c r="X41" i="28"/>
  <c r="X93" i="28" s="1"/>
  <c r="AB24" i="8"/>
  <c r="X24" i="28"/>
  <c r="X76" i="28" s="1"/>
  <c r="X39" i="28"/>
  <c r="X91" i="28" s="1"/>
  <c r="AB39" i="8"/>
  <c r="X31" i="28"/>
  <c r="X83" i="28" s="1"/>
  <c r="AB31" i="8"/>
  <c r="AB30" i="8"/>
  <c r="AB8" i="8"/>
  <c r="X8" i="28"/>
  <c r="X60" i="28" s="1"/>
  <c r="AB25" i="8"/>
  <c r="X25" i="28"/>
  <c r="X77" i="28" s="1"/>
  <c r="AB50" i="8"/>
  <c r="AB21" i="8"/>
  <c r="X21" i="28"/>
  <c r="X73" i="28" s="1"/>
  <c r="X5" i="28"/>
  <c r="X57" i="28" s="1"/>
  <c r="Y53" i="8"/>
  <c r="X23" i="28"/>
  <c r="X75" i="28" s="1"/>
  <c r="AB23" i="8"/>
  <c r="AB38" i="8"/>
  <c r="X38" i="28"/>
  <c r="X90" i="28" s="1"/>
  <c r="AB43" i="8"/>
  <c r="X43" i="28"/>
  <c r="X95" i="28" s="1"/>
  <c r="AB7" i="8"/>
  <c r="X7" i="28"/>
  <c r="X59" i="28" s="1"/>
  <c r="C15" i="30"/>
  <c r="C14" i="30"/>
  <c r="K15" i="30"/>
  <c r="K14" i="30"/>
  <c r="AB36" i="8"/>
  <c r="X36" i="28"/>
  <c r="X88" i="28" s="1"/>
  <c r="AB42" i="8"/>
  <c r="X42" i="28"/>
  <c r="X94" i="28" s="1"/>
  <c r="AB46" i="8"/>
  <c r="X46" i="28"/>
  <c r="X98" i="28" s="1"/>
  <c r="U15" i="29"/>
  <c r="U58" i="29" s="1"/>
  <c r="AB15" i="8"/>
  <c r="AB29" i="8"/>
  <c r="X29" i="28"/>
  <c r="X81" i="28" s="1"/>
  <c r="AB45" i="8"/>
  <c r="X45" i="28"/>
  <c r="X97" i="28" s="1"/>
  <c r="AB32" i="8"/>
  <c r="X32" i="28"/>
  <c r="X84" i="28" s="1"/>
  <c r="AB14" i="8"/>
  <c r="X14" i="28"/>
  <c r="X66" i="28" s="1"/>
  <c r="X9" i="28"/>
  <c r="X61" i="28" s="1"/>
  <c r="AB9" i="8"/>
  <c r="AB35" i="8"/>
  <c r="X35" i="28"/>
  <c r="X87" i="28" s="1"/>
  <c r="AA80" i="17"/>
  <c r="AA172" i="16"/>
  <c r="AG172" i="16" s="1"/>
  <c r="E15" i="31"/>
  <c r="E14" i="31"/>
  <c r="D15" i="31"/>
  <c r="D14" i="31"/>
  <c r="H14" i="31"/>
  <c r="H15" i="31"/>
  <c r="J15" i="31"/>
  <c r="J14" i="31"/>
  <c r="AA10" i="16"/>
  <c r="AG10" i="16" s="1"/>
  <c r="AA76" i="17"/>
  <c r="AA67" i="17"/>
  <c r="U10" i="29"/>
  <c r="U53" i="29" s="1"/>
  <c r="U5" i="29"/>
  <c r="U48" i="29" s="1"/>
  <c r="AA265" i="16"/>
  <c r="L265" i="21" s="1"/>
  <c r="O265" i="21" s="1"/>
  <c r="AA238" i="16"/>
  <c r="AG238" i="16" s="1"/>
  <c r="AA165" i="16"/>
  <c r="AG165" i="16" s="1"/>
  <c r="AA213" i="16"/>
  <c r="AG213" i="16" s="1"/>
  <c r="AA160" i="16"/>
  <c r="AG160" i="16" s="1"/>
  <c r="AA72" i="17"/>
  <c r="AA163" i="16"/>
  <c r="AG163" i="16" s="1"/>
  <c r="AA269" i="16"/>
  <c r="AG269" i="16" s="1"/>
  <c r="AA166" i="16"/>
  <c r="AG166" i="16" s="1"/>
  <c r="AA68" i="17"/>
  <c r="AA73" i="17"/>
  <c r="B15" i="31"/>
  <c r="AA8" i="16"/>
  <c r="L8" i="21" s="1"/>
  <c r="O8" i="21" s="1"/>
  <c r="AA268" i="16"/>
  <c r="AG268" i="16" s="1"/>
  <c r="AA266" i="16"/>
  <c r="AG266" i="16" s="1"/>
  <c r="AA168" i="16"/>
  <c r="AG168" i="16" s="1"/>
  <c r="AA237" i="16"/>
  <c r="AG237" i="16" s="1"/>
  <c r="AA162" i="16"/>
  <c r="AG162" i="16" s="1"/>
  <c r="AA69" i="17"/>
  <c r="AA217" i="16"/>
  <c r="AG217" i="16" s="1"/>
  <c r="AA239" i="16"/>
  <c r="AG239" i="16" s="1"/>
  <c r="AA63" i="17"/>
  <c r="AA216" i="16"/>
  <c r="AG216" i="16" s="1"/>
  <c r="AA208" i="16"/>
  <c r="L208" i="21" s="1"/>
  <c r="O208" i="21" s="1"/>
  <c r="AA210" i="16"/>
  <c r="AG210" i="16" s="1"/>
  <c r="AA270" i="16"/>
  <c r="AG270" i="16" s="1"/>
  <c r="AA263" i="16"/>
  <c r="AG263" i="16" s="1"/>
  <c r="AA164" i="16"/>
  <c r="AG164" i="16" s="1"/>
  <c r="AA64" i="17"/>
  <c r="AA264" i="16"/>
  <c r="AA240" i="16"/>
  <c r="AG240" i="16" s="1"/>
  <c r="AA261" i="16"/>
  <c r="AG261" i="16" s="1"/>
  <c r="AA214" i="16"/>
  <c r="AG214" i="16" s="1"/>
  <c r="AA207" i="16"/>
  <c r="AA271" i="16"/>
  <c r="AG271" i="16" s="1"/>
  <c r="AA158" i="16"/>
  <c r="AG158" i="16" s="1"/>
  <c r="AA161" i="16"/>
  <c r="AG161" i="16" s="1"/>
  <c r="AA65" i="17"/>
  <c r="AA71" i="17"/>
  <c r="AA171" i="16"/>
  <c r="AG171" i="16" s="1"/>
  <c r="AA84" i="17"/>
  <c r="AA13" i="16"/>
  <c r="AG13" i="16" s="1"/>
  <c r="AA178" i="16"/>
  <c r="AG178" i="16" s="1"/>
  <c r="AA170" i="16"/>
  <c r="L179" i="21" s="1"/>
  <c r="AA177" i="16"/>
  <c r="AG177" i="16" s="1"/>
  <c r="AA77" i="17"/>
  <c r="AA81" i="17"/>
  <c r="AA85" i="17"/>
  <c r="AA135" i="16"/>
  <c r="AG135" i="16" s="1"/>
  <c r="AA174" i="16"/>
  <c r="AG174" i="16" s="1"/>
  <c r="AA175" i="16"/>
  <c r="AG175" i="16" s="1"/>
  <c r="AA181" i="16"/>
  <c r="AG181" i="16" s="1"/>
  <c r="AA78" i="17"/>
  <c r="AA82" i="17"/>
  <c r="AA86" i="17"/>
  <c r="AA137" i="16"/>
  <c r="AG137" i="16" s="1"/>
  <c r="AJ10" i="25"/>
  <c r="AJ25" i="25"/>
  <c r="AJ40" i="25"/>
  <c r="AA176" i="16"/>
  <c r="AG176" i="16" s="1"/>
  <c r="AA179" i="16"/>
  <c r="AG179" i="16" s="1"/>
  <c r="AA180" i="16"/>
  <c r="AG180" i="16" s="1"/>
  <c r="AA75" i="17"/>
  <c r="AA79" i="17"/>
  <c r="AA83" i="17"/>
  <c r="AA260" i="16"/>
  <c r="L260" i="21" s="1"/>
  <c r="O260" i="21" s="1"/>
  <c r="AA236" i="16"/>
  <c r="AG236" i="16" s="1"/>
  <c r="AA209" i="16"/>
  <c r="AG209" i="16" s="1"/>
  <c r="AA241" i="16"/>
  <c r="AG241" i="16" s="1"/>
  <c r="AA206" i="16"/>
  <c r="L206" i="21" s="1"/>
  <c r="O206" i="21" s="1"/>
  <c r="AA262" i="16"/>
  <c r="AG262" i="16" s="1"/>
  <c r="AA211" i="16"/>
  <c r="AG211" i="16" s="1"/>
  <c r="AA267" i="16"/>
  <c r="L267" i="21" s="1"/>
  <c r="O267" i="21" s="1"/>
  <c r="AA167" i="16"/>
  <c r="AG167" i="16" s="1"/>
  <c r="AA159" i="16"/>
  <c r="AG159" i="16" s="1"/>
  <c r="AA169" i="16"/>
  <c r="AG169" i="16" s="1"/>
  <c r="AA66" i="17"/>
  <c r="AA70" i="17"/>
  <c r="AA74" i="17"/>
  <c r="AA192" i="16"/>
  <c r="AG192" i="16" s="1"/>
  <c r="AA191" i="16"/>
  <c r="AG191" i="16" s="1"/>
  <c r="AA91" i="17"/>
  <c r="AA113" i="16"/>
  <c r="AG113" i="16" s="1"/>
  <c r="AJ8" i="25"/>
  <c r="AA188" i="16"/>
  <c r="AG188" i="16" s="1"/>
  <c r="AA189" i="16"/>
  <c r="AG189" i="16" s="1"/>
  <c r="AA93" i="17"/>
  <c r="AJ23" i="25"/>
  <c r="AA184" i="16"/>
  <c r="AG184" i="16" s="1"/>
  <c r="AA87" i="17"/>
  <c r="AA95" i="17"/>
  <c r="AA114" i="16"/>
  <c r="L114" i="21" s="1"/>
  <c r="O114" i="21" s="1"/>
  <c r="AA182" i="16"/>
  <c r="AG182" i="16" s="1"/>
  <c r="AA89" i="17"/>
  <c r="AA97" i="17"/>
  <c r="AA126" i="16"/>
  <c r="L126" i="21" s="1"/>
  <c r="O126" i="21" s="1"/>
  <c r="AJ11" i="25"/>
  <c r="Y26" i="12"/>
  <c r="AB26" i="12" s="1"/>
  <c r="S18" i="35" s="1"/>
  <c r="U26" i="29"/>
  <c r="U69" i="29" s="1"/>
  <c r="Y39" i="12"/>
  <c r="AB39" i="12" s="1"/>
  <c r="S31" i="35" s="1"/>
  <c r="U39" i="29"/>
  <c r="U82" i="29" s="1"/>
  <c r="G14" i="23"/>
  <c r="I14" i="23" s="1"/>
  <c r="AA83" i="16"/>
  <c r="AG83" i="16" s="1"/>
  <c r="AA3" i="16"/>
  <c r="AG3" i="16" s="1"/>
  <c r="AA11" i="16"/>
  <c r="L11" i="21" s="1"/>
  <c r="O11" i="21" s="1"/>
  <c r="AA79" i="16"/>
  <c r="AG79" i="16" s="1"/>
  <c r="AJ6" i="25"/>
  <c r="AA7" i="16"/>
  <c r="L7" i="21" s="1"/>
  <c r="O7" i="21" s="1"/>
  <c r="AA84" i="16"/>
  <c r="AG84" i="16" s="1"/>
  <c r="AA74" i="16"/>
  <c r="AG74" i="16" s="1"/>
  <c r="AA77" i="16"/>
  <c r="AG77" i="16" s="1"/>
  <c r="AA12" i="16"/>
  <c r="L12" i="21" s="1"/>
  <c r="O12" i="21" s="1"/>
  <c r="AJ30" i="25"/>
  <c r="AJ21" i="25"/>
  <c r="Y42" i="12"/>
  <c r="AB42" i="12" s="1"/>
  <c r="S33" i="35" s="1"/>
  <c r="U42" i="29"/>
  <c r="U85" i="29" s="1"/>
  <c r="Y41" i="12"/>
  <c r="AB41" i="12" s="1"/>
  <c r="AJ41" i="25" s="1"/>
  <c r="U41" i="29"/>
  <c r="U84" i="29" s="1"/>
  <c r="Y9" i="12"/>
  <c r="AB9" i="12" s="1"/>
  <c r="AJ9" i="25" s="1"/>
  <c r="U9" i="29"/>
  <c r="U52" i="29" s="1"/>
  <c r="Y32" i="12"/>
  <c r="AB32" i="12" s="1"/>
  <c r="AJ32" i="25" s="1"/>
  <c r="U32" i="29"/>
  <c r="U75" i="29" s="1"/>
  <c r="Y38" i="12"/>
  <c r="AB38" i="12" s="1"/>
  <c r="S29" i="35" s="1"/>
  <c r="U38" i="29"/>
  <c r="U81" i="29" s="1"/>
  <c r="Y35" i="12"/>
  <c r="AB35" i="12" s="1"/>
  <c r="AJ35" i="25" s="1"/>
  <c r="U35" i="29"/>
  <c r="U78" i="29" s="1"/>
  <c r="Y13" i="12"/>
  <c r="AB13" i="12" s="1"/>
  <c r="AA157" i="16" s="1"/>
  <c r="AG157" i="16" s="1"/>
  <c r="U13" i="29"/>
  <c r="U56" i="29" s="1"/>
  <c r="Y36" i="12"/>
  <c r="AB36" i="12" s="1"/>
  <c r="AA280" i="16" s="1"/>
  <c r="AG280" i="16" s="1"/>
  <c r="U36" i="29"/>
  <c r="U79" i="29" s="1"/>
  <c r="Y29" i="12"/>
  <c r="AB29" i="12" s="1"/>
  <c r="S22" i="35" s="1"/>
  <c r="U29" i="29"/>
  <c r="U72" i="29" s="1"/>
  <c r="AJ22" i="25"/>
  <c r="AA49" i="17"/>
  <c r="AA41" i="17"/>
  <c r="AA144" i="16"/>
  <c r="AG144" i="16" s="1"/>
  <c r="AA48" i="17"/>
  <c r="AA40" i="17"/>
  <c r="AA142" i="16"/>
  <c r="AG142" i="16" s="1"/>
  <c r="AA45" i="17"/>
  <c r="AA141" i="16"/>
  <c r="AG141" i="16" s="1"/>
  <c r="AA140" i="16"/>
  <c r="AG140" i="16" s="1"/>
  <c r="Y5" i="25"/>
  <c r="Y44" i="25" s="1"/>
  <c r="X44" i="25"/>
  <c r="AA183" i="16"/>
  <c r="AG183" i="16" s="1"/>
  <c r="AA190" i="16"/>
  <c r="AG190" i="16" s="1"/>
  <c r="AA185" i="16"/>
  <c r="AG185" i="16" s="1"/>
  <c r="AA88" i="17"/>
  <c r="AA92" i="17"/>
  <c r="AA96" i="17"/>
  <c r="AA119" i="16"/>
  <c r="AG119" i="16" s="1"/>
  <c r="AA131" i="16"/>
  <c r="L131" i="21" s="1"/>
  <c r="O131" i="21" s="1"/>
  <c r="AA117" i="16"/>
  <c r="AG117" i="16" s="1"/>
  <c r="U25" i="29"/>
  <c r="U68" i="29" s="1"/>
  <c r="U40" i="29"/>
  <c r="U83" i="29" s="1"/>
  <c r="U33" i="29"/>
  <c r="U76" i="29" s="1"/>
  <c r="U31" i="29"/>
  <c r="U74" i="29" s="1"/>
  <c r="U7" i="29"/>
  <c r="U50" i="29" s="1"/>
  <c r="U24" i="29"/>
  <c r="U67" i="29" s="1"/>
  <c r="U23" i="29"/>
  <c r="U66" i="29" s="1"/>
  <c r="AA123" i="16"/>
  <c r="AG123" i="16" s="1"/>
  <c r="AA116" i="16"/>
  <c r="AG116" i="16" s="1"/>
  <c r="AA129" i="16"/>
  <c r="AG129" i="16" s="1"/>
  <c r="AJ33" i="25"/>
  <c r="AJ31" i="25"/>
  <c r="AJ7" i="25"/>
  <c r="AJ24" i="25"/>
  <c r="AA187" i="16"/>
  <c r="AG187" i="16" s="1"/>
  <c r="AA186" i="16"/>
  <c r="AG186" i="16" s="1"/>
  <c r="AA193" i="16"/>
  <c r="AG193" i="16" s="1"/>
  <c r="AA90" i="17"/>
  <c r="AA94" i="17"/>
  <c r="AA98" i="17"/>
  <c r="AA110" i="16"/>
  <c r="AG110" i="16" s="1"/>
  <c r="AA122" i="16"/>
  <c r="L122" i="21" s="1"/>
  <c r="O122" i="21" s="1"/>
  <c r="AA133" i="16"/>
  <c r="AG133" i="16" s="1"/>
  <c r="U11" i="29"/>
  <c r="U54" i="29" s="1"/>
  <c r="AA75" i="16"/>
  <c r="L75" i="21" s="1"/>
  <c r="O75" i="21" s="1"/>
  <c r="AA76" i="16"/>
  <c r="AG76" i="16" s="1"/>
  <c r="AA5" i="16"/>
  <c r="AG5" i="16" s="1"/>
  <c r="AA81" i="16"/>
  <c r="AG81" i="16" s="1"/>
  <c r="AA2" i="16"/>
  <c r="AG2" i="16" s="1"/>
  <c r="AA78" i="16"/>
  <c r="AG78" i="16" s="1"/>
  <c r="AA226" i="16"/>
  <c r="AG226" i="16" s="1"/>
  <c r="AA118" i="16"/>
  <c r="L118" i="21" s="1"/>
  <c r="O118" i="21" s="1"/>
  <c r="AA124" i="16"/>
  <c r="AG124" i="16" s="1"/>
  <c r="AA115" i="16"/>
  <c r="AG115" i="16" s="1"/>
  <c r="AA128" i="16"/>
  <c r="L128" i="21" s="1"/>
  <c r="O128" i="21" s="1"/>
  <c r="AA127" i="16"/>
  <c r="L127" i="21" s="1"/>
  <c r="O127" i="21" s="1"/>
  <c r="AA121" i="16"/>
  <c r="AG121" i="16" s="1"/>
  <c r="AA38" i="17"/>
  <c r="AA139" i="16"/>
  <c r="AG139" i="16" s="1"/>
  <c r="AA138" i="16"/>
  <c r="AG138" i="16" s="1"/>
  <c r="AA145" i="16"/>
  <c r="AG145" i="16" s="1"/>
  <c r="AA42" i="17"/>
  <c r="AA46" i="17"/>
  <c r="AA50" i="17"/>
  <c r="AA148" i="16"/>
  <c r="AG148" i="16" s="1"/>
  <c r="AA62" i="17"/>
  <c r="AA374" i="16"/>
  <c r="AG374" i="16" s="1"/>
  <c r="AA378" i="16"/>
  <c r="L378" i="21" s="1"/>
  <c r="O378" i="21" s="1"/>
  <c r="G9" i="23"/>
  <c r="I9" i="23" s="1"/>
  <c r="AJ12" i="25"/>
  <c r="AA4" i="16"/>
  <c r="AG4" i="16" s="1"/>
  <c r="AA80" i="16"/>
  <c r="L80" i="21" s="1"/>
  <c r="O80" i="21" s="1"/>
  <c r="AA9" i="16"/>
  <c r="AG9" i="16" s="1"/>
  <c r="AA85" i="16"/>
  <c r="AG85" i="16" s="1"/>
  <c r="AA6" i="16"/>
  <c r="AG6" i="16" s="1"/>
  <c r="AA82" i="16"/>
  <c r="L82" i="21" s="1"/>
  <c r="O82" i="21" s="1"/>
  <c r="AA242" i="16"/>
  <c r="AG242" i="16" s="1"/>
  <c r="AA112" i="16"/>
  <c r="L112" i="21" s="1"/>
  <c r="O112" i="21" s="1"/>
  <c r="AA130" i="16"/>
  <c r="AG130" i="16" s="1"/>
  <c r="AA120" i="16"/>
  <c r="L120" i="21" s="1"/>
  <c r="O120" i="21" s="1"/>
  <c r="AA111" i="16"/>
  <c r="AG111" i="16" s="1"/>
  <c r="AA132" i="16"/>
  <c r="L132" i="21" s="1"/>
  <c r="O132" i="21" s="1"/>
  <c r="AA125" i="16"/>
  <c r="AG125" i="16" s="1"/>
  <c r="AA134" i="16"/>
  <c r="AG134" i="16" s="1"/>
  <c r="AA136" i="16"/>
  <c r="AG136" i="16" s="1"/>
  <c r="AA143" i="16"/>
  <c r="AG143" i="16" s="1"/>
  <c r="AA39" i="17"/>
  <c r="AA43" i="17"/>
  <c r="AA47" i="17"/>
  <c r="AA372" i="16"/>
  <c r="L372" i="21" s="1"/>
  <c r="O372" i="21" s="1"/>
  <c r="AA373" i="16"/>
  <c r="L373" i="21" s="1"/>
  <c r="O373" i="21" s="1"/>
  <c r="AA379" i="16"/>
  <c r="AG379" i="16" s="1"/>
  <c r="AQ14" i="24"/>
  <c r="AG212" i="16"/>
  <c r="L212" i="21"/>
  <c r="O212" i="21" s="1"/>
  <c r="L238" i="21"/>
  <c r="O238" i="21" s="1"/>
  <c r="AG207" i="16"/>
  <c r="L207" i="21"/>
  <c r="O207" i="21" s="1"/>
  <c r="L266" i="21"/>
  <c r="O266" i="21" s="1"/>
  <c r="AG215" i="16"/>
  <c r="L215" i="21"/>
  <c r="O215" i="21" s="1"/>
  <c r="AG264" i="16"/>
  <c r="L264" i="21"/>
  <c r="O264" i="21" s="1"/>
  <c r="Y5" i="13"/>
  <c r="X44" i="13"/>
  <c r="AB46" i="13"/>
  <c r="AB46" i="12"/>
  <c r="AB46" i="11"/>
  <c r="AB46" i="10"/>
  <c r="Y5" i="12"/>
  <c r="X44" i="12"/>
  <c r="AG8" i="16" l="1"/>
  <c r="L268" i="21"/>
  <c r="O268" i="21" s="1"/>
  <c r="I11" i="30"/>
  <c r="I9" i="30"/>
  <c r="S32" i="35"/>
  <c r="L136" i="21"/>
  <c r="S27" i="35"/>
  <c r="N7" i="30"/>
  <c r="N13" i="30" s="1"/>
  <c r="S6" i="35"/>
  <c r="S5" i="28"/>
  <c r="S57" i="28" s="1"/>
  <c r="I7" i="30" s="1"/>
  <c r="I13" i="30" s="1"/>
  <c r="S53" i="9"/>
  <c r="AG267" i="16"/>
  <c r="L270" i="21"/>
  <c r="O270" i="21" s="1"/>
  <c r="L13" i="21"/>
  <c r="O13" i="21" s="1"/>
  <c r="AA51" i="17"/>
  <c r="AA369" i="16"/>
  <c r="L369" i="21" s="1"/>
  <c r="O369" i="21" s="1"/>
  <c r="AG265" i="16"/>
  <c r="L153" i="21"/>
  <c r="L123" i="21"/>
  <c r="O123" i="21" s="1"/>
  <c r="AG208" i="16"/>
  <c r="L164" i="21"/>
  <c r="O164" i="21" s="1"/>
  <c r="L169" i="21"/>
  <c r="O169" i="21" s="1"/>
  <c r="AG12" i="16"/>
  <c r="L10" i="21"/>
  <c r="O10" i="21" s="1"/>
  <c r="L154" i="21"/>
  <c r="AG131" i="16"/>
  <c r="L261" i="21"/>
  <c r="O261" i="21" s="1"/>
  <c r="K11" i="31"/>
  <c r="M11" i="31" s="1"/>
  <c r="AB53" i="8"/>
  <c r="L137" i="21"/>
  <c r="O137" i="21" s="1"/>
  <c r="AG114" i="16"/>
  <c r="N9" i="30"/>
  <c r="N11" i="30"/>
  <c r="L239" i="21"/>
  <c r="O239" i="21" s="1"/>
  <c r="L241" i="21"/>
  <c r="O241" i="21" s="1"/>
  <c r="L237" i="21"/>
  <c r="O237" i="21" s="1"/>
  <c r="L214" i="21"/>
  <c r="O214" i="21" s="1"/>
  <c r="L210" i="21"/>
  <c r="O210" i="21" s="1"/>
  <c r="L183" i="21"/>
  <c r="O183" i="21" s="1"/>
  <c r="L271" i="21"/>
  <c r="O271" i="21" s="1"/>
  <c r="L263" i="21"/>
  <c r="O263" i="21" s="1"/>
  <c r="AA154" i="16"/>
  <c r="AG154" i="16" s="1"/>
  <c r="AA58" i="17"/>
  <c r="AA156" i="16"/>
  <c r="AG156" i="16" s="1"/>
  <c r="O136" i="21"/>
  <c r="L83" i="21"/>
  <c r="O83" i="21" s="1"/>
  <c r="AA59" i="17"/>
  <c r="AA155" i="16"/>
  <c r="AG155" i="16" s="1"/>
  <c r="AA54" i="17"/>
  <c r="AA55" i="17"/>
  <c r="AA150" i="16"/>
  <c r="AG150" i="16" s="1"/>
  <c r="AG128" i="16"/>
  <c r="L269" i="21"/>
  <c r="O269" i="21" s="1"/>
  <c r="L217" i="21"/>
  <c r="O217" i="21" s="1"/>
  <c r="L176" i="21"/>
  <c r="O176" i="21" s="1"/>
  <c r="L166" i="21"/>
  <c r="O166" i="21" s="1"/>
  <c r="L159" i="21"/>
  <c r="O159" i="21" s="1"/>
  <c r="L175" i="21"/>
  <c r="O175" i="21" s="1"/>
  <c r="AG126" i="16"/>
  <c r="L145" i="21"/>
  <c r="O145" i="21" s="1"/>
  <c r="L142" i="21"/>
  <c r="O142" i="21" s="1"/>
  <c r="L143" i="21"/>
  <c r="O143" i="21" s="1"/>
  <c r="L148" i="21"/>
  <c r="O148" i="21" s="1"/>
  <c r="L180" i="21"/>
  <c r="O180" i="21" s="1"/>
  <c r="L170" i="21"/>
  <c r="O170" i="21" s="1"/>
  <c r="L161" i="21"/>
  <c r="O161" i="21" s="1"/>
  <c r="L177" i="21"/>
  <c r="O177" i="21" s="1"/>
  <c r="L213" i="21"/>
  <c r="O213" i="21" s="1"/>
  <c r="L140" i="21"/>
  <c r="L160" i="21"/>
  <c r="O160" i="21" s="1"/>
  <c r="L150" i="21"/>
  <c r="L135" i="21"/>
  <c r="O135" i="21" s="1"/>
  <c r="L151" i="21"/>
  <c r="L167" i="21"/>
  <c r="O167" i="21" s="1"/>
  <c r="AG170" i="16"/>
  <c r="L3" i="21"/>
  <c r="O3" i="21" s="1"/>
  <c r="AG7" i="16"/>
  <c r="L119" i="21"/>
  <c r="O119" i="21" s="1"/>
  <c r="L216" i="21"/>
  <c r="O216" i="21" s="1"/>
  <c r="L113" i="21"/>
  <c r="O113" i="21" s="1"/>
  <c r="L240" i="21"/>
  <c r="O240" i="21" s="1"/>
  <c r="L77" i="21"/>
  <c r="O77" i="21" s="1"/>
  <c r="AG80" i="16"/>
  <c r="L111" i="21"/>
  <c r="O111" i="21" s="1"/>
  <c r="AA228" i="16"/>
  <c r="AG228" i="16" s="1"/>
  <c r="AG260" i="16"/>
  <c r="L186" i="21"/>
  <c r="O186" i="21" s="1"/>
  <c r="L185" i="21"/>
  <c r="O185" i="21" s="1"/>
  <c r="AG206" i="16"/>
  <c r="AG372" i="16"/>
  <c r="L2" i="21"/>
  <c r="O2" i="21" s="1"/>
  <c r="L188" i="21"/>
  <c r="O188" i="21" s="1"/>
  <c r="L191" i="21"/>
  <c r="O191" i="21" s="1"/>
  <c r="L116" i="21"/>
  <c r="O116" i="21" s="1"/>
  <c r="AG75" i="16"/>
  <c r="L110" i="21"/>
  <c r="O110" i="21" s="1"/>
  <c r="L193" i="21"/>
  <c r="O193" i="21" s="1"/>
  <c r="AG112" i="16"/>
  <c r="K9" i="31"/>
  <c r="K15" i="31" s="1"/>
  <c r="L211" i="21"/>
  <c r="O211" i="21" s="1"/>
  <c r="L133" i="21"/>
  <c r="O133" i="21" s="1"/>
  <c r="L209" i="21"/>
  <c r="O209" i="21" s="1"/>
  <c r="O179" i="21"/>
  <c r="AG82" i="16"/>
  <c r="AG127" i="16"/>
  <c r="L134" i="21"/>
  <c r="O134" i="21" s="1"/>
  <c r="L156" i="21"/>
  <c r="L172" i="21"/>
  <c r="O172" i="21" s="1"/>
  <c r="L146" i="21"/>
  <c r="L162" i="21"/>
  <c r="O162" i="21" s="1"/>
  <c r="L178" i="21"/>
  <c r="O178" i="21" s="1"/>
  <c r="L141" i="21"/>
  <c r="O141" i="21" s="1"/>
  <c r="L149" i="21"/>
  <c r="L157" i="21"/>
  <c r="O157" i="21" s="1"/>
  <c r="L165" i="21"/>
  <c r="O165" i="21" s="1"/>
  <c r="L173" i="21"/>
  <c r="O173" i="21" s="1"/>
  <c r="L181" i="21"/>
  <c r="O181" i="21" s="1"/>
  <c r="L192" i="21"/>
  <c r="O192" i="21" s="1"/>
  <c r="L190" i="21"/>
  <c r="O190" i="21" s="1"/>
  <c r="L189" i="21"/>
  <c r="O189" i="21" s="1"/>
  <c r="AG373" i="16"/>
  <c r="AG120" i="16"/>
  <c r="L242" i="21"/>
  <c r="O242" i="21" s="1"/>
  <c r="L84" i="21"/>
  <c r="O84" i="21" s="1"/>
  <c r="L262" i="21"/>
  <c r="O262" i="21" s="1"/>
  <c r="L236" i="21"/>
  <c r="O236" i="21" s="1"/>
  <c r="L144" i="21"/>
  <c r="O144" i="21" s="1"/>
  <c r="L152" i="21"/>
  <c r="L168" i="21"/>
  <c r="O168" i="21" s="1"/>
  <c r="L138" i="21"/>
  <c r="O138" i="21" s="1"/>
  <c r="L158" i="21"/>
  <c r="O158" i="21" s="1"/>
  <c r="L174" i="21"/>
  <c r="O174" i="21" s="1"/>
  <c r="L139" i="21"/>
  <c r="O139" i="21" s="1"/>
  <c r="L147" i="21"/>
  <c r="L155" i="21"/>
  <c r="L163" i="21"/>
  <c r="O163" i="21" s="1"/>
  <c r="L171" i="21"/>
  <c r="O171" i="21" s="1"/>
  <c r="AG122" i="16"/>
  <c r="L184" i="21"/>
  <c r="O184" i="21" s="1"/>
  <c r="L182" i="21"/>
  <c r="O182" i="21" s="1"/>
  <c r="L187" i="21"/>
  <c r="O187" i="21" s="1"/>
  <c r="L6" i="21"/>
  <c r="O6" i="21" s="1"/>
  <c r="L129" i="21"/>
  <c r="O129" i="21" s="1"/>
  <c r="L117" i="21"/>
  <c r="O117" i="21" s="1"/>
  <c r="AG11" i="16"/>
  <c r="L379" i="21"/>
  <c r="O379" i="21" s="1"/>
  <c r="AG132" i="16"/>
  <c r="L115" i="21"/>
  <c r="O115" i="21" s="1"/>
  <c r="L78" i="21"/>
  <c r="O78" i="21" s="1"/>
  <c r="L76" i="21"/>
  <c r="O76" i="21" s="1"/>
  <c r="L4" i="21"/>
  <c r="O4" i="21" s="1"/>
  <c r="L125" i="21"/>
  <c r="O125" i="21" s="1"/>
  <c r="AG378" i="16"/>
  <c r="K7" i="31"/>
  <c r="K13" i="31" s="1"/>
  <c r="AP4" i="16"/>
  <c r="AQ4" i="16" s="1"/>
  <c r="AJ36" i="25"/>
  <c r="AA223" i="16"/>
  <c r="AA222" i="16"/>
  <c r="AA221" i="16"/>
  <c r="AA219" i="16"/>
  <c r="AA218" i="16"/>
  <c r="AA272" i="16"/>
  <c r="AA275" i="16"/>
  <c r="AA274" i="16"/>
  <c r="AA273" i="16"/>
  <c r="AA220" i="16"/>
  <c r="AA247" i="16"/>
  <c r="AA246" i="16"/>
  <c r="AA276" i="16"/>
  <c r="AA245" i="16"/>
  <c r="AJ42" i="25"/>
  <c r="L374" i="21"/>
  <c r="O374" i="21" s="1"/>
  <c r="AG118" i="16"/>
  <c r="L226" i="21"/>
  <c r="O226" i="21" s="1"/>
  <c r="L9" i="21"/>
  <c r="O9" i="21" s="1"/>
  <c r="AA281" i="16"/>
  <c r="AA279" i="16"/>
  <c r="AA277" i="16"/>
  <c r="AA283" i="16"/>
  <c r="O140" i="21"/>
  <c r="L74" i="21"/>
  <c r="O74" i="21" s="1"/>
  <c r="L79" i="21"/>
  <c r="O79" i="21" s="1"/>
  <c r="AC10" i="21"/>
  <c r="L130" i="21"/>
  <c r="O130" i="21" s="1"/>
  <c r="AA243" i="16"/>
  <c r="AA229" i="16"/>
  <c r="AA227" i="16"/>
  <c r="AA225" i="16"/>
  <c r="AJ29" i="25"/>
  <c r="AA61" i="17"/>
  <c r="AA53" i="17"/>
  <c r="AA152" i="16"/>
  <c r="AG152" i="16" s="1"/>
  <c r="AA60" i="17"/>
  <c r="AA52" i="17"/>
  <c r="AA147" i="16"/>
  <c r="AG147" i="16" s="1"/>
  <c r="AA57" i="17"/>
  <c r="AA153" i="16"/>
  <c r="AG153" i="16" s="1"/>
  <c r="AA151" i="16"/>
  <c r="AG151" i="16" s="1"/>
  <c r="AA56" i="17"/>
  <c r="AA146" i="16"/>
  <c r="AG146" i="16" s="1"/>
  <c r="AA149" i="16"/>
  <c r="AG149" i="16" s="1"/>
  <c r="AA259" i="16"/>
  <c r="AA231" i="16"/>
  <c r="AA254" i="16"/>
  <c r="AA202" i="16"/>
  <c r="AA233" i="16"/>
  <c r="AA256" i="16"/>
  <c r="AA204" i="16"/>
  <c r="AA200" i="16"/>
  <c r="AA255" i="16"/>
  <c r="AJ38" i="25"/>
  <c r="AA203" i="16"/>
  <c r="AA250" i="16"/>
  <c r="AA257" i="16"/>
  <c r="AA205" i="16"/>
  <c r="AA196" i="16"/>
  <c r="AA195" i="16"/>
  <c r="AA194" i="16"/>
  <c r="AA251" i="16"/>
  <c r="AA199" i="16"/>
  <c r="AA234" i="16"/>
  <c r="AA253" i="16"/>
  <c r="AA201" i="16"/>
  <c r="AA198" i="16"/>
  <c r="AA248" i="16"/>
  <c r="AA235" i="16"/>
  <c r="AA197" i="16"/>
  <c r="AA258" i="16"/>
  <c r="AA252" i="16"/>
  <c r="AA249" i="16"/>
  <c r="AA230" i="16"/>
  <c r="AA232" i="16"/>
  <c r="AA370" i="16"/>
  <c r="AA377" i="16"/>
  <c r="AA375" i="16"/>
  <c r="AA368" i="16"/>
  <c r="AA376" i="16"/>
  <c r="AA371" i="16"/>
  <c r="AJ13" i="25"/>
  <c r="L280" i="21"/>
  <c r="O280" i="21" s="1"/>
  <c r="L5" i="21"/>
  <c r="O5" i="21" s="1"/>
  <c r="AA282" i="16"/>
  <c r="AA224" i="16"/>
  <c r="AA278" i="16"/>
  <c r="AA244" i="16"/>
  <c r="AJ26" i="25"/>
  <c r="AA358" i="16"/>
  <c r="AG358" i="16" s="1"/>
  <c r="AA364" i="16"/>
  <c r="AG364" i="16" s="1"/>
  <c r="AA357" i="16"/>
  <c r="AG357" i="16" s="1"/>
  <c r="AA363" i="16"/>
  <c r="AG363" i="16" s="1"/>
  <c r="AA100" i="17"/>
  <c r="AA361" i="16"/>
  <c r="AG361" i="16" s="1"/>
  <c r="AA347" i="16"/>
  <c r="AA331" i="16"/>
  <c r="AA315" i="16"/>
  <c r="AA299" i="16"/>
  <c r="AA342" i="16"/>
  <c r="AA326" i="16"/>
  <c r="AA310" i="16"/>
  <c r="AA294" i="16"/>
  <c r="AA353" i="16"/>
  <c r="AA337" i="16"/>
  <c r="AA321" i="16"/>
  <c r="AA305" i="16"/>
  <c r="AA289" i="16"/>
  <c r="AA320" i="16"/>
  <c r="AA348" i="16"/>
  <c r="AA284" i="16"/>
  <c r="AA312" i="16"/>
  <c r="AA327" i="16"/>
  <c r="AA311" i="16"/>
  <c r="AA354" i="16"/>
  <c r="AA322" i="16"/>
  <c r="AA306" i="16"/>
  <c r="AA349" i="16"/>
  <c r="AA333" i="16"/>
  <c r="AA301" i="16"/>
  <c r="AA304" i="16"/>
  <c r="AA332" i="16"/>
  <c r="AA296" i="16"/>
  <c r="AJ39" i="25"/>
  <c r="AA109" i="17"/>
  <c r="AA356" i="16"/>
  <c r="AG356" i="16" s="1"/>
  <c r="AA110" i="17"/>
  <c r="AA359" i="16"/>
  <c r="AG359" i="16" s="1"/>
  <c r="AA360" i="16"/>
  <c r="AG360" i="16" s="1"/>
  <c r="AA102" i="17"/>
  <c r="AA343" i="16"/>
  <c r="AA295" i="16"/>
  <c r="AA338" i="16"/>
  <c r="AA290" i="16"/>
  <c r="AA317" i="16"/>
  <c r="AA285" i="16"/>
  <c r="AA340" i="16"/>
  <c r="AA366" i="16"/>
  <c r="AG366" i="16" s="1"/>
  <c r="AA105" i="17"/>
  <c r="AA103" i="17"/>
  <c r="AA106" i="17"/>
  <c r="AA108" i="17"/>
  <c r="AA107" i="17"/>
  <c r="AA355" i="16"/>
  <c r="AA339" i="16"/>
  <c r="AA323" i="16"/>
  <c r="AA307" i="16"/>
  <c r="AA291" i="16"/>
  <c r="AA350" i="16"/>
  <c r="AA334" i="16"/>
  <c r="AA318" i="16"/>
  <c r="AA302" i="16"/>
  <c r="AA286" i="16"/>
  <c r="AA345" i="16"/>
  <c r="AA329" i="16"/>
  <c r="AA313" i="16"/>
  <c r="AA297" i="16"/>
  <c r="AA352" i="16"/>
  <c r="AA288" i="16"/>
  <c r="AA316" i="16"/>
  <c r="AA344" i="16"/>
  <c r="AA308" i="16"/>
  <c r="AA367" i="16"/>
  <c r="AG367" i="16" s="1"/>
  <c r="AA319" i="16"/>
  <c r="AA330" i="16"/>
  <c r="AA341" i="16"/>
  <c r="AA336" i="16"/>
  <c r="AA324" i="16"/>
  <c r="AA346" i="16"/>
  <c r="AA293" i="16"/>
  <c r="AA362" i="16"/>
  <c r="AG362" i="16" s="1"/>
  <c r="AA104" i="17"/>
  <c r="AA303" i="16"/>
  <c r="AA314" i="16"/>
  <c r="AA325" i="16"/>
  <c r="AA292" i="16"/>
  <c r="AA365" i="16"/>
  <c r="AG365" i="16" s="1"/>
  <c r="AA101" i="17"/>
  <c r="AA99" i="17"/>
  <c r="AA351" i="16"/>
  <c r="AA287" i="16"/>
  <c r="AA298" i="16"/>
  <c r="AA309" i="16"/>
  <c r="AA300" i="16"/>
  <c r="AA335" i="16"/>
  <c r="AA328" i="16"/>
  <c r="L121" i="21"/>
  <c r="O121" i="21" s="1"/>
  <c r="L124" i="21"/>
  <c r="O124" i="21" s="1"/>
  <c r="L81" i="21"/>
  <c r="O81" i="21" s="1"/>
  <c r="L85" i="21"/>
  <c r="O85" i="21" s="1"/>
  <c r="M9" i="31"/>
  <c r="Y44" i="12"/>
  <c r="AB5" i="12"/>
  <c r="AB44" i="12" s="1"/>
  <c r="Y44" i="13"/>
  <c r="AB5" i="13"/>
  <c r="O155" i="21" l="1"/>
  <c r="O156" i="21"/>
  <c r="AG369" i="16"/>
  <c r="I15" i="30"/>
  <c r="I14" i="30"/>
  <c r="K14" i="31"/>
  <c r="G10" i="35"/>
  <c r="G5" i="35"/>
  <c r="O150" i="21"/>
  <c r="N15" i="30"/>
  <c r="N14" i="30"/>
  <c r="O154" i="21"/>
  <c r="L228" i="21"/>
  <c r="O228" i="21" s="1"/>
  <c r="M7" i="31"/>
  <c r="M13" i="31" s="1"/>
  <c r="T10" i="21"/>
  <c r="AC9" i="21"/>
  <c r="O151" i="21"/>
  <c r="W10" i="21"/>
  <c r="T9" i="21"/>
  <c r="AG325" i="16"/>
  <c r="L325" i="21"/>
  <c r="O325" i="21" s="1"/>
  <c r="AG318" i="16"/>
  <c r="L318" i="21"/>
  <c r="O318" i="21" s="1"/>
  <c r="AG317" i="16"/>
  <c r="L317" i="21"/>
  <c r="O317" i="21" s="1"/>
  <c r="AG343" i="16"/>
  <c r="L343" i="21"/>
  <c r="O343" i="21" s="1"/>
  <c r="AG296" i="16"/>
  <c r="L296" i="21"/>
  <c r="O296" i="21" s="1"/>
  <c r="AG354" i="16"/>
  <c r="L354" i="21"/>
  <c r="O354" i="21" s="1"/>
  <c r="AG294" i="16"/>
  <c r="L294" i="21"/>
  <c r="O294" i="21" s="1"/>
  <c r="L244" i="21"/>
  <c r="O244" i="21" s="1"/>
  <c r="AG244" i="16"/>
  <c r="AG232" i="16"/>
  <c r="L232" i="21"/>
  <c r="O232" i="21" s="1"/>
  <c r="L198" i="21"/>
  <c r="O198" i="21" s="1"/>
  <c r="AG198" i="16"/>
  <c r="AG196" i="16"/>
  <c r="L196" i="21"/>
  <c r="O196" i="21" s="1"/>
  <c r="AG204" i="16"/>
  <c r="L204" i="21"/>
  <c r="O204" i="21" s="1"/>
  <c r="AP3" i="16"/>
  <c r="AQ3" i="16" s="1"/>
  <c r="AG328" i="16"/>
  <c r="L328" i="21"/>
  <c r="O328" i="21" s="1"/>
  <c r="AG298" i="16"/>
  <c r="L298" i="21"/>
  <c r="O298" i="21" s="1"/>
  <c r="AG314" i="16"/>
  <c r="L314" i="21"/>
  <c r="O314" i="21" s="1"/>
  <c r="L293" i="21"/>
  <c r="O293" i="21" s="1"/>
  <c r="AG293" i="16"/>
  <c r="AG341" i="16"/>
  <c r="L341" i="21"/>
  <c r="O341" i="21" s="1"/>
  <c r="AG308" i="16"/>
  <c r="L308" i="21"/>
  <c r="O308" i="21" s="1"/>
  <c r="AG352" i="16"/>
  <c r="L352" i="21"/>
  <c r="O352" i="21" s="1"/>
  <c r="AG345" i="16"/>
  <c r="L345" i="21"/>
  <c r="O345" i="21" s="1"/>
  <c r="AG334" i="16"/>
  <c r="L334" i="21"/>
  <c r="O334" i="21" s="1"/>
  <c r="AG323" i="16"/>
  <c r="L323" i="21"/>
  <c r="O323" i="21" s="1"/>
  <c r="AG290" i="16"/>
  <c r="L290" i="21"/>
  <c r="O290" i="21" s="1"/>
  <c r="AG332" i="16"/>
  <c r="L332" i="21"/>
  <c r="O332" i="21" s="1"/>
  <c r="AG349" i="16"/>
  <c r="L349" i="21"/>
  <c r="O349" i="21" s="1"/>
  <c r="AG311" i="16"/>
  <c r="L311" i="21"/>
  <c r="O311" i="21" s="1"/>
  <c r="AG348" i="16"/>
  <c r="L348" i="21"/>
  <c r="O348" i="21" s="1"/>
  <c r="AG321" i="16"/>
  <c r="L321" i="21"/>
  <c r="O321" i="21" s="1"/>
  <c r="AG310" i="16"/>
  <c r="L310" i="21"/>
  <c r="O310" i="21" s="1"/>
  <c r="AG315" i="16"/>
  <c r="L315" i="21"/>
  <c r="O315" i="21" s="1"/>
  <c r="L278" i="21"/>
  <c r="O278" i="21" s="1"/>
  <c r="AG278" i="16"/>
  <c r="AG371" i="16"/>
  <c r="L371" i="21"/>
  <c r="O371" i="21" s="1"/>
  <c r="AG230" i="16"/>
  <c r="L230" i="21"/>
  <c r="O230" i="21" s="1"/>
  <c r="AG197" i="16"/>
  <c r="L197" i="21"/>
  <c r="O197" i="21" s="1"/>
  <c r="AG201" i="16"/>
  <c r="L201" i="21"/>
  <c r="O201" i="21" s="1"/>
  <c r="L251" i="21"/>
  <c r="O251" i="21" s="1"/>
  <c r="AG251" i="16"/>
  <c r="L205" i="21"/>
  <c r="O205" i="21" s="1"/>
  <c r="AG205" i="16"/>
  <c r="AG256" i="16"/>
  <c r="L256" i="21"/>
  <c r="O256" i="21" s="1"/>
  <c r="AG231" i="16"/>
  <c r="L231" i="21"/>
  <c r="O231" i="21" s="1"/>
  <c r="AG243" i="16"/>
  <c r="L243" i="21"/>
  <c r="O243" i="21" s="1"/>
  <c r="AG281" i="16"/>
  <c r="L281" i="21"/>
  <c r="O281" i="21" s="1"/>
  <c r="O146" i="21"/>
  <c r="AG246" i="16"/>
  <c r="L246" i="21"/>
  <c r="O246" i="21" s="1"/>
  <c r="AG274" i="16"/>
  <c r="L274" i="21"/>
  <c r="O274" i="21" s="1"/>
  <c r="AG219" i="16"/>
  <c r="L219" i="21"/>
  <c r="O219" i="21" s="1"/>
  <c r="AG309" i="16"/>
  <c r="L309" i="21"/>
  <c r="O309" i="21" s="1"/>
  <c r="AG336" i="16"/>
  <c r="L336" i="21"/>
  <c r="O336" i="21" s="1"/>
  <c r="AG288" i="16"/>
  <c r="L288" i="21"/>
  <c r="O288" i="21" s="1"/>
  <c r="AG329" i="16"/>
  <c r="L329" i="21"/>
  <c r="O329" i="21" s="1"/>
  <c r="AG307" i="16"/>
  <c r="L307" i="21"/>
  <c r="O307" i="21" s="1"/>
  <c r="AG333" i="16"/>
  <c r="L333" i="21"/>
  <c r="O333" i="21" s="1"/>
  <c r="AG284" i="16"/>
  <c r="L284" i="21"/>
  <c r="O284" i="21" s="1"/>
  <c r="AG305" i="16"/>
  <c r="L305" i="21"/>
  <c r="O305" i="21" s="1"/>
  <c r="AG299" i="16"/>
  <c r="L299" i="21"/>
  <c r="O299" i="21" s="1"/>
  <c r="L282" i="21"/>
  <c r="O282" i="21" s="1"/>
  <c r="AG282" i="16"/>
  <c r="AG375" i="16"/>
  <c r="L375" i="21"/>
  <c r="O375" i="21" s="1"/>
  <c r="AG258" i="16"/>
  <c r="L258" i="21"/>
  <c r="O258" i="21" s="1"/>
  <c r="AG199" i="16"/>
  <c r="L199" i="21"/>
  <c r="O199" i="21" s="1"/>
  <c r="AG203" i="16"/>
  <c r="L203" i="21"/>
  <c r="O203" i="21" s="1"/>
  <c r="AG254" i="16"/>
  <c r="L254" i="21"/>
  <c r="O254" i="21" s="1"/>
  <c r="L229" i="21"/>
  <c r="O229" i="21" s="1"/>
  <c r="AG229" i="16"/>
  <c r="AG335" i="16"/>
  <c r="L335" i="21"/>
  <c r="O335" i="21" s="1"/>
  <c r="AG287" i="16"/>
  <c r="L287" i="21"/>
  <c r="O287" i="21" s="1"/>
  <c r="L303" i="21"/>
  <c r="O303" i="21" s="1"/>
  <c r="AG303" i="16"/>
  <c r="AG346" i="16"/>
  <c r="L346" i="21"/>
  <c r="O346" i="21" s="1"/>
  <c r="AG330" i="16"/>
  <c r="L330" i="21"/>
  <c r="O330" i="21" s="1"/>
  <c r="AG344" i="16"/>
  <c r="L344" i="21"/>
  <c r="O344" i="21" s="1"/>
  <c r="AG297" i="16"/>
  <c r="L297" i="21"/>
  <c r="O297" i="21" s="1"/>
  <c r="AG286" i="16"/>
  <c r="L286" i="21"/>
  <c r="O286" i="21" s="1"/>
  <c r="AG350" i="16"/>
  <c r="L350" i="21"/>
  <c r="O350" i="21" s="1"/>
  <c r="AG339" i="16"/>
  <c r="L339" i="21"/>
  <c r="O339" i="21" s="1"/>
  <c r="AG340" i="16"/>
  <c r="L340" i="21"/>
  <c r="O340" i="21" s="1"/>
  <c r="AG338" i="16"/>
  <c r="L338" i="21"/>
  <c r="O338" i="21" s="1"/>
  <c r="AG304" i="16"/>
  <c r="L304" i="21"/>
  <c r="O304" i="21" s="1"/>
  <c r="AG306" i="16"/>
  <c r="L306" i="21"/>
  <c r="O306" i="21" s="1"/>
  <c r="AG327" i="16"/>
  <c r="L327" i="21"/>
  <c r="O327" i="21" s="1"/>
  <c r="AG320" i="16"/>
  <c r="L320" i="21"/>
  <c r="O320" i="21" s="1"/>
  <c r="AG337" i="16"/>
  <c r="L337" i="21"/>
  <c r="O337" i="21" s="1"/>
  <c r="AG326" i="16"/>
  <c r="L326" i="21"/>
  <c r="O326" i="21" s="1"/>
  <c r="AG331" i="16"/>
  <c r="L331" i="21"/>
  <c r="O331" i="21" s="1"/>
  <c r="O153" i="21"/>
  <c r="AG376" i="16"/>
  <c r="L376" i="21"/>
  <c r="O376" i="21" s="1"/>
  <c r="AG377" i="16"/>
  <c r="L377" i="21"/>
  <c r="O377" i="21" s="1"/>
  <c r="AG249" i="16"/>
  <c r="L249" i="21"/>
  <c r="O249" i="21" s="1"/>
  <c r="AG235" i="16"/>
  <c r="L235" i="21"/>
  <c r="O235" i="21" s="1"/>
  <c r="AG253" i="16"/>
  <c r="L253" i="21"/>
  <c r="O253" i="21" s="1"/>
  <c r="AG194" i="16"/>
  <c r="L194" i="21"/>
  <c r="AG257" i="16"/>
  <c r="L257" i="21"/>
  <c r="O257" i="21" s="1"/>
  <c r="L255" i="21"/>
  <c r="O255" i="21" s="1"/>
  <c r="AG255" i="16"/>
  <c r="AG233" i="16"/>
  <c r="L233" i="21"/>
  <c r="O233" i="21" s="1"/>
  <c r="AG259" i="16"/>
  <c r="L259" i="21"/>
  <c r="O259" i="21" s="1"/>
  <c r="AG225" i="16"/>
  <c r="L225" i="21"/>
  <c r="O225" i="21" s="1"/>
  <c r="L283" i="21"/>
  <c r="O283" i="21" s="1"/>
  <c r="AG283" i="16"/>
  <c r="AG247" i="16"/>
  <c r="L247" i="21"/>
  <c r="O247" i="21" s="1"/>
  <c r="AG275" i="16"/>
  <c r="L275" i="21"/>
  <c r="O275" i="21" s="1"/>
  <c r="AG221" i="16"/>
  <c r="L221" i="21"/>
  <c r="O221" i="21" s="1"/>
  <c r="O147" i="21"/>
  <c r="AG279" i="16"/>
  <c r="L279" i="21"/>
  <c r="O279" i="21" s="1"/>
  <c r="O149" i="21"/>
  <c r="AG276" i="16"/>
  <c r="L276" i="21"/>
  <c r="O276" i="21" s="1"/>
  <c r="AG273" i="16"/>
  <c r="L273" i="21"/>
  <c r="O273" i="21" s="1"/>
  <c r="AG218" i="16"/>
  <c r="L218" i="21"/>
  <c r="O218" i="21" s="1"/>
  <c r="AG223" i="16"/>
  <c r="L223" i="21"/>
  <c r="O223" i="21" s="1"/>
  <c r="AG300" i="16"/>
  <c r="L300" i="21"/>
  <c r="O300" i="21" s="1"/>
  <c r="AG351" i="16"/>
  <c r="L351" i="21"/>
  <c r="O351" i="21" s="1"/>
  <c r="AG292" i="16"/>
  <c r="L292" i="21"/>
  <c r="O292" i="21" s="1"/>
  <c r="AG324" i="16"/>
  <c r="L324" i="21"/>
  <c r="O324" i="21" s="1"/>
  <c r="AG319" i="16"/>
  <c r="L319" i="21"/>
  <c r="O319" i="21" s="1"/>
  <c r="AG316" i="16"/>
  <c r="L316" i="21"/>
  <c r="O316" i="21" s="1"/>
  <c r="L313" i="21"/>
  <c r="O313" i="21" s="1"/>
  <c r="AG313" i="16"/>
  <c r="AG302" i="16"/>
  <c r="L302" i="21"/>
  <c r="O302" i="21" s="1"/>
  <c r="L291" i="21"/>
  <c r="O291" i="21" s="1"/>
  <c r="AG291" i="16"/>
  <c r="L366" i="21"/>
  <c r="O366" i="21" s="1"/>
  <c r="L363" i="21"/>
  <c r="O363" i="21" s="1"/>
  <c r="L357" i="21"/>
  <c r="O357" i="21" s="1"/>
  <c r="L356" i="21"/>
  <c r="O356" i="21" s="1"/>
  <c r="L362" i="21"/>
  <c r="O362" i="21" s="1"/>
  <c r="L359" i="21"/>
  <c r="O359" i="21" s="1"/>
  <c r="L355" i="21"/>
  <c r="O355" i="21" s="1"/>
  <c r="L358" i="21"/>
  <c r="O358" i="21" s="1"/>
  <c r="L365" i="21"/>
  <c r="O365" i="21" s="1"/>
  <c r="L364" i="21"/>
  <c r="O364" i="21" s="1"/>
  <c r="AG355" i="16"/>
  <c r="L367" i="21"/>
  <c r="O367" i="21" s="1"/>
  <c r="L361" i="21"/>
  <c r="O361" i="21" s="1"/>
  <c r="L360" i="21"/>
  <c r="O360" i="21" s="1"/>
  <c r="AG285" i="16"/>
  <c r="L285" i="21"/>
  <c r="O285" i="21" s="1"/>
  <c r="AG295" i="16"/>
  <c r="L295" i="21"/>
  <c r="O295" i="21" s="1"/>
  <c r="AG301" i="16"/>
  <c r="L301" i="21"/>
  <c r="O301" i="21" s="1"/>
  <c r="L322" i="21"/>
  <c r="O322" i="21" s="1"/>
  <c r="AG322" i="16"/>
  <c r="AG312" i="16"/>
  <c r="L312" i="21"/>
  <c r="O312" i="21" s="1"/>
  <c r="AG289" i="16"/>
  <c r="L289" i="21"/>
  <c r="O289" i="21" s="1"/>
  <c r="AG353" i="16"/>
  <c r="L353" i="21"/>
  <c r="O353" i="21" s="1"/>
  <c r="AG342" i="16"/>
  <c r="L342" i="21"/>
  <c r="O342" i="21" s="1"/>
  <c r="AG347" i="16"/>
  <c r="L347" i="21"/>
  <c r="O347" i="21" s="1"/>
  <c r="L224" i="21"/>
  <c r="O224" i="21" s="1"/>
  <c r="AG224" i="16"/>
  <c r="AG368" i="16"/>
  <c r="L368" i="21"/>
  <c r="AG370" i="16"/>
  <c r="L370" i="21"/>
  <c r="O370" i="21" s="1"/>
  <c r="AG252" i="16"/>
  <c r="L252" i="21"/>
  <c r="O252" i="21" s="1"/>
  <c r="L248" i="21"/>
  <c r="O248" i="21" s="1"/>
  <c r="AG248" i="16"/>
  <c r="L234" i="21"/>
  <c r="O234" i="21" s="1"/>
  <c r="AG234" i="16"/>
  <c r="L195" i="21"/>
  <c r="O195" i="21" s="1"/>
  <c r="AG195" i="16"/>
  <c r="L250" i="21"/>
  <c r="O250" i="21" s="1"/>
  <c r="AG250" i="16"/>
  <c r="AG200" i="16"/>
  <c r="L200" i="21"/>
  <c r="O200" i="21" s="1"/>
  <c r="AG202" i="16"/>
  <c r="L202" i="21"/>
  <c r="O202" i="21" s="1"/>
  <c r="AG227" i="16"/>
  <c r="L227" i="21"/>
  <c r="O227" i="21" s="1"/>
  <c r="AG277" i="16"/>
  <c r="L277" i="21"/>
  <c r="O277" i="21" s="1"/>
  <c r="AG245" i="16"/>
  <c r="L245" i="21"/>
  <c r="O245" i="21" s="1"/>
  <c r="AG220" i="16"/>
  <c r="L220" i="21"/>
  <c r="O220" i="21" s="1"/>
  <c r="AG272" i="16"/>
  <c r="L272" i="21"/>
  <c r="O272" i="21" s="1"/>
  <c r="AG222" i="16"/>
  <c r="L222" i="21"/>
  <c r="O222" i="21" s="1"/>
  <c r="O152" i="21"/>
  <c r="M15" i="31"/>
  <c r="M14" i="31"/>
  <c r="AJ5" i="25"/>
  <c r="G13" i="23"/>
  <c r="I13" i="23" s="1"/>
  <c r="G8" i="23"/>
  <c r="I8" i="23" s="1"/>
  <c r="AB44" i="13"/>
  <c r="AA109" i="16"/>
  <c r="AA106" i="16"/>
  <c r="AA102" i="16"/>
  <c r="AA98" i="16"/>
  <c r="AA34" i="16"/>
  <c r="AA30" i="16"/>
  <c r="AA26" i="16"/>
  <c r="AA107" i="16"/>
  <c r="AA35" i="16"/>
  <c r="AA105" i="16"/>
  <c r="AA101" i="16"/>
  <c r="AA37" i="16"/>
  <c r="AA33" i="16"/>
  <c r="AA29" i="16"/>
  <c r="AA103" i="16"/>
  <c r="AA31" i="16"/>
  <c r="AA108" i="16"/>
  <c r="AA104" i="16"/>
  <c r="AA100" i="16"/>
  <c r="AA36" i="16"/>
  <c r="AA32" i="16"/>
  <c r="AA28" i="16"/>
  <c r="AA99" i="16"/>
  <c r="AA27" i="16"/>
  <c r="D18" i="23" l="1"/>
  <c r="Z10" i="21"/>
  <c r="AH10" i="21" s="1"/>
  <c r="W9" i="21"/>
  <c r="Z9" i="21" s="1"/>
  <c r="AH9" i="21" s="1"/>
  <c r="AC11" i="21"/>
  <c r="AP5" i="16"/>
  <c r="AP6" i="16"/>
  <c r="AQ6" i="16" s="1"/>
  <c r="AC12" i="21"/>
  <c r="T12" i="21"/>
  <c r="O368" i="21"/>
  <c r="W12" i="21" s="1"/>
  <c r="O194" i="21"/>
  <c r="W11" i="21" s="1"/>
  <c r="T11" i="21"/>
  <c r="AG29" i="16"/>
  <c r="L29" i="21"/>
  <c r="O29" i="21" s="1"/>
  <c r="AG32" i="16"/>
  <c r="L32" i="21"/>
  <c r="O32" i="21" s="1"/>
  <c r="AG28" i="16"/>
  <c r="L28" i="21"/>
  <c r="O28" i="21" s="1"/>
  <c r="AG104" i="16"/>
  <c r="L104" i="21"/>
  <c r="O104" i="21" s="1"/>
  <c r="AG105" i="16"/>
  <c r="L105" i="21"/>
  <c r="O105" i="21" s="1"/>
  <c r="AG30" i="16"/>
  <c r="L30" i="21"/>
  <c r="O30" i="21" s="1"/>
  <c r="AG106" i="16"/>
  <c r="L106" i="21"/>
  <c r="O106" i="21" s="1"/>
  <c r="AG108" i="16"/>
  <c r="L108" i="21"/>
  <c r="O108" i="21" s="1"/>
  <c r="AG33" i="16"/>
  <c r="L33" i="21"/>
  <c r="O33" i="21" s="1"/>
  <c r="AG35" i="16"/>
  <c r="L35" i="21"/>
  <c r="O35" i="21" s="1"/>
  <c r="AG34" i="16"/>
  <c r="L34" i="21"/>
  <c r="O34" i="21" s="1"/>
  <c r="AG109" i="16"/>
  <c r="L109" i="21"/>
  <c r="O109" i="21" s="1"/>
  <c r="AG27" i="16"/>
  <c r="L27" i="21"/>
  <c r="O27" i="21" s="1"/>
  <c r="AG36" i="16"/>
  <c r="L36" i="21"/>
  <c r="O36" i="21" s="1"/>
  <c r="AG31" i="16"/>
  <c r="L31" i="21"/>
  <c r="O31" i="21" s="1"/>
  <c r="AG37" i="16"/>
  <c r="L37" i="21"/>
  <c r="O37" i="21" s="1"/>
  <c r="AG107" i="16"/>
  <c r="L107" i="21"/>
  <c r="O107" i="21" s="1"/>
  <c r="AG98" i="16"/>
  <c r="L98" i="21"/>
  <c r="O98" i="21" s="1"/>
  <c r="AG99" i="16"/>
  <c r="L99" i="21"/>
  <c r="O99" i="21" s="1"/>
  <c r="AG100" i="16"/>
  <c r="L100" i="21"/>
  <c r="O100" i="21" s="1"/>
  <c r="AG103" i="16"/>
  <c r="L103" i="21"/>
  <c r="O103" i="21" s="1"/>
  <c r="AG101" i="16"/>
  <c r="L101" i="21"/>
  <c r="O101" i="21" s="1"/>
  <c r="AG26" i="16"/>
  <c r="L26" i="21"/>
  <c r="AG102" i="16"/>
  <c r="L102" i="21"/>
  <c r="O102" i="21" s="1"/>
  <c r="AP2" i="16" l="1"/>
  <c r="AQ2" i="16" s="1"/>
  <c r="Z11" i="21"/>
  <c r="AH11" i="21" s="1"/>
  <c r="AQ5" i="16"/>
  <c r="AP8" i="16"/>
  <c r="AQ8" i="16" s="1"/>
  <c r="Z12" i="21"/>
  <c r="AH12" i="21" s="1"/>
  <c r="AC7" i="21"/>
  <c r="O26" i="21"/>
  <c r="W7" i="21" s="1"/>
  <c r="T7" i="21"/>
  <c r="AP7" i="16" l="1"/>
  <c r="AQ7" i="16" s="1"/>
  <c r="Z7" i="21"/>
  <c r="AH7" i="21" s="1"/>
  <c r="AP9" i="16" l="1"/>
  <c r="AQ9" i="16" s="1"/>
  <c r="AL3" i="16" l="1"/>
  <c r="AV3" i="16"/>
  <c r="AL4" i="16"/>
  <c r="AV4" i="16"/>
  <c r="AL5" i="16"/>
  <c r="AV5" i="16"/>
  <c r="AL6" i="16"/>
  <c r="AV6" i="16"/>
  <c r="AL8" i="16"/>
  <c r="AV8" i="16"/>
  <c r="AL3" i="26"/>
  <c r="AQ3" i="26"/>
  <c r="AV3" i="26"/>
  <c r="AL4" i="26"/>
  <c r="AQ4" i="26"/>
  <c r="AV4" i="26"/>
  <c r="AL5" i="26"/>
  <c r="AQ5" i="26"/>
  <c r="AV5" i="26"/>
  <c r="AL6" i="26"/>
  <c r="AQ6" i="26"/>
  <c r="AV6" i="26"/>
  <c r="AL8" i="26"/>
  <c r="AQ8" i="26"/>
  <c r="AV8" i="26"/>
  <c r="N122" i="21" l="1"/>
  <c r="K122" i="21"/>
  <c r="N105" i="21"/>
  <c r="K105" i="21"/>
  <c r="AF103" i="26"/>
  <c r="Z103" i="26"/>
  <c r="N226" i="21"/>
  <c r="K226" i="21"/>
  <c r="N338" i="21"/>
  <c r="K338" i="21"/>
  <c r="N118" i="21"/>
  <c r="K118" i="21"/>
  <c r="N109" i="21"/>
  <c r="K109" i="21"/>
  <c r="N130" i="21"/>
  <c r="K130" i="21"/>
  <c r="AF251" i="26"/>
  <c r="Z251" i="26"/>
  <c r="AE7" i="21"/>
  <c r="AE2" i="17"/>
  <c r="Z2" i="17"/>
  <c r="N171" i="21"/>
  <c r="K171" i="21"/>
  <c r="N275" i="21"/>
  <c r="K275" i="21"/>
  <c r="N192" i="21"/>
  <c r="K192" i="21"/>
  <c r="N360" i="21"/>
  <c r="K360" i="21"/>
  <c r="N206" i="21"/>
  <c r="K206" i="21"/>
  <c r="N252" i="21"/>
  <c r="K252" i="21"/>
  <c r="AG149" i="26"/>
  <c r="AA149" i="26"/>
  <c r="AF101" i="26"/>
  <c r="Z101" i="26"/>
  <c r="M94" i="21"/>
  <c r="J94" i="21"/>
  <c r="N303" i="21"/>
  <c r="K303" i="21"/>
  <c r="AF164" i="16"/>
  <c r="Z164" i="16"/>
  <c r="N74" i="21"/>
  <c r="K74" i="21"/>
  <c r="AF183" i="26"/>
  <c r="Z183" i="26"/>
  <c r="AF168" i="16"/>
  <c r="Z168" i="16"/>
  <c r="N139" i="21"/>
  <c r="K139" i="21"/>
  <c r="N41" i="21"/>
  <c r="K41" i="21"/>
  <c r="M92" i="21"/>
  <c r="J92" i="21"/>
  <c r="N311" i="21"/>
  <c r="K311" i="21"/>
  <c r="N279" i="21"/>
  <c r="K279" i="21"/>
  <c r="AG302" i="26"/>
  <c r="AA302" i="26"/>
  <c r="AF8" i="26"/>
  <c r="Z8" i="26"/>
  <c r="N342" i="21"/>
  <c r="K342" i="21"/>
  <c r="N45" i="21"/>
  <c r="K45" i="21"/>
  <c r="M25" i="21"/>
  <c r="J25" i="21"/>
  <c r="N48" i="21"/>
  <c r="K48" i="21"/>
  <c r="AF75" i="16"/>
  <c r="N297" i="21"/>
  <c r="K297" i="21"/>
  <c r="N276" i="21"/>
  <c r="K276" i="21"/>
  <c r="AF282" i="16"/>
  <c r="AG256" i="26"/>
  <c r="AA256" i="26"/>
  <c r="N111" i="21"/>
  <c r="K111" i="21"/>
  <c r="AF272" i="16"/>
  <c r="N371" i="21"/>
  <c r="K371" i="21"/>
  <c r="AG273" i="26"/>
  <c r="AA273" i="26"/>
  <c r="N119" i="21"/>
  <c r="K119" i="21"/>
  <c r="N100" i="21"/>
  <c r="K100" i="21"/>
  <c r="N278" i="21"/>
  <c r="K278" i="21"/>
  <c r="N327" i="21"/>
  <c r="K327" i="21"/>
  <c r="N84" i="21"/>
  <c r="K84" i="21"/>
  <c r="N7" i="21"/>
  <c r="K7" i="21"/>
  <c r="D49" i="5"/>
  <c r="N188" i="21"/>
  <c r="K188" i="21"/>
  <c r="AF119" i="26"/>
  <c r="Z119" i="26"/>
  <c r="AF288" i="16"/>
  <c r="N299" i="21"/>
  <c r="K299" i="21"/>
  <c r="AE15" i="26"/>
  <c r="Y15" i="26"/>
  <c r="N193" i="21"/>
  <c r="K193" i="21"/>
  <c r="Z327" i="16"/>
  <c r="AF327" i="16"/>
  <c r="AF232" i="16"/>
  <c r="AE86" i="17"/>
  <c r="Z86" i="17"/>
  <c r="AG5" i="26"/>
  <c r="AA5" i="26"/>
  <c r="N162" i="21"/>
  <c r="K162" i="21"/>
  <c r="AG9" i="21"/>
  <c r="Y9" i="21"/>
  <c r="S9" i="21"/>
  <c r="N294" i="21"/>
  <c r="K294" i="21"/>
  <c r="N358" i="21"/>
  <c r="K358" i="21"/>
  <c r="M20" i="21"/>
  <c r="J20" i="21"/>
  <c r="N296" i="21"/>
  <c r="K296" i="21"/>
  <c r="N73" i="21"/>
  <c r="K73" i="21"/>
  <c r="N126" i="21"/>
  <c r="K126" i="21"/>
  <c r="N114" i="21"/>
  <c r="K114" i="21"/>
  <c r="N222" i="21"/>
  <c r="K222" i="21"/>
  <c r="AF334" i="16"/>
  <c r="N85" i="21"/>
  <c r="K85" i="21"/>
  <c r="AF43" i="16"/>
  <c r="AF187" i="16"/>
  <c r="Z187" i="16"/>
  <c r="AG333" i="26"/>
  <c r="AA333" i="26"/>
  <c r="N152" i="21"/>
  <c r="K152" i="21"/>
  <c r="N137" i="21"/>
  <c r="K137" i="21"/>
  <c r="AE9" i="17"/>
  <c r="Z9" i="17"/>
  <c r="AF176" i="16"/>
  <c r="Z176" i="16"/>
  <c r="Z282" i="16"/>
  <c r="K282" i="21"/>
  <c r="N282" i="21"/>
  <c r="AE88" i="26"/>
  <c r="Y88" i="26"/>
  <c r="AF7" i="21"/>
  <c r="X7" i="21"/>
  <c r="R7" i="21"/>
  <c r="Z299" i="16"/>
  <c r="AF299" i="16"/>
  <c r="AJ12" i="21"/>
  <c r="V12" i="21"/>
  <c r="N368" i="21"/>
  <c r="N260" i="21"/>
  <c r="K260" i="21"/>
  <c r="AF36" i="16"/>
  <c r="N379" i="21"/>
  <c r="K379" i="21"/>
  <c r="AG162" i="26"/>
  <c r="AA162" i="26"/>
  <c r="AF377" i="16"/>
  <c r="AE9" i="21"/>
  <c r="AE38" i="17"/>
  <c r="Z38" i="17"/>
  <c r="Z43" i="16"/>
  <c r="K43" i="21"/>
  <c r="N43" i="21"/>
  <c r="AG33" i="26"/>
  <c r="AA33" i="26"/>
  <c r="N98" i="21"/>
  <c r="K98" i="21"/>
  <c r="AG163" i="26"/>
  <c r="AA163" i="26"/>
  <c r="AF299" i="26"/>
  <c r="Z299" i="26"/>
  <c r="AF209" i="26"/>
  <c r="Z209" i="26"/>
  <c r="AL7" i="16"/>
  <c r="AK7" i="16"/>
  <c r="N219" i="21"/>
  <c r="K219" i="21"/>
  <c r="AG167" i="26"/>
  <c r="AA167" i="26"/>
  <c r="N8" i="21"/>
  <c r="K8" i="21"/>
  <c r="AF271" i="16"/>
  <c r="N170" i="21"/>
  <c r="K170" i="21"/>
  <c r="N293" i="21"/>
  <c r="K293" i="21"/>
  <c r="Z73" i="16"/>
  <c r="AF73" i="16"/>
  <c r="Z260" i="16"/>
  <c r="AF260" i="16"/>
  <c r="N369" i="21"/>
  <c r="K369" i="21"/>
  <c r="AF303" i="26"/>
  <c r="Z303" i="26"/>
  <c r="Z377" i="16"/>
  <c r="K377" i="21"/>
  <c r="N377" i="21"/>
  <c r="N234" i="21"/>
  <c r="K234" i="21"/>
  <c r="K368" i="21"/>
  <c r="S12" i="21"/>
  <c r="Y12" i="21"/>
  <c r="AG12" i="21"/>
  <c r="N255" i="21"/>
  <c r="K255" i="21"/>
  <c r="N321" i="21"/>
  <c r="K321" i="21"/>
  <c r="AF357" i="26"/>
  <c r="Z357" i="26"/>
  <c r="AF287" i="26"/>
  <c r="Z287" i="26"/>
  <c r="AE11" i="21"/>
  <c r="Z99" i="17"/>
  <c r="AE99" i="17"/>
  <c r="AJ5" i="17"/>
  <c r="AF81" i="16"/>
  <c r="N26" i="21"/>
  <c r="K26" i="21"/>
  <c r="Z81" i="16"/>
  <c r="K81" i="21"/>
  <c r="N81" i="21"/>
  <c r="N349" i="21"/>
  <c r="K349" i="21"/>
  <c r="N135" i="21"/>
  <c r="K135" i="21"/>
  <c r="AF180" i="16"/>
  <c r="Z180" i="16"/>
  <c r="M52" i="21"/>
  <c r="J52" i="21"/>
  <c r="Z119" i="16"/>
  <c r="AF119" i="16"/>
  <c r="Z84" i="16"/>
  <c r="AF84" i="16"/>
  <c r="N375" i="21"/>
  <c r="K375" i="21"/>
  <c r="AK4" i="16"/>
  <c r="AU4" i="16"/>
  <c r="Z182" i="16"/>
  <c r="AF182" i="16"/>
  <c r="AB10" i="21"/>
  <c r="N378" i="21"/>
  <c r="K378" i="21"/>
  <c r="N248" i="21"/>
  <c r="K248" i="21"/>
  <c r="AF156" i="16"/>
  <c r="Z156" i="16"/>
  <c r="Z111" i="16"/>
  <c r="AF111" i="16"/>
  <c r="N242" i="21"/>
  <c r="K242" i="21"/>
  <c r="AF150" i="16"/>
  <c r="Z150" i="16"/>
  <c r="N345" i="21"/>
  <c r="K345" i="21"/>
  <c r="AF4" i="16"/>
  <c r="N223" i="21"/>
  <c r="K223" i="21"/>
  <c r="AF268" i="16"/>
  <c r="N269" i="21"/>
  <c r="K269" i="21"/>
  <c r="N142" i="21"/>
  <c r="K142" i="21"/>
  <c r="Z271" i="16"/>
  <c r="K271" i="21"/>
  <c r="N271" i="21"/>
  <c r="N257" i="21"/>
  <c r="K257" i="21"/>
  <c r="AG7" i="21"/>
  <c r="Y7" i="21"/>
  <c r="S7" i="21"/>
  <c r="N156" i="21"/>
  <c r="K156" i="21"/>
  <c r="N44" i="21"/>
  <c r="K44" i="21"/>
  <c r="N317" i="21"/>
  <c r="K317" i="21"/>
  <c r="M51" i="21"/>
  <c r="J51" i="21"/>
  <c r="N258" i="21"/>
  <c r="K258" i="21"/>
  <c r="AF36" i="26"/>
  <c r="Z36" i="26"/>
  <c r="N326" i="21"/>
  <c r="K326" i="21"/>
  <c r="AF208" i="16"/>
  <c r="AF28" i="26"/>
  <c r="Z28" i="26"/>
  <c r="M89" i="21"/>
  <c r="J89" i="21"/>
  <c r="N353" i="21"/>
  <c r="K353" i="21"/>
  <c r="Z114" i="16"/>
  <c r="AF114" i="16"/>
  <c r="N175" i="21"/>
  <c r="K175" i="21"/>
  <c r="AF152" i="26"/>
  <c r="Z152" i="26"/>
  <c r="AF287" i="16"/>
  <c r="Z206" i="16"/>
  <c r="AF206" i="16"/>
  <c r="AF265" i="16"/>
  <c r="Y94" i="16"/>
  <c r="AE94" i="16"/>
  <c r="N212" i="21"/>
  <c r="K212" i="21"/>
  <c r="AF177" i="26"/>
  <c r="Z177" i="26"/>
  <c r="N328" i="21"/>
  <c r="K328" i="21"/>
  <c r="N184" i="21"/>
  <c r="K184" i="21"/>
  <c r="AF66" i="26"/>
  <c r="Z66" i="26"/>
  <c r="Z232" i="16"/>
  <c r="K232" i="21"/>
  <c r="N232" i="21"/>
  <c r="AF136" i="16"/>
  <c r="Z136" i="16"/>
  <c r="N238" i="21"/>
  <c r="K238" i="21"/>
  <c r="Z105" i="16"/>
  <c r="AF105" i="16"/>
  <c r="AF38" i="26"/>
  <c r="Z38" i="26"/>
  <c r="AF228" i="16"/>
  <c r="N132" i="21"/>
  <c r="K132" i="21"/>
  <c r="Z226" i="16"/>
  <c r="AF226" i="16"/>
  <c r="N366" i="21"/>
  <c r="K366" i="21"/>
  <c r="AF231" i="16"/>
  <c r="N274" i="21"/>
  <c r="K274" i="21"/>
  <c r="N214" i="21"/>
  <c r="K214" i="21"/>
  <c r="N180" i="21"/>
  <c r="K180" i="21"/>
  <c r="AF159" i="16"/>
  <c r="Z159" i="16"/>
  <c r="AG215" i="26"/>
  <c r="AA215" i="26"/>
  <c r="N374" i="21"/>
  <c r="K374" i="21"/>
  <c r="N123" i="21"/>
  <c r="K123" i="21"/>
  <c r="AK6" i="16"/>
  <c r="AU6" i="16"/>
  <c r="Z368" i="16"/>
  <c r="AF368" i="16"/>
  <c r="AB12" i="21"/>
  <c r="Z294" i="16"/>
  <c r="AF294" i="16"/>
  <c r="AF3" i="16"/>
  <c r="AG316" i="26"/>
  <c r="AA316" i="26"/>
  <c r="Z7" i="16"/>
  <c r="AF7" i="16"/>
  <c r="N233" i="21"/>
  <c r="K233" i="21"/>
  <c r="N13" i="21"/>
  <c r="K13" i="21"/>
  <c r="N11" i="21"/>
  <c r="K11" i="21"/>
  <c r="N262" i="21"/>
  <c r="K262" i="21"/>
  <c r="Z276" i="16"/>
  <c r="AF276" i="16"/>
  <c r="Z123" i="16"/>
  <c r="AF123" i="16"/>
  <c r="Z208" i="16"/>
  <c r="K208" i="21"/>
  <c r="N208" i="21"/>
  <c r="AG31" i="26"/>
  <c r="AA31" i="26"/>
  <c r="Z257" i="16"/>
  <c r="AF257" i="16"/>
  <c r="AF28" i="16"/>
  <c r="M18" i="21"/>
  <c r="J18" i="21"/>
  <c r="N72" i="21"/>
  <c r="K72" i="21"/>
  <c r="AF65" i="16"/>
  <c r="Y18" i="16"/>
  <c r="AE18" i="16"/>
  <c r="Z44" i="16"/>
  <c r="AF44" i="16"/>
  <c r="N49" i="21"/>
  <c r="K49" i="21"/>
  <c r="N143" i="21"/>
  <c r="K143" i="21"/>
  <c r="Y89" i="16"/>
  <c r="AE89" i="16"/>
  <c r="Z26" i="16"/>
  <c r="AF26" i="16"/>
  <c r="AF322" i="16"/>
  <c r="N240" i="21"/>
  <c r="K240" i="21"/>
  <c r="N280" i="21"/>
  <c r="K280" i="21"/>
  <c r="AF152" i="16"/>
  <c r="Z152" i="16"/>
  <c r="AG319" i="26"/>
  <c r="AA319" i="26"/>
  <c r="N290" i="21"/>
  <c r="K290" i="21"/>
  <c r="Z109" i="16"/>
  <c r="AF109" i="16"/>
  <c r="AF186" i="16"/>
  <c r="Z186" i="16"/>
  <c r="N12" i="21"/>
  <c r="K12" i="21"/>
  <c r="AF176" i="26"/>
  <c r="Z176" i="26"/>
  <c r="N187" i="21"/>
  <c r="K187" i="21"/>
  <c r="AF31" i="26"/>
  <c r="Z31" i="26"/>
  <c r="N70" i="21"/>
  <c r="K70" i="21"/>
  <c r="N174" i="21"/>
  <c r="K174" i="21"/>
  <c r="AG341" i="26"/>
  <c r="AA341" i="26"/>
  <c r="N340" i="21"/>
  <c r="K340" i="21"/>
  <c r="N312" i="21"/>
  <c r="K312" i="21"/>
  <c r="N325" i="21"/>
  <c r="K325" i="21"/>
  <c r="N210" i="21"/>
  <c r="K210" i="21"/>
  <c r="AG29" i="26"/>
  <c r="AA29" i="26"/>
  <c r="N215" i="21"/>
  <c r="K215" i="21"/>
  <c r="AF174" i="16"/>
  <c r="Z174" i="16"/>
  <c r="AG27" i="26"/>
  <c r="AA27" i="26"/>
  <c r="AF233" i="26"/>
  <c r="Z233" i="26"/>
  <c r="AF184" i="16"/>
  <c r="Z184" i="16"/>
  <c r="N159" i="21"/>
  <c r="K159" i="21"/>
  <c r="N32" i="21"/>
  <c r="K32" i="21"/>
  <c r="AF205" i="16"/>
  <c r="AG283" i="26"/>
  <c r="AA283" i="26"/>
  <c r="N42" i="21"/>
  <c r="K42" i="21"/>
  <c r="N266" i="21"/>
  <c r="K266" i="21"/>
  <c r="Z280" i="16"/>
  <c r="AF280" i="16"/>
  <c r="N115" i="21"/>
  <c r="K115" i="21"/>
  <c r="N133" i="21"/>
  <c r="K133" i="21"/>
  <c r="Z338" i="16"/>
  <c r="AF338" i="16"/>
  <c r="K110" i="21"/>
  <c r="N110" i="21"/>
  <c r="V9" i="21"/>
  <c r="AJ9" i="21"/>
  <c r="AF138" i="16"/>
  <c r="Z138" i="16"/>
  <c r="N120" i="21"/>
  <c r="K120" i="21"/>
  <c r="N144" i="21"/>
  <c r="K144" i="21"/>
  <c r="AF37" i="16"/>
  <c r="N64" i="21"/>
  <c r="K64" i="21"/>
  <c r="Z379" i="16"/>
  <c r="AF379" i="16"/>
  <c r="AF78" i="16"/>
  <c r="AG106" i="26"/>
  <c r="AA106" i="26"/>
  <c r="AF129" i="16"/>
  <c r="N318" i="21"/>
  <c r="K318" i="21"/>
  <c r="N125" i="21"/>
  <c r="K125" i="21"/>
  <c r="Z293" i="16"/>
  <c r="AF293" i="16"/>
  <c r="AF179" i="26"/>
  <c r="Z179" i="26"/>
  <c r="Y52" i="16"/>
  <c r="AE52" i="16"/>
  <c r="N354" i="21"/>
  <c r="K354" i="21"/>
  <c r="AG136" i="26"/>
  <c r="AA136" i="26"/>
  <c r="M22" i="21"/>
  <c r="J22" i="21"/>
  <c r="N370" i="21"/>
  <c r="K370" i="21"/>
  <c r="AJ10" i="21"/>
  <c r="V10" i="21"/>
  <c r="N182" i="21"/>
  <c r="AF246" i="16"/>
  <c r="N273" i="21"/>
  <c r="K273" i="21"/>
  <c r="AG312" i="26"/>
  <c r="AA312" i="26"/>
  <c r="AF305" i="16"/>
  <c r="AG164" i="26"/>
  <c r="AA164" i="26"/>
  <c r="N77" i="21"/>
  <c r="K77" i="21"/>
  <c r="AF343" i="16"/>
  <c r="K182" i="21"/>
  <c r="S10" i="21"/>
  <c r="Y10" i="21"/>
  <c r="AG10" i="21"/>
  <c r="AF193" i="26"/>
  <c r="Z193" i="26"/>
  <c r="N158" i="21"/>
  <c r="K158" i="21"/>
  <c r="AF331" i="16"/>
  <c r="AF295" i="16"/>
  <c r="M96" i="21"/>
  <c r="J96" i="21"/>
  <c r="M86" i="21"/>
  <c r="J86" i="21"/>
  <c r="N241" i="21"/>
  <c r="K241" i="21"/>
  <c r="N76" i="21"/>
  <c r="K76" i="21"/>
  <c r="N196" i="21"/>
  <c r="K196" i="21"/>
  <c r="N131" i="21"/>
  <c r="K131" i="21"/>
  <c r="Z78" i="16"/>
  <c r="K78" i="21"/>
  <c r="N78" i="21"/>
  <c r="Z317" i="16"/>
  <c r="AF317" i="16"/>
  <c r="AF357" i="16"/>
  <c r="Z357" i="16"/>
  <c r="AG11" i="21"/>
  <c r="Y11" i="21"/>
  <c r="S11" i="21"/>
  <c r="Z129" i="16"/>
  <c r="K129" i="21"/>
  <c r="N129" i="21"/>
  <c r="AF42" i="26"/>
  <c r="Z42" i="26"/>
  <c r="N284" i="21"/>
  <c r="K284" i="21"/>
  <c r="AF289" i="16"/>
  <c r="AE53" i="16"/>
  <c r="AF149" i="16"/>
  <c r="Z149" i="16"/>
  <c r="AF281" i="16"/>
  <c r="AF220" i="16"/>
  <c r="Z246" i="16"/>
  <c r="K246" i="21"/>
  <c r="N246" i="21"/>
  <c r="AG79" i="26"/>
  <c r="AA79" i="26"/>
  <c r="AF214" i="26"/>
  <c r="Z214" i="26"/>
  <c r="N247" i="21"/>
  <c r="K247" i="21"/>
  <c r="AF335" i="26"/>
  <c r="Z335" i="26"/>
  <c r="AE78" i="17"/>
  <c r="Z78" i="17"/>
  <c r="N127" i="21"/>
  <c r="K127" i="21"/>
  <c r="AF183" i="16"/>
  <c r="Z183" i="16"/>
  <c r="N203" i="21"/>
  <c r="K203" i="21"/>
  <c r="N365" i="21"/>
  <c r="K365" i="21"/>
  <c r="AG80" i="26"/>
  <c r="AA80" i="26"/>
  <c r="AF149" i="26"/>
  <c r="Z149" i="26"/>
  <c r="Z49" i="16"/>
  <c r="AF49" i="16"/>
  <c r="AG231" i="26"/>
  <c r="AA231" i="26"/>
  <c r="AG218" i="26"/>
  <c r="AA218" i="26"/>
  <c r="Z284" i="16"/>
  <c r="AF284" i="16"/>
  <c r="Z13" i="16"/>
  <c r="AF13" i="16"/>
  <c r="N254" i="21"/>
  <c r="K254" i="21"/>
  <c r="Z85" i="16"/>
  <c r="AF85" i="16"/>
  <c r="N134" i="21"/>
  <c r="K134" i="21"/>
  <c r="AF197" i="16"/>
  <c r="AF33" i="26"/>
  <c r="Z33" i="26"/>
  <c r="Z42" i="16"/>
  <c r="AF42" i="16"/>
  <c r="Z266" i="16"/>
  <c r="AF266" i="16"/>
  <c r="Z4" i="16"/>
  <c r="K4" i="21"/>
  <c r="N4" i="21"/>
  <c r="D51" i="5"/>
  <c r="D55" i="5"/>
  <c r="Z268" i="16"/>
  <c r="K268" i="21"/>
  <c r="N268" i="21"/>
  <c r="Y25" i="16"/>
  <c r="AE25" i="16"/>
  <c r="N364" i="21"/>
  <c r="K364" i="21"/>
  <c r="Z223" i="16"/>
  <c r="AF223" i="16"/>
  <c r="N324" i="21"/>
  <c r="K324" i="21"/>
  <c r="Y20" i="16"/>
  <c r="AE20" i="16"/>
  <c r="Z28" i="16"/>
  <c r="K28" i="21"/>
  <c r="N28" i="21"/>
  <c r="Z258" i="16"/>
  <c r="AF258" i="16"/>
  <c r="Z36" i="16"/>
  <c r="K36" i="21"/>
  <c r="N36" i="21"/>
  <c r="N150" i="21"/>
  <c r="K150" i="21"/>
  <c r="Z288" i="16"/>
  <c r="K288" i="21"/>
  <c r="N288" i="21"/>
  <c r="AF160" i="16"/>
  <c r="Z160" i="16"/>
  <c r="Z378" i="16"/>
  <c r="AF378" i="16"/>
  <c r="Z197" i="16"/>
  <c r="K197" i="21"/>
  <c r="N197" i="21"/>
  <c r="Z374" i="16"/>
  <c r="AF374" i="16"/>
  <c r="Z331" i="16"/>
  <c r="K331" i="21"/>
  <c r="N331" i="21"/>
  <c r="Z272" i="16"/>
  <c r="K272" i="21"/>
  <c r="N272" i="21"/>
  <c r="Z254" i="16"/>
  <c r="AF254" i="16"/>
  <c r="AQ7" i="26"/>
  <c r="AP7" i="26"/>
  <c r="Z353" i="16"/>
  <c r="AF353" i="16"/>
  <c r="AF99" i="26"/>
  <c r="Z99" i="26"/>
  <c r="AF250" i="16"/>
  <c r="Z275" i="16"/>
  <c r="AF275" i="16"/>
  <c r="N300" i="21"/>
  <c r="K300" i="21"/>
  <c r="Z98" i="16"/>
  <c r="AF98" i="16"/>
  <c r="N82" i="21"/>
  <c r="K82" i="21"/>
  <c r="Y96" i="16"/>
  <c r="AE96" i="16"/>
  <c r="Y86" i="16"/>
  <c r="AE86" i="16"/>
  <c r="AF165" i="16"/>
  <c r="Z165" i="16"/>
  <c r="Z41" i="16"/>
  <c r="AF41" i="16"/>
  <c r="Z133" i="16"/>
  <c r="AF133" i="16"/>
  <c r="Y92" i="16"/>
  <c r="AE92" i="16"/>
  <c r="AF161" i="16"/>
  <c r="Z161" i="16"/>
  <c r="AF212" i="26"/>
  <c r="Z212" i="26"/>
  <c r="N33" i="21"/>
  <c r="K33" i="21"/>
  <c r="AF37" i="26"/>
  <c r="Z37" i="26"/>
  <c r="N217" i="21"/>
  <c r="K217" i="21"/>
  <c r="N292" i="21"/>
  <c r="K292" i="21"/>
  <c r="AF41" i="26"/>
  <c r="Z41" i="26"/>
  <c r="AF39" i="16"/>
  <c r="Z127" i="16"/>
  <c r="AF127" i="16"/>
  <c r="Z281" i="16"/>
  <c r="K281" i="21"/>
  <c r="N281" i="21"/>
  <c r="Z220" i="16"/>
  <c r="K220" i="21"/>
  <c r="N220" i="21"/>
  <c r="AF31" i="16"/>
  <c r="AG82" i="26"/>
  <c r="AA82" i="26"/>
  <c r="AE24" i="16"/>
  <c r="M93" i="21"/>
  <c r="J93" i="21"/>
  <c r="N178" i="21"/>
  <c r="K178" i="21"/>
  <c r="AG100" i="26"/>
  <c r="AA100" i="26"/>
  <c r="N173" i="21"/>
  <c r="K173" i="21"/>
  <c r="AE89" i="17"/>
  <c r="Z89" i="17"/>
  <c r="AG325" i="26"/>
  <c r="AA325" i="26"/>
  <c r="AF30" i="16"/>
  <c r="M91" i="21"/>
  <c r="J91" i="21"/>
  <c r="Z250" i="16"/>
  <c r="K250" i="21"/>
  <c r="N250" i="21"/>
  <c r="AA2" i="26"/>
  <c r="AG2" i="26"/>
  <c r="AP2" i="26"/>
  <c r="AQ2" i="26"/>
  <c r="N10" i="21"/>
  <c r="K10" i="21"/>
  <c r="Z120" i="16"/>
  <c r="AF120" i="16"/>
  <c r="AF306" i="16"/>
  <c r="AE57" i="16"/>
  <c r="AF124" i="16"/>
  <c r="AE58" i="17"/>
  <c r="Z58" i="17"/>
  <c r="AF124" i="26"/>
  <c r="Z124" i="26"/>
  <c r="AJ7" i="21"/>
  <c r="V7" i="21"/>
  <c r="K2" i="21"/>
  <c r="N2" i="21"/>
  <c r="Z290" i="16"/>
  <c r="AF290" i="16"/>
  <c r="AG121" i="26"/>
  <c r="AA121" i="26"/>
  <c r="N38" i="21"/>
  <c r="K38" i="21"/>
  <c r="AF178" i="16"/>
  <c r="Z178" i="16"/>
  <c r="Z217" i="16"/>
  <c r="AF217" i="16"/>
  <c r="N225" i="21"/>
  <c r="K225" i="21"/>
  <c r="AF121" i="16"/>
  <c r="N116" i="21"/>
  <c r="K116" i="21"/>
  <c r="AF218" i="26"/>
  <c r="Z218" i="26"/>
  <c r="Z238" i="16"/>
  <c r="AF238" i="16"/>
  <c r="N244" i="21"/>
  <c r="K244" i="21"/>
  <c r="N230" i="21"/>
  <c r="K230" i="21"/>
  <c r="N68" i="21"/>
  <c r="K68" i="21"/>
  <c r="AG217" i="26"/>
  <c r="AA217" i="26"/>
  <c r="AG28" i="26"/>
  <c r="AA28" i="26"/>
  <c r="AG275" i="26"/>
  <c r="AA275" i="26"/>
  <c r="Z203" i="16"/>
  <c r="AF203" i="16"/>
  <c r="AF188" i="26"/>
  <c r="Z188" i="26"/>
  <c r="AF132" i="26"/>
  <c r="Z132" i="26"/>
  <c r="N264" i="21"/>
  <c r="K264" i="21"/>
  <c r="AE57" i="26"/>
  <c r="Y57" i="26"/>
  <c r="Z74" i="16"/>
  <c r="AF74" i="16"/>
  <c r="Z287" i="16"/>
  <c r="K287" i="21"/>
  <c r="N287" i="21"/>
  <c r="AF58" i="7"/>
  <c r="AE58" i="7"/>
  <c r="AE87" i="26"/>
  <c r="Y87" i="26"/>
  <c r="Y91" i="16"/>
  <c r="AE91" i="16"/>
  <c r="AF204" i="16"/>
  <c r="N99" i="21"/>
  <c r="K99" i="21"/>
  <c r="Z234" i="16"/>
  <c r="AF234" i="16"/>
  <c r="AF171" i="16"/>
  <c r="Z171" i="16"/>
  <c r="AB7" i="21"/>
  <c r="Z2" i="16"/>
  <c r="AF2" i="16"/>
  <c r="Y57" i="16"/>
  <c r="J57" i="21"/>
  <c r="M57" i="21"/>
  <c r="Z124" i="16"/>
  <c r="K124" i="21"/>
  <c r="N124" i="21"/>
  <c r="Z115" i="16"/>
  <c r="AF115" i="16"/>
  <c r="N165" i="21"/>
  <c r="K165" i="21"/>
  <c r="AF69" i="26"/>
  <c r="Z69" i="26"/>
  <c r="N189" i="21"/>
  <c r="K189" i="21"/>
  <c r="N323" i="21"/>
  <c r="K323" i="21"/>
  <c r="Z76" i="16"/>
  <c r="AF76" i="16"/>
  <c r="AG336" i="26"/>
  <c r="AA336" i="26"/>
  <c r="X13" i="30"/>
  <c r="X7" i="30"/>
  <c r="AG176" i="26"/>
  <c r="AA176" i="26"/>
  <c r="AF218" i="16"/>
  <c r="AE58" i="16"/>
  <c r="AF348" i="16"/>
  <c r="AF121" i="26"/>
  <c r="Z121" i="26"/>
  <c r="AF248" i="26"/>
  <c r="Z248" i="26"/>
  <c r="Z121" i="16"/>
  <c r="K121" i="21"/>
  <c r="N121" i="21"/>
  <c r="AF239" i="26"/>
  <c r="Z239" i="26"/>
  <c r="N372" i="21"/>
  <c r="K372" i="21"/>
  <c r="Z116" i="16"/>
  <c r="AF116" i="16"/>
  <c r="N164" i="21"/>
  <c r="K164" i="21"/>
  <c r="Z296" i="16"/>
  <c r="AF296" i="16"/>
  <c r="Z12" i="16"/>
  <c r="AF12" i="16"/>
  <c r="Z323" i="16"/>
  <c r="AF323" i="16"/>
  <c r="AF161" i="26"/>
  <c r="Z161" i="26"/>
  <c r="AF317" i="26"/>
  <c r="Z317" i="26"/>
  <c r="AF140" i="26"/>
  <c r="Z140" i="26"/>
  <c r="AF352" i="16"/>
  <c r="N138" i="21"/>
  <c r="K138" i="21"/>
  <c r="AG191" i="26"/>
  <c r="AA191" i="26"/>
  <c r="Y58" i="16"/>
  <c r="J58" i="21"/>
  <c r="M58" i="21"/>
  <c r="AE15" i="16"/>
  <c r="AL9" i="16"/>
  <c r="AK9" i="16"/>
  <c r="AK8" i="16"/>
  <c r="AK3" i="16"/>
  <c r="AG181" i="26"/>
  <c r="AA181" i="26"/>
  <c r="N80" i="21"/>
  <c r="K80" i="21"/>
  <c r="AG155" i="26"/>
  <c r="AA155" i="26"/>
  <c r="AE56" i="16"/>
  <c r="AG366" i="26"/>
  <c r="AA366" i="26"/>
  <c r="AF145" i="16"/>
  <c r="Z145" i="16"/>
  <c r="N198" i="21"/>
  <c r="K198" i="21"/>
  <c r="N355" i="21"/>
  <c r="K355" i="21"/>
  <c r="AF234" i="26"/>
  <c r="Z234" i="26"/>
  <c r="N344" i="21"/>
  <c r="K344" i="21"/>
  <c r="AG232" i="26"/>
  <c r="AA232" i="26"/>
  <c r="AM53" i="7"/>
  <c r="D48" i="5"/>
  <c r="D56" i="5"/>
  <c r="D60" i="5"/>
  <c r="Z369" i="16"/>
  <c r="AF369" i="16"/>
  <c r="AF67" i="26"/>
  <c r="Z67" i="26"/>
  <c r="Z231" i="16"/>
  <c r="K231" i="21"/>
  <c r="N231" i="21"/>
  <c r="Z3" i="16"/>
  <c r="K3" i="21"/>
  <c r="N3" i="21"/>
  <c r="Z274" i="16"/>
  <c r="AF274" i="16"/>
  <c r="AE34" i="17"/>
  <c r="Z34" i="17"/>
  <c r="N251" i="21"/>
  <c r="K251" i="21"/>
  <c r="Z349" i="16"/>
  <c r="AF349" i="16"/>
  <c r="AE19" i="16"/>
  <c r="Z214" i="16"/>
  <c r="AF214" i="16"/>
  <c r="Z371" i="16"/>
  <c r="AF371" i="16"/>
  <c r="N207" i="21"/>
  <c r="K207" i="21"/>
  <c r="Z311" i="16"/>
  <c r="AF311" i="16"/>
  <c r="Z265" i="16"/>
  <c r="K265" i="21"/>
  <c r="N265" i="21"/>
  <c r="N347" i="21"/>
  <c r="K347" i="21"/>
  <c r="N148" i="21"/>
  <c r="K148" i="21"/>
  <c r="F49" i="5"/>
  <c r="AM53" i="9"/>
  <c r="F48" i="5"/>
  <c r="Z255" i="16"/>
  <c r="AF255" i="16"/>
  <c r="AF107" i="16"/>
  <c r="Z321" i="16"/>
  <c r="AF321" i="16"/>
  <c r="N40" i="21"/>
  <c r="K40" i="21"/>
  <c r="N256" i="21"/>
  <c r="K256" i="21"/>
  <c r="AF139" i="16"/>
  <c r="Z139" i="16"/>
  <c r="Y15" i="16"/>
  <c r="J15" i="21"/>
  <c r="M15" i="21"/>
  <c r="AG212" i="26"/>
  <c r="AA212" i="26"/>
  <c r="N6" i="21"/>
  <c r="K6" i="21"/>
  <c r="N357" i="21"/>
  <c r="K357" i="21"/>
  <c r="AF351" i="16"/>
  <c r="AF155" i="26"/>
  <c r="Z155" i="26"/>
  <c r="AE93" i="26"/>
  <c r="Y93" i="26"/>
  <c r="AF306" i="26"/>
  <c r="Z306" i="26"/>
  <c r="N259" i="21"/>
  <c r="K259" i="21"/>
  <c r="AG11" i="26"/>
  <c r="AA11" i="26"/>
  <c r="Y56" i="16"/>
  <c r="J56" i="21"/>
  <c r="M56" i="21"/>
  <c r="N166" i="21"/>
  <c r="K166" i="21"/>
  <c r="AF256" i="26"/>
  <c r="Z256" i="26"/>
  <c r="AG334" i="26"/>
  <c r="AA334" i="26"/>
  <c r="AF5" i="16"/>
  <c r="AF130" i="26"/>
  <c r="Z130" i="26"/>
  <c r="AF200" i="16"/>
  <c r="AF320" i="16"/>
  <c r="Z328" i="16"/>
  <c r="AF328" i="16"/>
  <c r="AB9" i="21"/>
  <c r="N112" i="21"/>
  <c r="K112" i="21"/>
  <c r="AG134" i="26"/>
  <c r="AA134" i="26"/>
  <c r="N67" i="21"/>
  <c r="K67" i="21"/>
  <c r="N316" i="21"/>
  <c r="K316" i="21"/>
  <c r="AE61" i="26"/>
  <c r="Y61" i="26"/>
  <c r="AF136" i="26"/>
  <c r="Z136" i="26"/>
  <c r="M16" i="21"/>
  <c r="J16" i="21"/>
  <c r="Z5" i="16"/>
  <c r="K5" i="21"/>
  <c r="N5" i="21"/>
  <c r="AF144" i="26"/>
  <c r="Z144" i="26"/>
  <c r="AF341" i="16"/>
  <c r="N29" i="21"/>
  <c r="K29" i="21"/>
  <c r="AF187" i="26"/>
  <c r="Z187" i="26"/>
  <c r="AF181" i="26"/>
  <c r="Z181" i="26"/>
  <c r="AF167" i="26"/>
  <c r="Z167" i="26"/>
  <c r="M50" i="21"/>
  <c r="J50" i="21"/>
  <c r="Z251" i="16"/>
  <c r="AF251" i="16"/>
  <c r="M97" i="21"/>
  <c r="J97" i="21"/>
  <c r="Y19" i="16"/>
  <c r="J19" i="21"/>
  <c r="M19" i="21"/>
  <c r="Z292" i="16"/>
  <c r="AF292" i="16"/>
  <c r="Z207" i="16"/>
  <c r="AF207" i="16"/>
  <c r="AF191" i="16"/>
  <c r="Z191" i="16"/>
  <c r="Z300" i="16"/>
  <c r="AF300" i="16"/>
  <c r="Z82" i="16"/>
  <c r="AF82" i="16"/>
  <c r="N211" i="21"/>
  <c r="K211" i="21"/>
  <c r="AE17" i="16"/>
  <c r="AG7" i="26"/>
  <c r="AA7" i="26"/>
  <c r="N313" i="21"/>
  <c r="K313" i="21"/>
  <c r="Z107" i="16"/>
  <c r="K107" i="21"/>
  <c r="N107" i="21"/>
  <c r="Z40" i="16"/>
  <c r="AF40" i="16"/>
  <c r="Z256" i="16"/>
  <c r="AF256" i="16"/>
  <c r="Z303" i="16"/>
  <c r="AF303" i="16"/>
  <c r="AF253" i="16"/>
  <c r="Z354" i="16"/>
  <c r="AF354" i="16"/>
  <c r="N168" i="21"/>
  <c r="K168" i="21"/>
  <c r="Z65" i="16"/>
  <c r="K65" i="21"/>
  <c r="N65" i="21"/>
  <c r="N185" i="21"/>
  <c r="K185" i="21"/>
  <c r="Z11" i="16"/>
  <c r="AF11" i="16"/>
  <c r="Z72" i="16"/>
  <c r="AF72" i="16"/>
  <c r="Z75" i="16"/>
  <c r="K75" i="21"/>
  <c r="N75" i="21"/>
  <c r="Y51" i="16"/>
  <c r="AE51" i="16"/>
  <c r="Y53" i="16"/>
  <c r="J53" i="21"/>
  <c r="M53" i="21"/>
  <c r="Z48" i="16"/>
  <c r="AF48" i="16"/>
  <c r="Z10" i="16"/>
  <c r="AF10" i="16"/>
  <c r="N147" i="21"/>
  <c r="K147" i="21"/>
  <c r="Z233" i="16"/>
  <c r="AF233" i="16"/>
  <c r="Z204" i="16"/>
  <c r="K204" i="21"/>
  <c r="N204" i="21"/>
  <c r="Z334" i="16"/>
  <c r="K334" i="21"/>
  <c r="N334" i="21"/>
  <c r="Z241" i="16"/>
  <c r="AF241" i="16"/>
  <c r="N161" i="21"/>
  <c r="K161" i="21"/>
  <c r="Z372" i="16"/>
  <c r="AF372" i="16"/>
  <c r="Z126" i="16"/>
  <c r="AF126" i="16"/>
  <c r="Z228" i="16"/>
  <c r="K228" i="21"/>
  <c r="N228" i="21"/>
  <c r="Z248" i="16"/>
  <c r="AF248" i="16"/>
  <c r="Z222" i="16"/>
  <c r="AF222" i="16"/>
  <c r="Z375" i="16"/>
  <c r="AF375" i="16"/>
  <c r="AE80" i="17"/>
  <c r="Z80" i="17"/>
  <c r="AF188" i="16"/>
  <c r="Z188" i="16"/>
  <c r="AG241" i="26"/>
  <c r="AA241" i="26"/>
  <c r="Z132" i="16"/>
  <c r="AF132" i="16"/>
  <c r="Z295" i="16"/>
  <c r="K295" i="21"/>
  <c r="N295" i="21"/>
  <c r="Z306" i="16"/>
  <c r="K306" i="21"/>
  <c r="N306" i="21"/>
  <c r="Z240" i="16"/>
  <c r="AF240" i="16"/>
  <c r="Z322" i="16"/>
  <c r="K322" i="21"/>
  <c r="N322" i="21"/>
  <c r="Z242" i="16"/>
  <c r="AF242" i="16"/>
  <c r="Y50" i="16"/>
  <c r="AE50" i="16"/>
  <c r="N181" i="21"/>
  <c r="K181" i="21"/>
  <c r="N145" i="21"/>
  <c r="K145" i="21"/>
  <c r="Y97" i="16"/>
  <c r="AE97" i="16"/>
  <c r="Z99" i="16"/>
  <c r="AF99" i="16"/>
  <c r="J14" i="21"/>
  <c r="M14" i="21"/>
  <c r="U7" i="21"/>
  <c r="AI7" i="21"/>
  <c r="AG26" i="26"/>
  <c r="AA26" i="26"/>
  <c r="N270" i="21"/>
  <c r="K270" i="21"/>
  <c r="Z37" i="16"/>
  <c r="K37" i="21"/>
  <c r="N37" i="21"/>
  <c r="AF108" i="16"/>
  <c r="Y17" i="16"/>
  <c r="J17" i="21"/>
  <c r="M17" i="21"/>
  <c r="Z70" i="16"/>
  <c r="AF70" i="16"/>
  <c r="AF336" i="16"/>
  <c r="Z313" i="16"/>
  <c r="AF313" i="16"/>
  <c r="D57" i="5"/>
  <c r="AU3" i="26"/>
  <c r="AU8" i="26"/>
  <c r="AU9" i="26"/>
  <c r="AV9" i="26"/>
  <c r="AF229" i="16"/>
  <c r="AF285" i="16"/>
  <c r="Z8" i="16"/>
  <c r="AF8" i="16"/>
  <c r="AF275" i="26"/>
  <c r="Z275" i="26"/>
  <c r="AF26" i="26"/>
  <c r="Z26" i="26"/>
  <c r="M87" i="21"/>
  <c r="J87" i="21"/>
  <c r="AG338" i="26"/>
  <c r="AA338" i="26"/>
  <c r="AE7" i="17"/>
  <c r="Z7" i="17"/>
  <c r="AF113" i="26"/>
  <c r="Z113" i="26"/>
  <c r="AF158" i="26"/>
  <c r="Z158" i="26"/>
  <c r="AF329" i="16"/>
  <c r="AF169" i="16"/>
  <c r="Z169" i="16"/>
  <c r="Z341" i="16"/>
  <c r="K341" i="21"/>
  <c r="N341" i="21"/>
  <c r="AG179" i="26"/>
  <c r="AA179" i="26"/>
  <c r="N227" i="21"/>
  <c r="K227" i="21"/>
  <c r="AG3" i="26"/>
  <c r="AA3" i="26"/>
  <c r="AF168" i="26"/>
  <c r="Z168" i="26"/>
  <c r="AF64" i="26"/>
  <c r="Z64" i="26"/>
  <c r="AG8" i="26"/>
  <c r="AA8" i="26"/>
  <c r="AG356" i="26"/>
  <c r="AA356" i="26"/>
  <c r="AF159" i="26"/>
  <c r="Z159" i="26"/>
  <c r="S24" i="34"/>
  <c r="AB31" i="25"/>
  <c r="AL31" i="25"/>
  <c r="AI31" i="25"/>
  <c r="AE88" i="16"/>
  <c r="AE86" i="26"/>
  <c r="Y86" i="26"/>
  <c r="AG294" i="26"/>
  <c r="AA294" i="26"/>
  <c r="K194" i="21"/>
  <c r="N194" i="21"/>
  <c r="V11" i="21"/>
  <c r="AJ11" i="21"/>
  <c r="AF355" i="26"/>
  <c r="Z355" i="26"/>
  <c r="N101" i="21"/>
  <c r="K101" i="21"/>
  <c r="Z200" i="16"/>
  <c r="K200" i="21"/>
  <c r="N200" i="21"/>
  <c r="N335" i="21"/>
  <c r="K335" i="21"/>
  <c r="AF216" i="16"/>
  <c r="AF301" i="16"/>
  <c r="AF261" i="26"/>
  <c r="Z261" i="26"/>
  <c r="AG142" i="26"/>
  <c r="AA142" i="26"/>
  <c r="AG32" i="26"/>
  <c r="AA32" i="26"/>
  <c r="AG160" i="26"/>
  <c r="AA160" i="26"/>
  <c r="AF217" i="26"/>
  <c r="Z217" i="26"/>
  <c r="AF346" i="26"/>
  <c r="Z346" i="26"/>
  <c r="AG226" i="26"/>
  <c r="AA226" i="26"/>
  <c r="N314" i="21"/>
  <c r="K314" i="21"/>
  <c r="AF221" i="26"/>
  <c r="Z221" i="26"/>
  <c r="AG260" i="26"/>
  <c r="AA260" i="26"/>
  <c r="AF102" i="16"/>
  <c r="AF35" i="26"/>
  <c r="Z35" i="26"/>
  <c r="AF215" i="26"/>
  <c r="Z215" i="26"/>
  <c r="AF84" i="26"/>
  <c r="Z84" i="26"/>
  <c r="AE42" i="17"/>
  <c r="Z42" i="17"/>
  <c r="AE32" i="17"/>
  <c r="Z32" i="17"/>
  <c r="AF353" i="26"/>
  <c r="Z353" i="26"/>
  <c r="AF358" i="16"/>
  <c r="Z358" i="16"/>
  <c r="N235" i="21"/>
  <c r="K235" i="21"/>
  <c r="Z205" i="16"/>
  <c r="K205" i="21"/>
  <c r="N205" i="21"/>
  <c r="AG132" i="26"/>
  <c r="AA132" i="26"/>
  <c r="Z108" i="16"/>
  <c r="K108" i="21"/>
  <c r="N108" i="21"/>
  <c r="AA7" i="21"/>
  <c r="Z326" i="16"/>
  <c r="AF326" i="16"/>
  <c r="AF133" i="26"/>
  <c r="Z133" i="26"/>
  <c r="AF243" i="16"/>
  <c r="AE21" i="16"/>
  <c r="N333" i="21"/>
  <c r="K333" i="21"/>
  <c r="AF147" i="16"/>
  <c r="Z147" i="16"/>
  <c r="AF291" i="16"/>
  <c r="AF286" i="16"/>
  <c r="AF377" i="26"/>
  <c r="Z377" i="26"/>
  <c r="AG246" i="26"/>
  <c r="AA246" i="26"/>
  <c r="AF245" i="16"/>
  <c r="AF135" i="26"/>
  <c r="Z135" i="26"/>
  <c r="AF72" i="26"/>
  <c r="Z72" i="26"/>
  <c r="AG326" i="26"/>
  <c r="AA326" i="26"/>
  <c r="AP50" i="8"/>
  <c r="AF50" i="8"/>
  <c r="AC50" i="28"/>
  <c r="AC102" i="28"/>
  <c r="AF224" i="16"/>
  <c r="AG352" i="26"/>
  <c r="AA352" i="26"/>
  <c r="AG301" i="26"/>
  <c r="AA301" i="26"/>
  <c r="AF128" i="16"/>
  <c r="AV7" i="16"/>
  <c r="AU7" i="16"/>
  <c r="N201" i="21"/>
  <c r="K201" i="21"/>
  <c r="N277" i="21"/>
  <c r="K277" i="21"/>
  <c r="AF363" i="16"/>
  <c r="Z363" i="16"/>
  <c r="AG85" i="26"/>
  <c r="AA85" i="26"/>
  <c r="AG185" i="26"/>
  <c r="AA185" i="26"/>
  <c r="AD17" i="17"/>
  <c r="Y17" i="17"/>
  <c r="AG298" i="26"/>
  <c r="AA298" i="26"/>
  <c r="S17" i="34"/>
  <c r="AB25" i="25"/>
  <c r="AL25" i="25"/>
  <c r="AI25" i="25"/>
  <c r="Z224" i="16"/>
  <c r="K224" i="21"/>
  <c r="N224" i="21"/>
  <c r="N176" i="21"/>
  <c r="K176" i="21"/>
  <c r="N66" i="21"/>
  <c r="K66" i="21"/>
  <c r="AF98" i="26"/>
  <c r="Z98" i="26"/>
  <c r="N339" i="21"/>
  <c r="K339" i="21"/>
  <c r="Z128" i="16"/>
  <c r="K128" i="21"/>
  <c r="N128" i="21"/>
  <c r="AF319" i="26"/>
  <c r="Z319" i="26"/>
  <c r="AE60" i="16"/>
  <c r="AF332" i="16"/>
  <c r="AG235" i="26"/>
  <c r="AA235" i="26"/>
  <c r="AF360" i="26"/>
  <c r="Z360" i="26"/>
  <c r="AF266" i="26"/>
  <c r="Z266" i="26"/>
  <c r="AE10" i="21"/>
  <c r="Z87" i="17"/>
  <c r="AE87" i="17"/>
  <c r="AJ6" i="17"/>
  <c r="Z351" i="16"/>
  <c r="K351" i="21"/>
  <c r="N351" i="21"/>
  <c r="N307" i="21"/>
  <c r="K307" i="21"/>
  <c r="M90" i="21"/>
  <c r="J90" i="21"/>
  <c r="AE55" i="16"/>
  <c r="Z305" i="16"/>
  <c r="K305" i="21"/>
  <c r="N305" i="21"/>
  <c r="Z329" i="16"/>
  <c r="K329" i="21"/>
  <c r="N329" i="21"/>
  <c r="N315" i="21"/>
  <c r="K315" i="21"/>
  <c r="AD7" i="21"/>
  <c r="M95" i="21"/>
  <c r="J95" i="21"/>
  <c r="Z273" i="16"/>
  <c r="AF273" i="16"/>
  <c r="AG337" i="26"/>
  <c r="AA337" i="26"/>
  <c r="AG320" i="26"/>
  <c r="AA320" i="26"/>
  <c r="N283" i="21"/>
  <c r="K283" i="21"/>
  <c r="N199" i="21"/>
  <c r="K199" i="21"/>
  <c r="Z332" i="16"/>
  <c r="K332" i="21"/>
  <c r="N332" i="21"/>
  <c r="AF144" i="16"/>
  <c r="Z144" i="16"/>
  <c r="AE81" i="17"/>
  <c r="Z81" i="17"/>
  <c r="N191" i="21"/>
  <c r="K191" i="21"/>
  <c r="N202" i="21"/>
  <c r="K202" i="21"/>
  <c r="AG34" i="26"/>
  <c r="AA34" i="26"/>
  <c r="AF360" i="16"/>
  <c r="Z360" i="16"/>
  <c r="AE36" i="17"/>
  <c r="Z36" i="17"/>
  <c r="AF258" i="26"/>
  <c r="Z258" i="26"/>
  <c r="AF273" i="26"/>
  <c r="Z273" i="26"/>
  <c r="R13" i="30"/>
  <c r="R7" i="30"/>
  <c r="AB57" i="28"/>
  <c r="AB5" i="28"/>
  <c r="AG286" i="26"/>
  <c r="AA286" i="26"/>
  <c r="Z269" i="16"/>
  <c r="AF269" i="16"/>
  <c r="Z347" i="16"/>
  <c r="AF347" i="16"/>
  <c r="Z262" i="16"/>
  <c r="AF262" i="16"/>
  <c r="Z64" i="16"/>
  <c r="AF64" i="16"/>
  <c r="AF63" i="16"/>
  <c r="Z336" i="16"/>
  <c r="K336" i="21"/>
  <c r="N336" i="21"/>
  <c r="Z211" i="16"/>
  <c r="AF211" i="16"/>
  <c r="N141" i="21"/>
  <c r="K141" i="21"/>
  <c r="AF191" i="26"/>
  <c r="Z191" i="26"/>
  <c r="N136" i="21"/>
  <c r="K136" i="21"/>
  <c r="Y21" i="16"/>
  <c r="J21" i="21"/>
  <c r="M21" i="21"/>
  <c r="AF173" i="16"/>
  <c r="Z173" i="16"/>
  <c r="Z100" i="16"/>
  <c r="AF100" i="16"/>
  <c r="Z30" i="16"/>
  <c r="K30" i="21"/>
  <c r="N30" i="21"/>
  <c r="Z312" i="16"/>
  <c r="AF312" i="16"/>
  <c r="AG197" i="26"/>
  <c r="AA197" i="26"/>
  <c r="Z259" i="16"/>
  <c r="AF259" i="16"/>
  <c r="Z370" i="16"/>
  <c r="AF370" i="16"/>
  <c r="AF3" i="26"/>
  <c r="Z3" i="26"/>
  <c r="AF310" i="16"/>
  <c r="AG124" i="26"/>
  <c r="AA124" i="26"/>
  <c r="AF69" i="16"/>
  <c r="AF143" i="16"/>
  <c r="Z143" i="16"/>
  <c r="Y95" i="16"/>
  <c r="AE95" i="16"/>
  <c r="Z316" i="16"/>
  <c r="AF316" i="16"/>
  <c r="AF166" i="16"/>
  <c r="Z166" i="16"/>
  <c r="AF192" i="16"/>
  <c r="Z192" i="16"/>
  <c r="AF114" i="26"/>
  <c r="Z114" i="26"/>
  <c r="Z283" i="16"/>
  <c r="AF283" i="16"/>
  <c r="Z215" i="16"/>
  <c r="AF215" i="16"/>
  <c r="AF80" i="26"/>
  <c r="Z80" i="26"/>
  <c r="Z198" i="16"/>
  <c r="AF198" i="16"/>
  <c r="Z345" i="16"/>
  <c r="AF345" i="16"/>
  <c r="AF245" i="26"/>
  <c r="Z245" i="26"/>
  <c r="Z339" i="16"/>
  <c r="AF339" i="16"/>
  <c r="N209" i="21"/>
  <c r="K209" i="21"/>
  <c r="AF83" i="16"/>
  <c r="AF362" i="16"/>
  <c r="Z362" i="16"/>
  <c r="AF135" i="16"/>
  <c r="Z135" i="16"/>
  <c r="AG107" i="26"/>
  <c r="AA107" i="26"/>
  <c r="AG171" i="26"/>
  <c r="AA171" i="26"/>
  <c r="AF304" i="26"/>
  <c r="Z304" i="26"/>
  <c r="Z324" i="16"/>
  <c r="AF324" i="16"/>
  <c r="AG76" i="26"/>
  <c r="AA76" i="26"/>
  <c r="AF141" i="16"/>
  <c r="Z141" i="16"/>
  <c r="M23" i="21"/>
  <c r="J23" i="21"/>
  <c r="N151" i="21"/>
  <c r="K151" i="21"/>
  <c r="AF231" i="26"/>
  <c r="Z231" i="26"/>
  <c r="N183" i="21"/>
  <c r="K183" i="21"/>
  <c r="N149" i="21"/>
  <c r="K149" i="21"/>
  <c r="AE54" i="26"/>
  <c r="Y54" i="26"/>
  <c r="AG161" i="26"/>
  <c r="AA161" i="26"/>
  <c r="AG221" i="26"/>
  <c r="AA221" i="26"/>
  <c r="AG125" i="26"/>
  <c r="AA125" i="26"/>
  <c r="AF204" i="26"/>
  <c r="Z204" i="26"/>
  <c r="AF253" i="26"/>
  <c r="Z253" i="26"/>
  <c r="I7" i="23"/>
  <c r="G7" i="23"/>
  <c r="AG111" i="26"/>
  <c r="AA111" i="26"/>
  <c r="AF106" i="26"/>
  <c r="Z106" i="26"/>
  <c r="Z247" i="16"/>
  <c r="AF247" i="16"/>
  <c r="AF261" i="16"/>
  <c r="Z77" i="16"/>
  <c r="AF77" i="16"/>
  <c r="N9" i="21"/>
  <c r="K9" i="21"/>
  <c r="Z32" i="16"/>
  <c r="AF32" i="16"/>
  <c r="Z29" i="16"/>
  <c r="AF29" i="16"/>
  <c r="AF235" i="26"/>
  <c r="Z235" i="26"/>
  <c r="Z122" i="16"/>
  <c r="AF122" i="16"/>
  <c r="AF236" i="26"/>
  <c r="Z236" i="26"/>
  <c r="AF379" i="26"/>
  <c r="Z379" i="26"/>
  <c r="N298" i="21"/>
  <c r="K298" i="21"/>
  <c r="AB20" i="25"/>
  <c r="AL20" i="25"/>
  <c r="AI20" i="25"/>
  <c r="M59" i="21"/>
  <c r="J59" i="21"/>
  <c r="N117" i="21"/>
  <c r="K117" i="21"/>
  <c r="AP5" i="26"/>
  <c r="AG194" i="26"/>
  <c r="AA194" i="26"/>
  <c r="Z202" i="16"/>
  <c r="AF202" i="16"/>
  <c r="AE85" i="17"/>
  <c r="Z85" i="17"/>
  <c r="AG220" i="26"/>
  <c r="AA220" i="26"/>
  <c r="AF232" i="26"/>
  <c r="Z232" i="26"/>
  <c r="AG152" i="26"/>
  <c r="AA152" i="26"/>
  <c r="AF367" i="16"/>
  <c r="Z367" i="16"/>
  <c r="N113" i="21"/>
  <c r="K113" i="21"/>
  <c r="AG355" i="26"/>
  <c r="AA355" i="26"/>
  <c r="AG184" i="26"/>
  <c r="AA184" i="26"/>
  <c r="AG307" i="26"/>
  <c r="AA307" i="26"/>
  <c r="N319" i="21"/>
  <c r="K319" i="21"/>
  <c r="AE13" i="17"/>
  <c r="Z13" i="17"/>
  <c r="AG126" i="26"/>
  <c r="AA126" i="26"/>
  <c r="AF29" i="26"/>
  <c r="Z29" i="26"/>
  <c r="AF354" i="26"/>
  <c r="Z354" i="26"/>
  <c r="AG272" i="26"/>
  <c r="AA272" i="26"/>
  <c r="AG361" i="26"/>
  <c r="AA361" i="26"/>
  <c r="AG165" i="26"/>
  <c r="AA165" i="26"/>
  <c r="AG378" i="26"/>
  <c r="AA378" i="26"/>
  <c r="AF359" i="26"/>
  <c r="Z359" i="26"/>
  <c r="AG35" i="26"/>
  <c r="AA35" i="26"/>
  <c r="AA110" i="26"/>
  <c r="AG110" i="26"/>
  <c r="AP3" i="26"/>
  <c r="AP8" i="26"/>
  <c r="AP9" i="26"/>
  <c r="AQ9" i="26"/>
  <c r="AF274" i="26"/>
  <c r="Z274" i="26"/>
  <c r="AG67" i="28"/>
  <c r="AG15" i="28"/>
  <c r="Z212" i="16"/>
  <c r="AF212" i="16"/>
  <c r="AG262" i="26"/>
  <c r="AA262" i="26"/>
  <c r="AG234" i="26"/>
  <c r="AA234" i="26"/>
  <c r="AF304" i="16"/>
  <c r="Z83" i="16"/>
  <c r="K83" i="21"/>
  <c r="N83" i="21"/>
  <c r="AF267" i="16"/>
  <c r="N359" i="21"/>
  <c r="K359" i="21"/>
  <c r="AF125" i="26"/>
  <c r="Z125" i="26"/>
  <c r="AF62" i="16"/>
  <c r="AF10" i="26"/>
  <c r="Z10" i="26"/>
  <c r="AG229" i="26"/>
  <c r="AA229" i="26"/>
  <c r="AE94" i="26"/>
  <c r="Y94" i="26"/>
  <c r="AG84" i="26"/>
  <c r="AA84" i="26"/>
  <c r="Z291" i="16"/>
  <c r="K291" i="21"/>
  <c r="N291" i="21"/>
  <c r="AF85" i="26"/>
  <c r="Z85" i="26"/>
  <c r="AG269" i="26"/>
  <c r="AA269" i="26"/>
  <c r="Z286" i="16"/>
  <c r="K286" i="21"/>
  <c r="N286" i="21"/>
  <c r="AG362" i="26"/>
  <c r="AA362" i="26"/>
  <c r="AG203" i="26"/>
  <c r="AA203" i="26"/>
  <c r="AE54" i="17"/>
  <c r="Z54" i="17"/>
  <c r="AF107" i="26"/>
  <c r="Z107" i="26"/>
  <c r="AF193" i="16"/>
  <c r="Z193" i="16"/>
  <c r="AF142" i="26"/>
  <c r="Z142" i="26"/>
  <c r="Z245" i="16"/>
  <c r="K245" i="21"/>
  <c r="N245" i="21"/>
  <c r="Z320" i="16"/>
  <c r="K320" i="21"/>
  <c r="N320" i="21"/>
  <c r="AG108" i="26"/>
  <c r="AA108" i="26"/>
  <c r="AG94" i="28"/>
  <c r="AG42" i="28"/>
  <c r="AG173" i="26"/>
  <c r="AA173" i="26"/>
  <c r="AF341" i="26"/>
  <c r="Z341" i="26"/>
  <c r="AG350" i="26"/>
  <c r="AA350" i="26"/>
  <c r="AF324" i="26"/>
  <c r="Z324" i="26"/>
  <c r="AB101" i="28"/>
  <c r="AB49" i="28"/>
  <c r="AF154" i="26"/>
  <c r="Z154" i="26"/>
  <c r="AG9" i="26"/>
  <c r="AA9" i="26"/>
  <c r="AG178" i="26"/>
  <c r="AA178" i="26"/>
  <c r="AF171" i="26"/>
  <c r="Z171" i="26"/>
  <c r="AF264" i="26"/>
  <c r="Z264" i="26"/>
  <c r="AG314" i="26"/>
  <c r="AA314" i="26"/>
  <c r="AE33" i="17"/>
  <c r="Z33" i="17"/>
  <c r="AC89" i="28"/>
  <c r="AC37" i="28"/>
  <c r="AF37" i="8"/>
  <c r="AP37" i="8"/>
  <c r="AF79" i="28"/>
  <c r="AF27" i="28"/>
  <c r="AK2" i="16"/>
  <c r="AL2" i="16"/>
  <c r="Z131" i="16"/>
  <c r="AF131" i="16"/>
  <c r="AF151" i="16"/>
  <c r="Z151" i="16"/>
  <c r="N337" i="21"/>
  <c r="K337" i="21"/>
  <c r="AF374" i="26"/>
  <c r="Z374" i="26"/>
  <c r="N34" i="21"/>
  <c r="K34" i="21"/>
  <c r="AF39" i="26"/>
  <c r="Z39" i="26"/>
  <c r="Z304" i="16"/>
  <c r="K304" i="21"/>
  <c r="N304" i="21"/>
  <c r="Z267" i="16"/>
  <c r="K267" i="21"/>
  <c r="N267" i="21"/>
  <c r="AE54" i="16"/>
  <c r="AF376" i="16"/>
  <c r="N154" i="21"/>
  <c r="K154" i="21"/>
  <c r="Z62" i="16"/>
  <c r="K62" i="21"/>
  <c r="N62" i="21"/>
  <c r="AF106" i="16"/>
  <c r="Z106" i="16"/>
  <c r="K106" i="21"/>
  <c r="N106" i="21"/>
  <c r="AF6" i="26"/>
  <c r="Z6" i="26"/>
  <c r="AG189" i="26"/>
  <c r="AA189" i="26"/>
  <c r="AF225" i="26"/>
  <c r="Z225" i="26"/>
  <c r="AF122" i="26"/>
  <c r="Z122" i="26"/>
  <c r="AF203" i="26"/>
  <c r="Z203" i="26"/>
  <c r="AG251" i="26"/>
  <c r="AA251" i="26"/>
  <c r="AF79" i="16"/>
  <c r="AF189" i="16"/>
  <c r="Z189" i="16"/>
  <c r="AF160" i="26"/>
  <c r="Z160" i="26"/>
  <c r="AF356" i="26"/>
  <c r="Z356" i="26"/>
  <c r="AD24" i="17"/>
  <c r="Y24" i="17"/>
  <c r="AG377" i="26"/>
  <c r="AA377" i="26"/>
  <c r="AF102" i="26"/>
  <c r="Z102" i="26"/>
  <c r="AF163" i="26"/>
  <c r="Z163" i="26"/>
  <c r="AG222" i="26"/>
  <c r="AA222" i="26"/>
  <c r="AF213" i="16"/>
  <c r="AF153" i="16"/>
  <c r="Z153" i="16"/>
  <c r="AG290" i="26"/>
  <c r="AA290" i="26"/>
  <c r="AG214" i="26"/>
  <c r="AA214" i="26"/>
  <c r="AE75" i="17"/>
  <c r="Z75" i="17"/>
  <c r="AG293" i="26"/>
  <c r="AA293" i="26"/>
  <c r="Z118" i="16"/>
  <c r="AF118" i="16"/>
  <c r="Z270" i="16"/>
  <c r="AF270" i="16"/>
  <c r="AE61" i="16"/>
  <c r="Y87" i="16"/>
  <c r="AE87" i="16"/>
  <c r="N5" i="28"/>
  <c r="N57" i="28"/>
  <c r="D7" i="30"/>
  <c r="D13" i="30"/>
  <c r="Z318" i="16"/>
  <c r="AF318" i="16"/>
  <c r="AF249" i="16"/>
  <c r="AF169" i="26"/>
  <c r="Z169" i="26"/>
  <c r="Z229" i="16"/>
  <c r="K229" i="21"/>
  <c r="N229" i="21"/>
  <c r="AF222" i="26"/>
  <c r="Z222" i="26"/>
  <c r="Z340" i="16"/>
  <c r="AF340" i="16"/>
  <c r="N153" i="21"/>
  <c r="K153" i="21"/>
  <c r="Z325" i="16"/>
  <c r="AF325" i="16"/>
  <c r="Z225" i="16"/>
  <c r="AF225" i="16"/>
  <c r="Z289" i="16"/>
  <c r="K289" i="21"/>
  <c r="N289" i="21"/>
  <c r="Z210" i="16"/>
  <c r="AF210" i="16"/>
  <c r="Z112" i="16"/>
  <c r="AF112" i="16"/>
  <c r="Z31" i="16"/>
  <c r="K31" i="21"/>
  <c r="N31" i="21"/>
  <c r="N167" i="21"/>
  <c r="K167" i="21"/>
  <c r="Z244" i="16"/>
  <c r="AF244" i="16"/>
  <c r="N71" i="21"/>
  <c r="K71" i="21"/>
  <c r="Z68" i="16"/>
  <c r="AF68" i="16"/>
  <c r="AG114" i="26"/>
  <c r="AA114" i="26"/>
  <c r="AF100" i="26"/>
  <c r="Z100" i="26"/>
  <c r="N177" i="21"/>
  <c r="K177" i="21"/>
  <c r="Z261" i="16"/>
  <c r="K261" i="21"/>
  <c r="N261" i="21"/>
  <c r="AJ9" i="17"/>
  <c r="AV9" i="16"/>
  <c r="E51" i="5"/>
  <c r="AF110" i="16"/>
  <c r="AU3" i="16"/>
  <c r="AU8" i="16"/>
  <c r="AU9" i="16"/>
  <c r="D59" i="5"/>
  <c r="AF373" i="26"/>
  <c r="Z373" i="26"/>
  <c r="AG83" i="26"/>
  <c r="AA83" i="26"/>
  <c r="Z235" i="16"/>
  <c r="AF235" i="16"/>
  <c r="Z9" i="16"/>
  <c r="AF9" i="16"/>
  <c r="Y14" i="17"/>
  <c r="AD14" i="17"/>
  <c r="AJ2" i="17"/>
  <c r="D58" i="5"/>
  <c r="Z352" i="16"/>
  <c r="K352" i="21"/>
  <c r="N352" i="21"/>
  <c r="AF364" i="16"/>
  <c r="Z364" i="16"/>
  <c r="AL2" i="26"/>
  <c r="AF43" i="26"/>
  <c r="Z43" i="26"/>
  <c r="Z264" i="16"/>
  <c r="AF264" i="16"/>
  <c r="N140" i="21"/>
  <c r="K140" i="21"/>
  <c r="AG359" i="26"/>
  <c r="AA359" i="26"/>
  <c r="N160" i="21"/>
  <c r="K160" i="21"/>
  <c r="AF32" i="26"/>
  <c r="Z32" i="26"/>
  <c r="AP4" i="26"/>
  <c r="AG182" i="26"/>
  <c r="AA182" i="26"/>
  <c r="AE60" i="26"/>
  <c r="Y60" i="26"/>
  <c r="Z337" i="16"/>
  <c r="AF337" i="16"/>
  <c r="AE22" i="26"/>
  <c r="Y22" i="26"/>
  <c r="N363" i="21"/>
  <c r="K363" i="21"/>
  <c r="AG4" i="26"/>
  <c r="AA4" i="26"/>
  <c r="Z34" i="16"/>
  <c r="AF34" i="16"/>
  <c r="Y54" i="16"/>
  <c r="J54" i="21"/>
  <c r="M54" i="21"/>
  <c r="Z376" i="16"/>
  <c r="K376" i="21"/>
  <c r="N376" i="21"/>
  <c r="AF123" i="26"/>
  <c r="Z123" i="26"/>
  <c r="Z117" i="16"/>
  <c r="AF117" i="16"/>
  <c r="Y16" i="16"/>
  <c r="AE16" i="16"/>
  <c r="AG118" i="26"/>
  <c r="AA118" i="26"/>
  <c r="N367" i="21"/>
  <c r="K367" i="21"/>
  <c r="AF126" i="26"/>
  <c r="Z126" i="26"/>
  <c r="AF71" i="26"/>
  <c r="Z71" i="26"/>
  <c r="N146" i="21"/>
  <c r="K146" i="21"/>
  <c r="AF350" i="26"/>
  <c r="Z350" i="26"/>
  <c r="AF163" i="16"/>
  <c r="Z163" i="16"/>
  <c r="AG102" i="26"/>
  <c r="AA102" i="26"/>
  <c r="AF363" i="26"/>
  <c r="Z363" i="26"/>
  <c r="AG74" i="26"/>
  <c r="AA74" i="26"/>
  <c r="AF336" i="26"/>
  <c r="Z336" i="26"/>
  <c r="AF361" i="16"/>
  <c r="Z361" i="16"/>
  <c r="AF170" i="26"/>
  <c r="Z170" i="26"/>
  <c r="N169" i="21"/>
  <c r="K169" i="21"/>
  <c r="Z79" i="16"/>
  <c r="K79" i="21"/>
  <c r="N79" i="21"/>
  <c r="AE56" i="26"/>
  <c r="Y56" i="26"/>
  <c r="AF263" i="16"/>
  <c r="AE65" i="17"/>
  <c r="Z65" i="17"/>
  <c r="AF137" i="26"/>
  <c r="Z137" i="26"/>
  <c r="AE92" i="17"/>
  <c r="Z92" i="17"/>
  <c r="AF285" i="26"/>
  <c r="Z285" i="26"/>
  <c r="Z213" i="16"/>
  <c r="K213" i="21"/>
  <c r="N213" i="21"/>
  <c r="AG141" i="26"/>
  <c r="AA141" i="26"/>
  <c r="AE37" i="17"/>
  <c r="Z37" i="17"/>
  <c r="Y23" i="16"/>
  <c r="AE23" i="16"/>
  <c r="Z101" i="16"/>
  <c r="AF101" i="16"/>
  <c r="N356" i="21"/>
  <c r="K356" i="21"/>
  <c r="Y22" i="16"/>
  <c r="AE22" i="16"/>
  <c r="N221" i="21"/>
  <c r="K221" i="21"/>
  <c r="AF173" i="26"/>
  <c r="Z173" i="26"/>
  <c r="AG133" i="26"/>
  <c r="AA133" i="26"/>
  <c r="Z201" i="16"/>
  <c r="AF201" i="16"/>
  <c r="Z277" i="16"/>
  <c r="AF277" i="16"/>
  <c r="AF146" i="16"/>
  <c r="Z146" i="16"/>
  <c r="AG169" i="26"/>
  <c r="AA169" i="26"/>
  <c r="AE50" i="17"/>
  <c r="Z50" i="17"/>
  <c r="AG188" i="26"/>
  <c r="AA188" i="26"/>
  <c r="AF205" i="26"/>
  <c r="Z205" i="26"/>
  <c r="AG192" i="26"/>
  <c r="AA192" i="26"/>
  <c r="N346" i="21"/>
  <c r="K346" i="21"/>
  <c r="AF112" i="26"/>
  <c r="Z112" i="26"/>
  <c r="AF177" i="16"/>
  <c r="Z177" i="16"/>
  <c r="AG103" i="26"/>
  <c r="AA103" i="26"/>
  <c r="AF320" i="26"/>
  <c r="Z320" i="26"/>
  <c r="AF77" i="26"/>
  <c r="Z77" i="26"/>
  <c r="AG113" i="26"/>
  <c r="AA113" i="26"/>
  <c r="AF300" i="26"/>
  <c r="Z300" i="26"/>
  <c r="S14" i="34"/>
  <c r="AB23" i="25"/>
  <c r="AL23" i="25"/>
  <c r="AI23" i="25"/>
  <c r="AG296" i="26"/>
  <c r="AA296" i="26"/>
  <c r="AG321" i="26"/>
  <c r="AA321" i="26"/>
  <c r="AF13" i="26"/>
  <c r="Z13" i="26"/>
  <c r="AE105" i="17"/>
  <c r="Z105" i="17"/>
  <c r="N86" i="28"/>
  <c r="N34" i="28"/>
  <c r="AF189" i="26"/>
  <c r="Z189" i="26"/>
  <c r="AF283" i="26"/>
  <c r="Z283" i="26"/>
  <c r="AE17" i="26"/>
  <c r="Y17" i="26"/>
  <c r="AF7" i="26"/>
  <c r="Z7" i="26"/>
  <c r="AF134" i="26"/>
  <c r="Z134" i="26"/>
  <c r="AB59" i="28"/>
  <c r="AB7" i="28"/>
  <c r="AG213" i="26"/>
  <c r="AA213" i="26"/>
  <c r="AE12" i="17"/>
  <c r="Z12" i="17"/>
  <c r="AF138" i="26"/>
  <c r="Z138" i="26"/>
  <c r="AG288" i="26"/>
  <c r="AA288" i="26"/>
  <c r="AF339" i="26"/>
  <c r="Z339" i="26"/>
  <c r="AG193" i="26"/>
  <c r="AA193" i="26"/>
  <c r="AG267" i="26"/>
  <c r="AA267" i="26"/>
  <c r="AB99" i="28"/>
  <c r="AB47" i="28"/>
  <c r="AF27" i="16"/>
  <c r="AF308" i="16"/>
  <c r="AF309" i="16"/>
  <c r="N157" i="21"/>
  <c r="K157" i="21"/>
  <c r="AG137" i="26"/>
  <c r="AA137" i="26"/>
  <c r="Y60" i="16"/>
  <c r="J60" i="21"/>
  <c r="M60" i="21"/>
  <c r="Y55" i="16"/>
  <c r="J55" i="21"/>
  <c r="M55" i="21"/>
  <c r="AF337" i="26"/>
  <c r="Z337" i="26"/>
  <c r="AF350" i="16"/>
  <c r="AF237" i="16"/>
  <c r="Y59" i="16"/>
  <c r="AE59" i="16"/>
  <c r="AG322" i="26"/>
  <c r="AA322" i="26"/>
  <c r="AG268" i="26"/>
  <c r="AA268" i="26"/>
  <c r="AF197" i="26"/>
  <c r="Z197" i="26"/>
  <c r="AF301" i="26"/>
  <c r="Z301" i="26"/>
  <c r="AF140" i="16"/>
  <c r="Z140" i="16"/>
  <c r="AF352" i="26"/>
  <c r="Z352" i="26"/>
  <c r="Y88" i="16"/>
  <c r="J88" i="21"/>
  <c r="M88" i="21"/>
  <c r="Z110" i="26"/>
  <c r="AF110" i="26"/>
  <c r="AK3" i="26"/>
  <c r="AK8" i="26"/>
  <c r="AK9" i="26"/>
  <c r="AL9" i="26"/>
  <c r="AF154" i="16"/>
  <c r="Z154" i="16"/>
  <c r="K190" i="21"/>
  <c r="N190" i="21"/>
  <c r="AG303" i="26"/>
  <c r="AA303" i="26"/>
  <c r="AF219" i="26"/>
  <c r="Z219" i="26"/>
  <c r="AF250" i="26"/>
  <c r="Z250" i="26"/>
  <c r="AF153" i="26"/>
  <c r="Z153" i="26"/>
  <c r="AF164" i="26"/>
  <c r="Z164" i="26"/>
  <c r="AF185" i="16"/>
  <c r="Z185" i="16"/>
  <c r="AG139" i="26"/>
  <c r="AA139" i="26"/>
  <c r="AG208" i="26"/>
  <c r="AA208" i="26"/>
  <c r="AG300" i="26"/>
  <c r="AA300" i="26"/>
  <c r="AG245" i="26"/>
  <c r="AA245" i="26"/>
  <c r="AF83" i="26"/>
  <c r="Z83" i="26"/>
  <c r="AB11" i="21"/>
  <c r="AU5" i="16"/>
  <c r="Z194" i="16"/>
  <c r="AF194" i="16"/>
  <c r="AK5" i="16"/>
  <c r="Z27" i="16"/>
  <c r="K27" i="21"/>
  <c r="N27" i="21"/>
  <c r="Z308" i="16"/>
  <c r="K308" i="21"/>
  <c r="N308" i="21"/>
  <c r="AG37" i="26"/>
  <c r="AA37" i="26"/>
  <c r="Z309" i="16"/>
  <c r="K309" i="21"/>
  <c r="N309" i="21"/>
  <c r="Z333" i="16"/>
  <c r="AF333" i="16"/>
  <c r="AF49" i="26"/>
  <c r="Z49" i="26"/>
  <c r="Z335" i="16"/>
  <c r="AF335" i="16"/>
  <c r="Z199" i="16"/>
  <c r="AF199" i="16"/>
  <c r="AG206" i="26"/>
  <c r="AA206" i="26"/>
  <c r="AG115" i="26"/>
  <c r="AA115" i="26"/>
  <c r="AG158" i="26"/>
  <c r="AA158" i="26"/>
  <c r="AF207" i="26"/>
  <c r="Z207" i="26"/>
  <c r="AF104" i="26"/>
  <c r="Z104" i="26"/>
  <c r="N179" i="21"/>
  <c r="K179" i="21"/>
  <c r="Z350" i="16"/>
  <c r="K350" i="21"/>
  <c r="N350" i="21"/>
  <c r="AG98" i="26"/>
  <c r="AA98" i="26"/>
  <c r="AF117" i="26"/>
  <c r="Z117" i="26"/>
  <c r="Z237" i="16"/>
  <c r="K237" i="21"/>
  <c r="N237" i="21"/>
  <c r="AG143" i="26"/>
  <c r="AA143" i="26"/>
  <c r="AF75" i="26"/>
  <c r="Z75" i="26"/>
  <c r="Z221" i="16"/>
  <c r="AF221" i="16"/>
  <c r="AF82" i="26"/>
  <c r="Z82" i="26"/>
  <c r="AG30" i="26"/>
  <c r="AA30" i="26"/>
  <c r="AF358" i="26"/>
  <c r="Z358" i="26"/>
  <c r="N361" i="21"/>
  <c r="K361" i="21"/>
  <c r="Z298" i="16"/>
  <c r="AF298" i="16"/>
  <c r="AF4" i="26"/>
  <c r="Z4" i="26"/>
  <c r="AF47" i="26"/>
  <c r="Z47" i="26"/>
  <c r="AF296" i="26"/>
  <c r="Z296" i="26"/>
  <c r="AF179" i="16"/>
  <c r="Z179" i="16"/>
  <c r="AF148" i="26"/>
  <c r="Z148" i="26"/>
  <c r="AF128" i="26"/>
  <c r="Z128" i="26"/>
  <c r="AF91" i="28"/>
  <c r="AF39" i="28"/>
  <c r="AG131" i="26"/>
  <c r="AA131" i="26"/>
  <c r="N302" i="21"/>
  <c r="K302" i="21"/>
  <c r="AG119" i="26"/>
  <c r="AA119" i="26"/>
  <c r="AG240" i="26"/>
  <c r="AA240" i="26"/>
  <c r="AG151" i="26"/>
  <c r="AA151" i="26"/>
  <c r="AF2" i="26"/>
  <c r="Z2" i="26"/>
  <c r="AG85" i="28"/>
  <c r="AG33" i="28"/>
  <c r="AB94" i="28"/>
  <c r="AB42" i="28"/>
  <c r="N58" i="7"/>
  <c r="N53" i="7"/>
  <c r="AL14" i="24"/>
  <c r="AJ14" i="24"/>
  <c r="AG342" i="26"/>
  <c r="AA342" i="26"/>
  <c r="AU5" i="26"/>
  <c r="Z194" i="26"/>
  <c r="AF194" i="26"/>
  <c r="AK5" i="26"/>
  <c r="AF195" i="16"/>
  <c r="AG109" i="26"/>
  <c r="AA109" i="26"/>
  <c r="AG339" i="26"/>
  <c r="AA339" i="26"/>
  <c r="AG370" i="26"/>
  <c r="AA370" i="26"/>
  <c r="AD18" i="17"/>
  <c r="Y18" i="17"/>
  <c r="AE50" i="26"/>
  <c r="Y50" i="26"/>
  <c r="AF178" i="26"/>
  <c r="Z178" i="26"/>
  <c r="AF297" i="26"/>
  <c r="Z297" i="26"/>
  <c r="I10" i="23"/>
  <c r="G10" i="23"/>
  <c r="AG122" i="26"/>
  <c r="AA122" i="26"/>
  <c r="AG154" i="26"/>
  <c r="AA154" i="26"/>
  <c r="F20" i="23"/>
  <c r="N80" i="28"/>
  <c r="N28" i="28"/>
  <c r="AG64" i="28"/>
  <c r="AG12" i="28"/>
  <c r="Z71" i="16"/>
  <c r="AF71" i="16"/>
  <c r="N362" i="21"/>
  <c r="K362" i="21"/>
  <c r="Z63" i="16"/>
  <c r="K63" i="21"/>
  <c r="N63" i="21"/>
  <c r="Z196" i="16"/>
  <c r="AF196" i="16"/>
  <c r="N47" i="21"/>
  <c r="K47" i="21"/>
  <c r="N163" i="21"/>
  <c r="K163" i="21"/>
  <c r="Z252" i="16"/>
  <c r="AF252" i="16"/>
  <c r="AF373" i="16"/>
  <c r="Z47" i="16"/>
  <c r="AF47" i="16"/>
  <c r="Z33" i="16"/>
  <c r="AF33" i="16"/>
  <c r="N236" i="21"/>
  <c r="K236" i="21"/>
  <c r="AI26" i="25"/>
  <c r="AL26" i="25"/>
  <c r="AB26" i="25"/>
  <c r="S18" i="34"/>
  <c r="Z38" i="16"/>
  <c r="AF38" i="16"/>
  <c r="AF162" i="16"/>
  <c r="Z162" i="16"/>
  <c r="Z236" i="16"/>
  <c r="AF236" i="16"/>
  <c r="Z218" i="16"/>
  <c r="K218" i="21"/>
  <c r="N218" i="21"/>
  <c r="Z125" i="16"/>
  <c r="AF125" i="16"/>
  <c r="Z342" i="16"/>
  <c r="AF342" i="16"/>
  <c r="Z253" i="16"/>
  <c r="K253" i="21"/>
  <c r="N253" i="21"/>
  <c r="Z348" i="16"/>
  <c r="K348" i="21"/>
  <c r="N348" i="21"/>
  <c r="Y90" i="16"/>
  <c r="AE90" i="16"/>
  <c r="Z45" i="16"/>
  <c r="AF45" i="16"/>
  <c r="N104" i="21"/>
  <c r="K104" i="21"/>
  <c r="AF70" i="26"/>
  <c r="Z70" i="26"/>
  <c r="AF142" i="16"/>
  <c r="Z142" i="16"/>
  <c r="AF155" i="16"/>
  <c r="Z155" i="16"/>
  <c r="Z6" i="16"/>
  <c r="AF6" i="16"/>
  <c r="Z39" i="16"/>
  <c r="K39" i="21"/>
  <c r="N39" i="21"/>
  <c r="Z104" i="16"/>
  <c r="AF104" i="16"/>
  <c r="Z80" i="16"/>
  <c r="AF80" i="16"/>
  <c r="Z110" i="16"/>
  <c r="K186" i="21"/>
  <c r="N186" i="21"/>
  <c r="AF34" i="26"/>
  <c r="Z34" i="26"/>
  <c r="Z307" i="16"/>
  <c r="AF307" i="16"/>
  <c r="Z67" i="16"/>
  <c r="AF67" i="16"/>
  <c r="Y24" i="16"/>
  <c r="J24" i="21"/>
  <c r="M24" i="21"/>
  <c r="AF190" i="16"/>
  <c r="Z190" i="16"/>
  <c r="Z230" i="16"/>
  <c r="AF230" i="16"/>
  <c r="Z343" i="16"/>
  <c r="K343" i="21"/>
  <c r="N343" i="21"/>
  <c r="Z297" i="16"/>
  <c r="AF297" i="16"/>
  <c r="Z219" i="16"/>
  <c r="AF219" i="16"/>
  <c r="Z278" i="16"/>
  <c r="AF278" i="16"/>
  <c r="Z315" i="16"/>
  <c r="AF315" i="16"/>
  <c r="AU6" i="26"/>
  <c r="Z368" i="26"/>
  <c r="AF368" i="26"/>
  <c r="AK6" i="26"/>
  <c r="Z310" i="16"/>
  <c r="K310" i="21"/>
  <c r="N310" i="21"/>
  <c r="AK2" i="26"/>
  <c r="AK7" i="26"/>
  <c r="AL7" i="26"/>
  <c r="Z314" i="16"/>
  <c r="AF314" i="16"/>
  <c r="Z285" i="16"/>
  <c r="K285" i="21"/>
  <c r="N285" i="21"/>
  <c r="Z66" i="16"/>
  <c r="AF66" i="16"/>
  <c r="AP13" i="8"/>
  <c r="AF13" i="8"/>
  <c r="AC13" i="28"/>
  <c r="AC65" i="28"/>
  <c r="AF115" i="26"/>
  <c r="Z115" i="26"/>
  <c r="Z243" i="16"/>
  <c r="K243" i="21"/>
  <c r="N243" i="21"/>
  <c r="Y61" i="16"/>
  <c r="J61" i="21"/>
  <c r="M61" i="21"/>
  <c r="Z102" i="16"/>
  <c r="K102" i="21"/>
  <c r="N102" i="21"/>
  <c r="AF148" i="16"/>
  <c r="Z148" i="16"/>
  <c r="Z355" i="16"/>
  <c r="AF355" i="16"/>
  <c r="Y14" i="16"/>
  <c r="AE14" i="16"/>
  <c r="AU2" i="16"/>
  <c r="AV2" i="16"/>
  <c r="AF147" i="26"/>
  <c r="Z147" i="26"/>
  <c r="Z130" i="16"/>
  <c r="AF130" i="16"/>
  <c r="Z209" i="16"/>
  <c r="AF209" i="16"/>
  <c r="Z227" i="16"/>
  <c r="AF227" i="16"/>
  <c r="AK15" i="9"/>
  <c r="AK15" i="8"/>
  <c r="AK15" i="7"/>
  <c r="AK15" i="24"/>
  <c r="AF196" i="26"/>
  <c r="Z196" i="26"/>
  <c r="AF227" i="26"/>
  <c r="Z227" i="26"/>
  <c r="Z69" i="16"/>
  <c r="K69" i="21"/>
  <c r="N69" i="21"/>
  <c r="AF76" i="26"/>
  <c r="Z76" i="26"/>
  <c r="Z216" i="16"/>
  <c r="K216" i="21"/>
  <c r="N216" i="21"/>
  <c r="AF139" i="26"/>
  <c r="Z139" i="26"/>
  <c r="AF359" i="16"/>
  <c r="Z359" i="16"/>
  <c r="AF263" i="26"/>
  <c r="Z263" i="26"/>
  <c r="AF340" i="26"/>
  <c r="Z340" i="26"/>
  <c r="AG129" i="26"/>
  <c r="AA129" i="26"/>
  <c r="AG198" i="26"/>
  <c r="AA198" i="26"/>
  <c r="AF316" i="26"/>
  <c r="Z316" i="26"/>
  <c r="Z301" i="16"/>
  <c r="K301" i="21"/>
  <c r="N301" i="21"/>
  <c r="AF366" i="16"/>
  <c r="Z366" i="16"/>
  <c r="AF327" i="26"/>
  <c r="Z327" i="26"/>
  <c r="AF65" i="26"/>
  <c r="Z65" i="26"/>
  <c r="AF239" i="16"/>
  <c r="AF277" i="26"/>
  <c r="Z277" i="26"/>
  <c r="AG257" i="26"/>
  <c r="AA257" i="26"/>
  <c r="Z113" i="16"/>
  <c r="AF113" i="16"/>
  <c r="AG276" i="26"/>
  <c r="AA276" i="26"/>
  <c r="AF150" i="26"/>
  <c r="Z150" i="26"/>
  <c r="Z195" i="16"/>
  <c r="K195" i="21"/>
  <c r="N195" i="21"/>
  <c r="AF45" i="26"/>
  <c r="Z45" i="26"/>
  <c r="AK42" i="24"/>
  <c r="AK42" i="9"/>
  <c r="AK42" i="6"/>
  <c r="AK42" i="7"/>
  <c r="AK42" i="8"/>
  <c r="AF325" i="26"/>
  <c r="Z325" i="26"/>
  <c r="AF226" i="26"/>
  <c r="Z226" i="26"/>
  <c r="AF349" i="26"/>
  <c r="Z349" i="26"/>
  <c r="AG146" i="26"/>
  <c r="AA146" i="26"/>
  <c r="AG347" i="26"/>
  <c r="AA347" i="26"/>
  <c r="AF348" i="26"/>
  <c r="Z348" i="26"/>
  <c r="AF101" i="28"/>
  <c r="AF49" i="28"/>
  <c r="AF330" i="16"/>
  <c r="AF195" i="26"/>
  <c r="Z195" i="26"/>
  <c r="AG345" i="26"/>
  <c r="AA345" i="26"/>
  <c r="AG343" i="26"/>
  <c r="AA343" i="26"/>
  <c r="AG6" i="26"/>
  <c r="AA6" i="26"/>
  <c r="AE83" i="17"/>
  <c r="Z83" i="17"/>
  <c r="AF290" i="26"/>
  <c r="Z290" i="26"/>
  <c r="AG156" i="26"/>
  <c r="AA156" i="26"/>
  <c r="AF291" i="26"/>
  <c r="Z291" i="26"/>
  <c r="AM12" i="8"/>
  <c r="T12" i="8"/>
  <c r="N12" i="8"/>
  <c r="AF314" i="26"/>
  <c r="Z314" i="26"/>
  <c r="AE16" i="26"/>
  <c r="Y16" i="26"/>
  <c r="AL13" i="8"/>
  <c r="AJ13" i="8"/>
  <c r="AG71" i="28"/>
  <c r="AG19" i="28"/>
  <c r="AF24" i="9"/>
  <c r="AP24" i="9"/>
  <c r="AE96" i="17"/>
  <c r="Z96" i="17"/>
  <c r="AG199" i="26"/>
  <c r="AA199" i="26"/>
  <c r="AF378" i="26"/>
  <c r="Z378" i="26"/>
  <c r="S12" i="34"/>
  <c r="AB21" i="25"/>
  <c r="AL21" i="25"/>
  <c r="AI21" i="25"/>
  <c r="AI18" i="25"/>
  <c r="AL18" i="25"/>
  <c r="AB18" i="25"/>
  <c r="AE97" i="17"/>
  <c r="Z97" i="17"/>
  <c r="AE59" i="26"/>
  <c r="Y59" i="26"/>
  <c r="AB60" i="28"/>
  <c r="AB8" i="28"/>
  <c r="AE45" i="17"/>
  <c r="Z45" i="17"/>
  <c r="AG259" i="26"/>
  <c r="AA259" i="26"/>
  <c r="S11" i="30"/>
  <c r="AF240" i="26"/>
  <c r="Z240" i="26"/>
  <c r="AG358" i="26"/>
  <c r="AA358" i="26"/>
  <c r="AF109" i="26"/>
  <c r="Z109" i="26"/>
  <c r="AE90" i="17"/>
  <c r="Z90" i="17"/>
  <c r="AG190" i="26"/>
  <c r="AA190" i="26"/>
  <c r="AF278" i="26"/>
  <c r="Z278" i="26"/>
  <c r="AG223" i="26"/>
  <c r="AA223" i="26"/>
  <c r="AG254" i="26"/>
  <c r="AA254" i="26"/>
  <c r="AO42" i="8"/>
  <c r="AE42" i="8"/>
  <c r="AG42" i="8"/>
  <c r="N90" i="28"/>
  <c r="N38" i="28"/>
  <c r="N75" i="28"/>
  <c r="N23" i="28"/>
  <c r="AG62" i="28"/>
  <c r="AG10" i="28"/>
  <c r="AG150" i="26"/>
  <c r="AA150" i="26"/>
  <c r="N103" i="21"/>
  <c r="K103" i="21"/>
  <c r="AG157" i="26"/>
  <c r="AA157" i="26"/>
  <c r="AG261" i="26"/>
  <c r="AA261" i="26"/>
  <c r="AG309" i="26"/>
  <c r="AA309" i="26"/>
  <c r="AC73" i="28"/>
  <c r="AC21" i="28"/>
  <c r="AF21" i="8"/>
  <c r="AP21" i="8"/>
  <c r="AG289" i="26"/>
  <c r="AA289" i="26"/>
  <c r="S5" i="34"/>
  <c r="AB8" i="25"/>
  <c r="AL8" i="25"/>
  <c r="AI8" i="25"/>
  <c r="AE8" i="17"/>
  <c r="Z8" i="17"/>
  <c r="AB28" i="25"/>
  <c r="AL28" i="25"/>
  <c r="AI28" i="25"/>
  <c r="AF181" i="16"/>
  <c r="Z181" i="16"/>
  <c r="AG101" i="26"/>
  <c r="AA101" i="26"/>
  <c r="AF184" i="26"/>
  <c r="Z184" i="26"/>
  <c r="AF216" i="26"/>
  <c r="Z216" i="26"/>
  <c r="AG202" i="26"/>
  <c r="AA202" i="26"/>
  <c r="AF78" i="26"/>
  <c r="Z78" i="26"/>
  <c r="N82" i="28"/>
  <c r="N30" i="28"/>
  <c r="AE101" i="17"/>
  <c r="Z101" i="17"/>
  <c r="AG237" i="26"/>
  <c r="AA237" i="26"/>
  <c r="AG228" i="26"/>
  <c r="AA228" i="26"/>
  <c r="AB67" i="28"/>
  <c r="AB15" i="28"/>
  <c r="AF228" i="26"/>
  <c r="Z228" i="26"/>
  <c r="AD23" i="17"/>
  <c r="Y23" i="17"/>
  <c r="AE52" i="17"/>
  <c r="Z52" i="17"/>
  <c r="AG271" i="26"/>
  <c r="AA271" i="26"/>
  <c r="AF143" i="26"/>
  <c r="Z143" i="26"/>
  <c r="AF334" i="26"/>
  <c r="Z334" i="26"/>
  <c r="Z373" i="16"/>
  <c r="K373" i="21"/>
  <c r="N373" i="21"/>
  <c r="AE40" i="17"/>
  <c r="Z40" i="17"/>
  <c r="AF151" i="26"/>
  <c r="Z151" i="26"/>
  <c r="AG209" i="26"/>
  <c r="AA209" i="26"/>
  <c r="AG138" i="26"/>
  <c r="AA138" i="26"/>
  <c r="Z344" i="16"/>
  <c r="AF344" i="16"/>
  <c r="AF175" i="16"/>
  <c r="Z175" i="16"/>
  <c r="AE19" i="26"/>
  <c r="Y19" i="26"/>
  <c r="AF81" i="26"/>
  <c r="Z81" i="26"/>
  <c r="AE72" i="17"/>
  <c r="Z72" i="17"/>
  <c r="AG243" i="26"/>
  <c r="AA243" i="26"/>
  <c r="AG278" i="26"/>
  <c r="AA278" i="26"/>
  <c r="AG195" i="26"/>
  <c r="AA195" i="26"/>
  <c r="AF321" i="26"/>
  <c r="Z321" i="26"/>
  <c r="AG10" i="26"/>
  <c r="AA10" i="26"/>
  <c r="AG277" i="26"/>
  <c r="AA277" i="26"/>
  <c r="AG327" i="26"/>
  <c r="AA327" i="26"/>
  <c r="AF309" i="26"/>
  <c r="Z309" i="26"/>
  <c r="AU4" i="26"/>
  <c r="Z182" i="26"/>
  <c r="AF182" i="26"/>
  <c r="AK4" i="26"/>
  <c r="AG216" i="26"/>
  <c r="AA216" i="26"/>
  <c r="AB76" i="28"/>
  <c r="AB24" i="28"/>
  <c r="AF172" i="16"/>
  <c r="Z172" i="16"/>
  <c r="AF284" i="26"/>
  <c r="Z284" i="26"/>
  <c r="AF238" i="26"/>
  <c r="Z238" i="26"/>
  <c r="AG120" i="26"/>
  <c r="AA120" i="26"/>
  <c r="AG335" i="26"/>
  <c r="AA335" i="26"/>
  <c r="AG280" i="26"/>
  <c r="AA280" i="26"/>
  <c r="AF326" i="26"/>
  <c r="Z326" i="26"/>
  <c r="N58" i="28"/>
  <c r="N6" i="28"/>
  <c r="AE98" i="17"/>
  <c r="Z98" i="17"/>
  <c r="AE52" i="26"/>
  <c r="Y52" i="26"/>
  <c r="I6" i="23"/>
  <c r="G6" i="23"/>
  <c r="AF210" i="26"/>
  <c r="Z210" i="26"/>
  <c r="AE93" i="17"/>
  <c r="Z93" i="17"/>
  <c r="AG135" i="26"/>
  <c r="AA135" i="26"/>
  <c r="AF365" i="26"/>
  <c r="Z365" i="26"/>
  <c r="AG310" i="26"/>
  <c r="AA310" i="26"/>
  <c r="AE107" i="17"/>
  <c r="Z107" i="17"/>
  <c r="AE58" i="26"/>
  <c r="Y58" i="26"/>
  <c r="AM46" i="8"/>
  <c r="T46" i="8"/>
  <c r="N46" i="8"/>
  <c r="AF170" i="16"/>
  <c r="AG112" i="26"/>
  <c r="AA112" i="26"/>
  <c r="AO24" i="8"/>
  <c r="AE24" i="8"/>
  <c r="AG24" i="8"/>
  <c r="AF167" i="16"/>
  <c r="Z167" i="16"/>
  <c r="AF116" i="26"/>
  <c r="Z116" i="26"/>
  <c r="AG233" i="26"/>
  <c r="AA233" i="26"/>
  <c r="AF58" i="8"/>
  <c r="AE58" i="8"/>
  <c r="AG205" i="26"/>
  <c r="AA205" i="26"/>
  <c r="AG196" i="26"/>
  <c r="AA196" i="26"/>
  <c r="AG172" i="26"/>
  <c r="AA172" i="26"/>
  <c r="AG174" i="26"/>
  <c r="AA174" i="26"/>
  <c r="N35" i="21"/>
  <c r="K35" i="21"/>
  <c r="AG99" i="26"/>
  <c r="AA99" i="26"/>
  <c r="AF281" i="26"/>
  <c r="Z281" i="26"/>
  <c r="AF224" i="26"/>
  <c r="Z224" i="26"/>
  <c r="AG281" i="26"/>
  <c r="AA281" i="26"/>
  <c r="AF223" i="26"/>
  <c r="Z223" i="26"/>
  <c r="AE49" i="17"/>
  <c r="Z49" i="17"/>
  <c r="AG91" i="28"/>
  <c r="AG39" i="28"/>
  <c r="Y93" i="16"/>
  <c r="AE93" i="16"/>
  <c r="AG76" i="28"/>
  <c r="AG24" i="28"/>
  <c r="AE69" i="17"/>
  <c r="Z69" i="17"/>
  <c r="AG5" i="28"/>
  <c r="AG57" i="28"/>
  <c r="W7" i="30"/>
  <c r="W13" i="30"/>
  <c r="N64" i="28"/>
  <c r="N12" i="28"/>
  <c r="AF157" i="26"/>
  <c r="Z157" i="26"/>
  <c r="AC60" i="28"/>
  <c r="AC8" i="28"/>
  <c r="AF8" i="8"/>
  <c r="AP8" i="8"/>
  <c r="AG65" i="28"/>
  <c r="AG13" i="28"/>
  <c r="AF279" i="26"/>
  <c r="Z279" i="26"/>
  <c r="AG96" i="28"/>
  <c r="AG44" i="28"/>
  <c r="AP5" i="8"/>
  <c r="AF5" i="8"/>
  <c r="AC5" i="28"/>
  <c r="AC57" i="28"/>
  <c r="S7" i="30"/>
  <c r="S13" i="30"/>
  <c r="AD19" i="17"/>
  <c r="Y19" i="17"/>
  <c r="AF127" i="26"/>
  <c r="Z127" i="26"/>
  <c r="AF361" i="26"/>
  <c r="Z361" i="26"/>
  <c r="AF10" i="24"/>
  <c r="AP10" i="24"/>
  <c r="AF11" i="24"/>
  <c r="AP11" i="24"/>
  <c r="AF37" i="24"/>
  <c r="AP37" i="24"/>
  <c r="K155" i="21"/>
  <c r="N155" i="21"/>
  <c r="AF286" i="26"/>
  <c r="Z286" i="26"/>
  <c r="AG180" i="26"/>
  <c r="AA180" i="26"/>
  <c r="AG346" i="26"/>
  <c r="AA346" i="26"/>
  <c r="AE95" i="26"/>
  <c r="Y95" i="26"/>
  <c r="AG299" i="26"/>
  <c r="AA299" i="26"/>
  <c r="AE91" i="26"/>
  <c r="Y91" i="26"/>
  <c r="AG187" i="26"/>
  <c r="AA187" i="26"/>
  <c r="AG348" i="26"/>
  <c r="AA348" i="26"/>
  <c r="AF294" i="26"/>
  <c r="Z294" i="26"/>
  <c r="AF257" i="26"/>
  <c r="Z257" i="26"/>
  <c r="AG183" i="26"/>
  <c r="AA183" i="26"/>
  <c r="AK39" i="9"/>
  <c r="AK39" i="24"/>
  <c r="AK39" i="6"/>
  <c r="AK39" i="7"/>
  <c r="AK39" i="8"/>
  <c r="AF84" i="28"/>
  <c r="AF32" i="28"/>
  <c r="AF71" i="28"/>
  <c r="AF19" i="28"/>
  <c r="AG103" i="28"/>
  <c r="AG51" i="28"/>
  <c r="AG159" i="26"/>
  <c r="AA159" i="26"/>
  <c r="AB86" i="28"/>
  <c r="AB34" i="28"/>
  <c r="N76" i="28"/>
  <c r="N24" i="28"/>
  <c r="AG116" i="26"/>
  <c r="AA116" i="26"/>
  <c r="AG175" i="26"/>
  <c r="AA175" i="26"/>
  <c r="AF145" i="26"/>
  <c r="Z145" i="26"/>
  <c r="AF67" i="28"/>
  <c r="AF15" i="28"/>
  <c r="AG311" i="26"/>
  <c r="AA311" i="26"/>
  <c r="AC71" i="28"/>
  <c r="AC19" i="28"/>
  <c r="AF19" i="8"/>
  <c r="AP19" i="8"/>
  <c r="AF211" i="26"/>
  <c r="Z211" i="26"/>
  <c r="N77" i="28"/>
  <c r="N25" i="28"/>
  <c r="AF46" i="16"/>
  <c r="AG287" i="26"/>
  <c r="AA287" i="26"/>
  <c r="AF79" i="26"/>
  <c r="Z79" i="26"/>
  <c r="AG284" i="26"/>
  <c r="AA284" i="26"/>
  <c r="AG265" i="26"/>
  <c r="AA265" i="26"/>
  <c r="AE4" i="17"/>
  <c r="Z4" i="17"/>
  <c r="AG12" i="26"/>
  <c r="AA12" i="26"/>
  <c r="AF5" i="26"/>
  <c r="Z5" i="26"/>
  <c r="AE62" i="17"/>
  <c r="Z62" i="17"/>
  <c r="AE41" i="17"/>
  <c r="Z41" i="17"/>
  <c r="AF9" i="26"/>
  <c r="Z9" i="26"/>
  <c r="AF342" i="26"/>
  <c r="Z342" i="26"/>
  <c r="AF333" i="26"/>
  <c r="Z333" i="26"/>
  <c r="R14" i="30"/>
  <c r="R9" i="30"/>
  <c r="R15" i="30"/>
  <c r="AI35" i="25"/>
  <c r="AL35" i="25"/>
  <c r="AB35" i="25"/>
  <c r="AF85" i="28"/>
  <c r="AF33" i="28"/>
  <c r="AF351" i="26"/>
  <c r="Z351" i="26"/>
  <c r="AK51" i="8"/>
  <c r="AK51" i="24"/>
  <c r="AK51" i="6"/>
  <c r="AK51" i="7"/>
  <c r="AK51" i="9"/>
  <c r="AE3" i="17"/>
  <c r="Z3" i="17"/>
  <c r="AG295" i="26"/>
  <c r="AA295" i="26"/>
  <c r="AC77" i="28"/>
  <c r="AC25" i="28"/>
  <c r="AF25" i="8"/>
  <c r="AP25" i="8"/>
  <c r="AG18" i="8"/>
  <c r="AE53" i="17"/>
  <c r="Z53" i="17"/>
  <c r="AG224" i="26"/>
  <c r="AA224" i="26"/>
  <c r="AG204" i="26"/>
  <c r="AA204" i="26"/>
  <c r="AF364" i="26"/>
  <c r="Z364" i="26"/>
  <c r="AV7" i="26"/>
  <c r="AU7" i="26"/>
  <c r="AG238" i="26"/>
  <c r="AA238" i="26"/>
  <c r="AG264" i="26"/>
  <c r="AA264" i="26"/>
  <c r="AF265" i="26"/>
  <c r="Z265" i="26"/>
  <c r="AF180" i="26"/>
  <c r="Z180" i="26"/>
  <c r="AF343" i="26"/>
  <c r="Z343" i="26"/>
  <c r="AF292" i="26"/>
  <c r="Z292" i="26"/>
  <c r="AG75" i="26"/>
  <c r="AA75" i="26"/>
  <c r="AG331" i="26"/>
  <c r="AA331" i="26"/>
  <c r="AG263" i="26"/>
  <c r="AA263" i="26"/>
  <c r="AB87" i="28"/>
  <c r="AB35" i="28"/>
  <c r="AF76" i="28"/>
  <c r="AF24" i="28"/>
  <c r="AG78" i="26"/>
  <c r="AA78" i="26"/>
  <c r="AG255" i="26"/>
  <c r="AA255" i="26"/>
  <c r="AG247" i="26"/>
  <c r="AA247" i="26"/>
  <c r="AF255" i="26"/>
  <c r="Z255" i="26"/>
  <c r="AF268" i="26"/>
  <c r="Z268" i="26"/>
  <c r="AF100" i="28"/>
  <c r="AF48" i="28"/>
  <c r="AG266" i="26"/>
  <c r="AA266" i="26"/>
  <c r="AB84" i="28"/>
  <c r="AB32" i="28"/>
  <c r="AM6" i="8"/>
  <c r="T6" i="8"/>
  <c r="N6" i="8"/>
  <c r="AF48" i="26"/>
  <c r="Z48" i="26"/>
  <c r="AG13" i="26"/>
  <c r="AA13" i="26"/>
  <c r="S15" i="30"/>
  <c r="AP45" i="8"/>
  <c r="AF45" i="8"/>
  <c r="AC45" i="28"/>
  <c r="AC97" i="28"/>
  <c r="S9" i="30"/>
  <c r="S14" i="30"/>
  <c r="AF259" i="26"/>
  <c r="Z259" i="26"/>
  <c r="AO49" i="8"/>
  <c r="AE49" i="8"/>
  <c r="AG49" i="8"/>
  <c r="AE53" i="26"/>
  <c r="Y53" i="26"/>
  <c r="AF375" i="26"/>
  <c r="Z375" i="26"/>
  <c r="AG36" i="26"/>
  <c r="AA36" i="26"/>
  <c r="AK10" i="8"/>
  <c r="AK10" i="24"/>
  <c r="AK10" i="7"/>
  <c r="AK10" i="9"/>
  <c r="AF315" i="26"/>
  <c r="Z315" i="26"/>
  <c r="AG373" i="26"/>
  <c r="AA373" i="26"/>
  <c r="AG372" i="26"/>
  <c r="AA372" i="26"/>
  <c r="AF308" i="26"/>
  <c r="Z308" i="26"/>
  <c r="AG297" i="26"/>
  <c r="AA297" i="26"/>
  <c r="AF105" i="26"/>
  <c r="Z105" i="26"/>
  <c r="AG324" i="26"/>
  <c r="AA324" i="26"/>
  <c r="AF288" i="26"/>
  <c r="Z288" i="26"/>
  <c r="AE21" i="26"/>
  <c r="Y21" i="26"/>
  <c r="AG236" i="26"/>
  <c r="AA236" i="26"/>
  <c r="AF330" i="26"/>
  <c r="Z330" i="26"/>
  <c r="S13" i="34"/>
  <c r="AI22" i="25"/>
  <c r="AL22" i="25"/>
  <c r="AB22" i="25"/>
  <c r="S20" i="34"/>
  <c r="S15" i="34"/>
  <c r="AI33" i="25"/>
  <c r="AL33" i="25"/>
  <c r="AB33" i="25"/>
  <c r="S25" i="34"/>
  <c r="AE6" i="17"/>
  <c r="Z6" i="17"/>
  <c r="AG291" i="26"/>
  <c r="AA291" i="26"/>
  <c r="AG49" i="24"/>
  <c r="AE49" i="24"/>
  <c r="AO49" i="24"/>
  <c r="AG252" i="26"/>
  <c r="AA252" i="26"/>
  <c r="AF108" i="26"/>
  <c r="Z108" i="26"/>
  <c r="AE24" i="26"/>
  <c r="Y24" i="26"/>
  <c r="F18" i="23"/>
  <c r="AG72" i="28"/>
  <c r="AG20" i="28"/>
  <c r="AC80" i="28"/>
  <c r="AC28" i="28"/>
  <c r="AF28" i="8"/>
  <c r="AP28" i="8"/>
  <c r="AM16" i="24"/>
  <c r="T16" i="24"/>
  <c r="N16" i="24"/>
  <c r="AF19" i="24"/>
  <c r="AP19" i="24"/>
  <c r="Z279" i="16"/>
  <c r="AF279" i="16"/>
  <c r="Z239" i="16"/>
  <c r="K239" i="21"/>
  <c r="N239" i="21"/>
  <c r="AE25" i="26"/>
  <c r="Y25" i="26"/>
  <c r="AF371" i="26"/>
  <c r="Z371" i="26"/>
  <c r="AF118" i="26"/>
  <c r="Z118" i="26"/>
  <c r="AF157" i="16"/>
  <c r="Z157" i="16"/>
  <c r="AG128" i="26"/>
  <c r="AA128" i="26"/>
  <c r="AG105" i="26"/>
  <c r="AA105" i="26"/>
  <c r="AF252" i="26"/>
  <c r="Z252" i="26"/>
  <c r="Z346" i="16"/>
  <c r="AF346" i="16"/>
  <c r="Y14" i="26"/>
  <c r="AE14" i="26"/>
  <c r="AU2" i="26"/>
  <c r="AV2" i="26"/>
  <c r="AG127" i="26"/>
  <c r="AA127" i="26"/>
  <c r="AG81" i="26"/>
  <c r="AA81" i="26"/>
  <c r="AF63" i="26"/>
  <c r="Z63" i="26"/>
  <c r="AF370" i="26"/>
  <c r="Z370" i="26"/>
  <c r="AF158" i="16"/>
  <c r="Z158" i="16"/>
  <c r="AF230" i="26"/>
  <c r="Z230" i="26"/>
  <c r="Z263" i="16"/>
  <c r="K263" i="21"/>
  <c r="N263" i="21"/>
  <c r="AG344" i="26"/>
  <c r="AA344" i="26"/>
  <c r="Z319" i="16"/>
  <c r="AF319" i="16"/>
  <c r="S16" i="34"/>
  <c r="S21" i="34"/>
  <c r="S26" i="34"/>
  <c r="AG367" i="26"/>
  <c r="AA367" i="26"/>
  <c r="AG166" i="26"/>
  <c r="AA166" i="26"/>
  <c r="AF241" i="26"/>
  <c r="Z241" i="26"/>
  <c r="AO7" i="8"/>
  <c r="AE7" i="8"/>
  <c r="AG7" i="8"/>
  <c r="V11" i="30"/>
  <c r="AB83" i="28"/>
  <c r="AB31" i="28"/>
  <c r="AA368" i="26"/>
  <c r="AG368" i="26"/>
  <c r="AP6" i="26"/>
  <c r="AG230" i="26"/>
  <c r="AA230" i="26"/>
  <c r="AF243" i="26"/>
  <c r="Z243" i="26"/>
  <c r="AF175" i="26"/>
  <c r="Z175" i="26"/>
  <c r="AF156" i="26"/>
  <c r="Z156" i="26"/>
  <c r="D11" i="30"/>
  <c r="X11" i="30"/>
  <c r="AF206" i="26"/>
  <c r="Z206" i="26"/>
  <c r="AF280" i="26"/>
  <c r="Z280" i="26"/>
  <c r="AG201" i="26"/>
  <c r="AA201" i="26"/>
  <c r="AE35" i="17"/>
  <c r="Z35" i="17"/>
  <c r="AG323" i="26"/>
  <c r="AA323" i="26"/>
  <c r="AF323" i="26"/>
  <c r="Z323" i="26"/>
  <c r="G10" i="34"/>
  <c r="G5" i="34"/>
  <c r="AB44" i="25"/>
  <c r="AF162" i="26"/>
  <c r="Z162" i="26"/>
  <c r="AF313" i="26"/>
  <c r="Z313" i="26"/>
  <c r="AD25" i="17"/>
  <c r="Y25" i="17"/>
  <c r="AE56" i="17"/>
  <c r="Z56" i="17"/>
  <c r="AF186" i="26"/>
  <c r="Z186" i="26"/>
  <c r="AG33" i="8"/>
  <c r="AF367" i="26"/>
  <c r="Z367" i="26"/>
  <c r="AG360" i="26"/>
  <c r="AA360" i="26"/>
  <c r="AG21" i="9"/>
  <c r="AE21" i="9"/>
  <c r="AO21" i="9"/>
  <c r="AG74" i="28"/>
  <c r="AG22" i="28"/>
  <c r="AK24" i="9"/>
  <c r="AK24" i="8"/>
  <c r="AK24" i="6"/>
  <c r="AK24" i="7"/>
  <c r="AK24" i="24"/>
  <c r="N70" i="28"/>
  <c r="N18" i="28"/>
  <c r="AD20" i="17"/>
  <c r="Y20" i="17"/>
  <c r="N94" i="28"/>
  <c r="N42" i="28"/>
  <c r="N66" i="28"/>
  <c r="N14" i="28"/>
  <c r="AL11" i="24"/>
  <c r="AJ11" i="24"/>
  <c r="AF75" i="28"/>
  <c r="AF23" i="28"/>
  <c r="AF220" i="26"/>
  <c r="Z220" i="26"/>
  <c r="AB68" i="28"/>
  <c r="AB16" i="28"/>
  <c r="N83" i="28"/>
  <c r="N31" i="28"/>
  <c r="AG80" i="28"/>
  <c r="AG28" i="28"/>
  <c r="I12" i="23"/>
  <c r="G12" i="23"/>
  <c r="AF272" i="26"/>
  <c r="Z272" i="26"/>
  <c r="AK12" i="9"/>
  <c r="AK12" i="24"/>
  <c r="AK12" i="6"/>
  <c r="AK12" i="7"/>
  <c r="AK12" i="8"/>
  <c r="AB65" i="28"/>
  <c r="AB13" i="28"/>
  <c r="AF172" i="26"/>
  <c r="Z172" i="26"/>
  <c r="AF44" i="24"/>
  <c r="AP44" i="24"/>
  <c r="AB58" i="28"/>
  <c r="AB6" i="28"/>
  <c r="AL12" i="9"/>
  <c r="AJ12" i="9"/>
  <c r="AF80" i="28"/>
  <c r="AF28" i="28"/>
  <c r="AE51" i="17"/>
  <c r="Z51" i="17"/>
  <c r="AG61" i="28"/>
  <c r="AG9" i="28"/>
  <c r="AC67" i="28"/>
  <c r="AC15" i="28"/>
  <c r="AF15" i="8"/>
  <c r="AP15" i="8"/>
  <c r="AB74" i="28"/>
  <c r="AB22" i="28"/>
  <c r="AL53" i="7"/>
  <c r="AB66" i="28"/>
  <c r="AB14" i="28"/>
  <c r="AO35" i="9"/>
  <c r="AE35" i="9"/>
  <c r="AG35" i="9"/>
  <c r="AL8" i="8"/>
  <c r="AJ8" i="8"/>
  <c r="AG330" i="26"/>
  <c r="AA330" i="26"/>
  <c r="AG93" i="28"/>
  <c r="AG41" i="28"/>
  <c r="AB91" i="28"/>
  <c r="AB39" i="28"/>
  <c r="AG308" i="26"/>
  <c r="AA308" i="26"/>
  <c r="AE47" i="17"/>
  <c r="Z47" i="17"/>
  <c r="AE29" i="17"/>
  <c r="Z29" i="17"/>
  <c r="AF282" i="26"/>
  <c r="Z282" i="26"/>
  <c r="AG210" i="26"/>
  <c r="AA210" i="26"/>
  <c r="AO31" i="8"/>
  <c r="AE31" i="8"/>
  <c r="AG31" i="8"/>
  <c r="AF166" i="26"/>
  <c r="Z166" i="26"/>
  <c r="AG25" i="24"/>
  <c r="AE25" i="24"/>
  <c r="AO25" i="24"/>
  <c r="AF45" i="24"/>
  <c r="AP45" i="24"/>
  <c r="AE77" i="17"/>
  <c r="Z77" i="17"/>
  <c r="AM19" i="24"/>
  <c r="T19" i="24"/>
  <c r="N19" i="24"/>
  <c r="AM7" i="9"/>
  <c r="T7" i="9"/>
  <c r="N7" i="9"/>
  <c r="AI42" i="25"/>
  <c r="AL42" i="25"/>
  <c r="AB42" i="25"/>
  <c r="S33" i="34"/>
  <c r="AC78" i="28"/>
  <c r="AC26" i="28"/>
  <c r="AF26" i="8"/>
  <c r="AP26" i="8"/>
  <c r="AB64" i="28"/>
  <c r="AB12" i="28"/>
  <c r="AB88" i="28"/>
  <c r="AB36" i="28"/>
  <c r="AE108" i="17"/>
  <c r="Z108" i="17"/>
  <c r="AM20" i="24"/>
  <c r="T20" i="24"/>
  <c r="N20" i="24"/>
  <c r="AF254" i="26"/>
  <c r="Z254" i="26"/>
  <c r="AF208" i="26"/>
  <c r="Z208" i="26"/>
  <c r="AF369" i="26"/>
  <c r="Z369" i="26"/>
  <c r="AE51" i="26"/>
  <c r="Y51" i="26"/>
  <c r="AG98" i="28"/>
  <c r="AG46" i="28"/>
  <c r="AE55" i="17"/>
  <c r="Z55" i="17"/>
  <c r="G6" i="34"/>
  <c r="G11" i="34"/>
  <c r="AG82" i="28"/>
  <c r="AG30" i="28"/>
  <c r="AF89" i="28"/>
  <c r="AF37" i="28"/>
  <c r="AF302" i="26"/>
  <c r="Z302" i="26"/>
  <c r="AF74" i="26"/>
  <c r="Z74" i="26"/>
  <c r="AF271" i="26"/>
  <c r="Z271" i="26"/>
  <c r="AG50" i="24"/>
  <c r="AE50" i="24"/>
  <c r="AO50" i="24"/>
  <c r="AZ33" i="24"/>
  <c r="AX33" i="24"/>
  <c r="AL27" i="24"/>
  <c r="AJ27" i="24"/>
  <c r="AP32" i="8"/>
  <c r="AF32" i="8"/>
  <c r="AC32" i="28"/>
  <c r="AC84" i="28"/>
  <c r="AZ44" i="24"/>
  <c r="AX44" i="24"/>
  <c r="AM44" i="7"/>
  <c r="AE23" i="26"/>
  <c r="Y23" i="26"/>
  <c r="AI9" i="25"/>
  <c r="AL9" i="25"/>
  <c r="AB9" i="25"/>
  <c r="S6" i="34"/>
  <c r="AF131" i="26"/>
  <c r="Z131" i="26"/>
  <c r="AF129" i="26"/>
  <c r="Z129" i="26"/>
  <c r="AF68" i="26"/>
  <c r="Z68" i="26"/>
  <c r="AE84" i="17"/>
  <c r="Z84" i="17"/>
  <c r="AF12" i="26"/>
  <c r="Z12" i="26"/>
  <c r="AF199" i="26"/>
  <c r="Z199" i="26"/>
  <c r="AF141" i="26"/>
  <c r="Z141" i="26"/>
  <c r="AF365" i="16"/>
  <c r="Z365" i="16"/>
  <c r="AF318" i="26"/>
  <c r="Z318" i="26"/>
  <c r="AE57" i="17"/>
  <c r="Z57" i="17"/>
  <c r="AG332" i="26"/>
  <c r="AA332" i="26"/>
  <c r="AG248" i="26"/>
  <c r="AA248" i="26"/>
  <c r="V15" i="30"/>
  <c r="AF45" i="28"/>
  <c r="AF97" i="28"/>
  <c r="V9" i="30"/>
  <c r="V14" i="30"/>
  <c r="AE11" i="17"/>
  <c r="Z11" i="17"/>
  <c r="AG274" i="26"/>
  <c r="AA274" i="26"/>
  <c r="AG239" i="26"/>
  <c r="AA239" i="26"/>
  <c r="AE89" i="26"/>
  <c r="Y89" i="26"/>
  <c r="AG200" i="26"/>
  <c r="AA200" i="26"/>
  <c r="AF356" i="16"/>
  <c r="Z356" i="16"/>
  <c r="AG318" i="26"/>
  <c r="AA318" i="26"/>
  <c r="AE60" i="17"/>
  <c r="Z60" i="17"/>
  <c r="AF293" i="26"/>
  <c r="Z293" i="26"/>
  <c r="AE55" i="26"/>
  <c r="Y55" i="26"/>
  <c r="AG304" i="26"/>
  <c r="AA304" i="26"/>
  <c r="AE27" i="17"/>
  <c r="Z27" i="17"/>
  <c r="D14" i="30"/>
  <c r="D15" i="30"/>
  <c r="Z46" i="16"/>
  <c r="K46" i="21"/>
  <c r="N46" i="21"/>
  <c r="AM53" i="8"/>
  <c r="E48" i="5"/>
  <c r="E49" i="5"/>
  <c r="AF269" i="26"/>
  <c r="Z269" i="26"/>
  <c r="AF311" i="26"/>
  <c r="Z311" i="26"/>
  <c r="AG340" i="26"/>
  <c r="AA340" i="26"/>
  <c r="AF305" i="26"/>
  <c r="Z305" i="26"/>
  <c r="X15" i="30"/>
  <c r="N45" i="28"/>
  <c r="N97" i="28"/>
  <c r="D9" i="30"/>
  <c r="X9" i="30"/>
  <c r="X14" i="30"/>
  <c r="AF120" i="26"/>
  <c r="Z120" i="26"/>
  <c r="AF295" i="26"/>
  <c r="Z295" i="26"/>
  <c r="AG313" i="26"/>
  <c r="AA313" i="26"/>
  <c r="AG117" i="26"/>
  <c r="AA117" i="26"/>
  <c r="AK45" i="24"/>
  <c r="AK45" i="8"/>
  <c r="AK45" i="9"/>
  <c r="AG279" i="26"/>
  <c r="AA279" i="26"/>
  <c r="AE44" i="17"/>
  <c r="Z44" i="17"/>
  <c r="AF345" i="26"/>
  <c r="Z345" i="26"/>
  <c r="AG351" i="26"/>
  <c r="AA351" i="26"/>
  <c r="AI14" i="25"/>
  <c r="AL14" i="25"/>
  <c r="AB14" i="25"/>
  <c r="AA168" i="26"/>
  <c r="AG168" i="26"/>
  <c r="AD21" i="17"/>
  <c r="Y21" i="17"/>
  <c r="AE64" i="17"/>
  <c r="Z64" i="17"/>
  <c r="AI19" i="25"/>
  <c r="AL19" i="25"/>
  <c r="AB19" i="25"/>
  <c r="AO33" i="8"/>
  <c r="AE33" i="8"/>
  <c r="AB33" i="28"/>
  <c r="AB85" i="28"/>
  <c r="AF347" i="26"/>
  <c r="Z347" i="26"/>
  <c r="AF73" i="28"/>
  <c r="AF21" i="28"/>
  <c r="AP18" i="8"/>
  <c r="AF18" i="8"/>
  <c r="AC18" i="28"/>
  <c r="AC70" i="28"/>
  <c r="AG45" i="8"/>
  <c r="AG170" i="26"/>
  <c r="AA170" i="26"/>
  <c r="AG140" i="26"/>
  <c r="AA140" i="26"/>
  <c r="AG177" i="26"/>
  <c r="AI15" i="25"/>
  <c r="AL15" i="25"/>
  <c r="AB15" i="25"/>
  <c r="AA177" i="26"/>
  <c r="AK22" i="8"/>
  <c r="AK22" i="9"/>
  <c r="AK22" i="6"/>
  <c r="AK22" i="7"/>
  <c r="AK22" i="24"/>
  <c r="AO16" i="8"/>
  <c r="AE16" i="8"/>
  <c r="AG16" i="8"/>
  <c r="Z103" i="16"/>
  <c r="AF103" i="16"/>
  <c r="AG123" i="26"/>
  <c r="AA123" i="26"/>
  <c r="G19" i="23"/>
  <c r="D19" i="23"/>
  <c r="F19" i="23"/>
  <c r="AK46" i="8"/>
  <c r="AK46" i="24"/>
  <c r="AK46" i="6"/>
  <c r="AK46" i="7"/>
  <c r="AK46" i="9"/>
  <c r="AL51" i="8"/>
  <c r="AJ51" i="8"/>
  <c r="AF298" i="26"/>
  <c r="Z298" i="26"/>
  <c r="AE20" i="26"/>
  <c r="Y20" i="26"/>
  <c r="AG282" i="26"/>
  <c r="AA282" i="26"/>
  <c r="AI6" i="25"/>
  <c r="AL6" i="25"/>
  <c r="AB6" i="25"/>
  <c r="AA77" i="26"/>
  <c r="AG77" i="26"/>
  <c r="AF190" i="26"/>
  <c r="Z190" i="26"/>
  <c r="AI40" i="25"/>
  <c r="AL40" i="25"/>
  <c r="AB40" i="25"/>
  <c r="S30" i="34"/>
  <c r="AG79" i="28"/>
  <c r="AG27" i="28"/>
  <c r="AC82" i="28"/>
  <c r="AC30" i="28"/>
  <c r="AF30" i="8"/>
  <c r="AP30" i="8"/>
  <c r="AG363" i="26"/>
  <c r="AA363" i="26"/>
  <c r="AE59" i="17"/>
  <c r="Z59" i="17"/>
  <c r="AL5" i="8"/>
  <c r="AJ5" i="8"/>
  <c r="AJ53" i="8"/>
  <c r="AM17" i="8"/>
  <c r="T17" i="8"/>
  <c r="N17" i="8"/>
  <c r="AM47" i="24"/>
  <c r="T47" i="24"/>
  <c r="N47" i="24"/>
  <c r="AL35" i="8"/>
  <c r="AJ35" i="8"/>
  <c r="AF73" i="26"/>
  <c r="Z73" i="26"/>
  <c r="AC90" i="28"/>
  <c r="AC38" i="28"/>
  <c r="AF38" i="8"/>
  <c r="AP38" i="8"/>
  <c r="AG13" i="24"/>
  <c r="AE13" i="24"/>
  <c r="AO13" i="24"/>
  <c r="AO45" i="8"/>
  <c r="AE45" i="8"/>
  <c r="AB45" i="28"/>
  <c r="AB97" i="28"/>
  <c r="R11" i="30"/>
  <c r="AM50" i="8"/>
  <c r="T50" i="8"/>
  <c r="N50" i="8"/>
  <c r="AE74" i="17"/>
  <c r="Z74" i="17"/>
  <c r="AE102" i="17"/>
  <c r="Z102" i="17"/>
  <c r="AF65" i="28"/>
  <c r="AF13" i="28"/>
  <c r="AO47" i="8"/>
  <c r="AE47" i="8"/>
  <c r="AG47" i="8"/>
  <c r="AO36" i="8"/>
  <c r="AE36" i="8"/>
  <c r="AG36" i="8"/>
  <c r="AF103" i="28"/>
  <c r="AF51" i="28"/>
  <c r="AL49" i="8"/>
  <c r="AJ49" i="8"/>
  <c r="AO32" i="8"/>
  <c r="AE32" i="8"/>
  <c r="AG32" i="8"/>
  <c r="AE28" i="17"/>
  <c r="Z28" i="17"/>
  <c r="S23" i="34"/>
  <c r="AB30" i="25"/>
  <c r="AL30" i="25"/>
  <c r="AI30" i="25"/>
  <c r="AE63" i="17"/>
  <c r="Z63" i="17"/>
  <c r="AF60" i="28"/>
  <c r="AF8" i="28"/>
  <c r="S11" i="34"/>
  <c r="AF61" i="28"/>
  <c r="AF9" i="28"/>
  <c r="AB93" i="28"/>
  <c r="AB41" i="28"/>
  <c r="AG365" i="26"/>
  <c r="AA365" i="26"/>
  <c r="AG242" i="26"/>
  <c r="AA242" i="26"/>
  <c r="AG84" i="28"/>
  <c r="AG32" i="28"/>
  <c r="AM18" i="8"/>
  <c r="T18" i="8"/>
  <c r="N18" i="8"/>
  <c r="AB82" i="28"/>
  <c r="AB30" i="28"/>
  <c r="AP10" i="8"/>
  <c r="AF10" i="8"/>
  <c r="AC10" i="28"/>
  <c r="AC62" i="28"/>
  <c r="AL15" i="8"/>
  <c r="AJ15" i="8"/>
  <c r="AB73" i="28"/>
  <c r="AB21" i="28"/>
  <c r="AF86" i="28"/>
  <c r="AF34" i="28"/>
  <c r="AB103" i="28"/>
  <c r="AB51" i="28"/>
  <c r="AP22" i="8"/>
  <c r="AF22" i="8"/>
  <c r="AC22" i="28"/>
  <c r="AC74" i="28"/>
  <c r="AM22" i="8"/>
  <c r="T22" i="8"/>
  <c r="N22" i="8"/>
  <c r="AL13" i="9"/>
  <c r="AJ13" i="9"/>
  <c r="AG317" i="26"/>
  <c r="AA317" i="26"/>
  <c r="AF29" i="24"/>
  <c r="AP29" i="24"/>
  <c r="AE70" i="17"/>
  <c r="Z70" i="17"/>
  <c r="AF229" i="26"/>
  <c r="Z229" i="26"/>
  <c r="AF376" i="26"/>
  <c r="Z376" i="26"/>
  <c r="AF344" i="26"/>
  <c r="Z344" i="26"/>
  <c r="AG349" i="26"/>
  <c r="AA349" i="26"/>
  <c r="AF165" i="26"/>
  <c r="Z165" i="26"/>
  <c r="AA145" i="26"/>
  <c r="AG145" i="26"/>
  <c r="AF244" i="26"/>
  <c r="Z244" i="26"/>
  <c r="AE61" i="17"/>
  <c r="Z61" i="17"/>
  <c r="AB80" i="28"/>
  <c r="AB28" i="28"/>
  <c r="AL36" i="24"/>
  <c r="AJ36" i="24"/>
  <c r="AF331" i="26"/>
  <c r="Z331" i="26"/>
  <c r="N74" i="28"/>
  <c r="N22" i="28"/>
  <c r="AE76" i="17"/>
  <c r="Z76" i="17"/>
  <c r="N101" i="28"/>
  <c r="N49" i="28"/>
  <c r="AG207" i="26"/>
  <c r="AA207" i="26"/>
  <c r="AF39" i="24"/>
  <c r="AP39" i="24"/>
  <c r="AC94" i="28"/>
  <c r="AP42" i="8"/>
  <c r="AF42" i="8"/>
  <c r="AC42" i="28"/>
  <c r="AA147" i="26"/>
  <c r="AG147" i="26"/>
  <c r="AG70" i="28"/>
  <c r="AG18" i="28"/>
  <c r="AK13" i="8"/>
  <c r="AK13" i="24"/>
  <c r="AK13" i="6"/>
  <c r="AK13" i="7"/>
  <c r="AK13" i="9"/>
  <c r="AK28" i="24"/>
  <c r="AK28" i="8"/>
  <c r="AK28" i="6"/>
  <c r="AK28" i="7"/>
  <c r="AK28" i="9"/>
  <c r="AF201" i="26"/>
  <c r="Z201" i="26"/>
  <c r="AP9" i="8"/>
  <c r="AF9" i="8"/>
  <c r="AC9" i="28"/>
  <c r="AC61" i="28"/>
  <c r="AG89" i="28"/>
  <c r="AG37" i="28"/>
  <c r="AC64" i="28"/>
  <c r="AC12" i="28"/>
  <c r="AF12" i="8"/>
  <c r="AP12" i="8"/>
  <c r="AB69" i="28"/>
  <c r="AB17" i="28"/>
  <c r="AF262" i="26"/>
  <c r="Z262" i="26"/>
  <c r="N65" i="6"/>
  <c r="AO28" i="8"/>
  <c r="AE28" i="8"/>
  <c r="AG28" i="8"/>
  <c r="AE94" i="17"/>
  <c r="Z94" i="17"/>
  <c r="W11" i="30"/>
  <c r="AF260" i="26"/>
  <c r="Z260" i="26"/>
  <c r="N88" i="28"/>
  <c r="N36" i="28"/>
  <c r="AE31" i="17"/>
  <c r="Z31" i="17"/>
  <c r="AG10" i="24"/>
  <c r="AE10" i="24"/>
  <c r="AO10" i="24"/>
  <c r="AL44" i="8"/>
  <c r="AJ44" i="8"/>
  <c r="AG37" i="8"/>
  <c r="AL27" i="9"/>
  <c r="AJ27" i="9"/>
  <c r="AL39" i="24"/>
  <c r="AJ39" i="24"/>
  <c r="N61" i="28"/>
  <c r="N9" i="28"/>
  <c r="AF146" i="26"/>
  <c r="Z146" i="26"/>
  <c r="AE46" i="17"/>
  <c r="Z46" i="17"/>
  <c r="AK18" i="24"/>
  <c r="AK18" i="9"/>
  <c r="AK18" i="6"/>
  <c r="AK18" i="7"/>
  <c r="AK18" i="8"/>
  <c r="AP7" i="8"/>
  <c r="AF7" i="8"/>
  <c r="AC7" i="28"/>
  <c r="AC59" i="28"/>
  <c r="AG305" i="26"/>
  <c r="AA305" i="26"/>
  <c r="AG364" i="26"/>
  <c r="AA364" i="26"/>
  <c r="AE73" i="17"/>
  <c r="Z73" i="17"/>
  <c r="AZ9" i="24"/>
  <c r="AX9" i="24"/>
  <c r="AG376" i="26"/>
  <c r="AA376" i="26"/>
  <c r="AF202" i="26"/>
  <c r="Z202" i="26"/>
  <c r="AF77" i="28"/>
  <c r="AF25" i="28"/>
  <c r="AF310" i="26"/>
  <c r="Z310" i="26"/>
  <c r="AE103" i="17"/>
  <c r="Z103" i="17"/>
  <c r="AO41" i="8"/>
  <c r="AE41" i="8"/>
  <c r="AG41" i="8"/>
  <c r="AB72" i="28"/>
  <c r="AB20" i="28"/>
  <c r="AK11" i="8"/>
  <c r="AK11" i="24"/>
  <c r="AK11" i="9"/>
  <c r="AF81" i="28"/>
  <c r="AF29" i="28"/>
  <c r="AI17" i="25"/>
  <c r="AL17" i="25"/>
  <c r="AB17" i="25"/>
  <c r="S10" i="34"/>
  <c r="AP31" i="8"/>
  <c r="AF31" i="8"/>
  <c r="AC31" i="28"/>
  <c r="AC83" i="28"/>
  <c r="U10" i="35"/>
  <c r="R10" i="34"/>
  <c r="R10" i="35"/>
  <c r="U10" i="34"/>
  <c r="AO37" i="8"/>
  <c r="AE37" i="8"/>
  <c r="AB37" i="28"/>
  <c r="AB89" i="28"/>
  <c r="AL17" i="8"/>
  <c r="AJ17" i="8"/>
  <c r="AM25" i="8"/>
  <c r="T25" i="8"/>
  <c r="N25" i="8"/>
  <c r="AM21" i="24"/>
  <c r="T21" i="24"/>
  <c r="N21" i="24"/>
  <c r="AG88" i="28"/>
  <c r="AG36" i="28"/>
  <c r="AE5" i="17"/>
  <c r="Z5" i="17"/>
  <c r="AJ8" i="17"/>
  <c r="AE39" i="17"/>
  <c r="Z39" i="17"/>
  <c r="AE26" i="17"/>
  <c r="Z26" i="17"/>
  <c r="AF53" i="8"/>
  <c r="S27" i="34"/>
  <c r="AG78" i="28"/>
  <c r="AG26" i="28"/>
  <c r="AC96" i="28"/>
  <c r="AP44" i="8"/>
  <c r="AF44" i="8"/>
  <c r="AC44" i="28"/>
  <c r="AG357" i="26"/>
  <c r="AA357" i="26"/>
  <c r="AE109" i="17"/>
  <c r="Z109" i="17"/>
  <c r="AF267" i="26"/>
  <c r="Z267" i="26"/>
  <c r="AC93" i="28"/>
  <c r="AC41" i="28"/>
  <c r="AF41" i="8"/>
  <c r="AP41" i="8"/>
  <c r="N45" i="8"/>
  <c r="T45" i="8"/>
  <c r="AM45" i="8"/>
  <c r="AK43" i="9"/>
  <c r="AK43" i="8"/>
  <c r="AK43" i="24"/>
  <c r="AF111" i="26"/>
  <c r="Z111" i="26"/>
  <c r="AK43" i="6"/>
  <c r="AK43" i="7"/>
  <c r="AG43" i="28"/>
  <c r="AG95" i="28"/>
  <c r="AL26" i="8"/>
  <c r="AJ26" i="8"/>
  <c r="N103" i="28"/>
  <c r="N51" i="28"/>
  <c r="AF36" i="9"/>
  <c r="AP36" i="9"/>
  <c r="Z249" i="16"/>
  <c r="K249" i="21"/>
  <c r="N249" i="21"/>
  <c r="AF200" i="26"/>
  <c r="Z200" i="26"/>
  <c r="AG211" i="26"/>
  <c r="AA211" i="26"/>
  <c r="AI12" i="25"/>
  <c r="AL12" i="25"/>
  <c r="AB12" i="25"/>
  <c r="AA144" i="26"/>
  <c r="AG144" i="26"/>
  <c r="AA219" i="26"/>
  <c r="AG219" i="26"/>
  <c r="AF62" i="26"/>
  <c r="Z62" i="26"/>
  <c r="Z170" i="16"/>
  <c r="K172" i="21"/>
  <c r="N172" i="21"/>
  <c r="AA148" i="26"/>
  <c r="AG148" i="26"/>
  <c r="AG379" i="26"/>
  <c r="AA379" i="26"/>
  <c r="AF362" i="26"/>
  <c r="Z362" i="26"/>
  <c r="AG328" i="26"/>
  <c r="AA328" i="26"/>
  <c r="AI24" i="25"/>
  <c r="AL24" i="25"/>
  <c r="AB24" i="25"/>
  <c r="AA186" i="26"/>
  <c r="AG186" i="26"/>
  <c r="AF174" i="26"/>
  <c r="Z174" i="26"/>
  <c r="Z302" i="16"/>
  <c r="AF302" i="16"/>
  <c r="S9" i="34"/>
  <c r="AI11" i="25"/>
  <c r="AL11" i="25"/>
  <c r="AB11" i="25"/>
  <c r="AA130" i="26"/>
  <c r="AG130" i="26"/>
  <c r="AE68" i="17"/>
  <c r="Z68" i="17"/>
  <c r="AF372" i="26"/>
  <c r="Z372" i="26"/>
  <c r="Z330" i="16"/>
  <c r="K330" i="21"/>
  <c r="N330" i="21"/>
  <c r="AE48" i="17"/>
  <c r="Z48" i="17"/>
  <c r="AF289" i="26"/>
  <c r="Z289" i="26"/>
  <c r="AF185" i="26"/>
  <c r="Z185" i="26"/>
  <c r="AF366" i="26"/>
  <c r="Z366" i="26"/>
  <c r="AE96" i="26"/>
  <c r="Y96" i="26"/>
  <c r="AI13" i="25"/>
  <c r="AL13" i="25"/>
  <c r="AB13" i="25"/>
  <c r="AA153" i="26"/>
  <c r="AG153" i="26"/>
  <c r="AF307" i="26"/>
  <c r="Z307" i="26"/>
  <c r="AG375" i="26"/>
  <c r="AA375" i="26"/>
  <c r="AF44" i="26"/>
  <c r="Z44" i="26"/>
  <c r="AA244" i="26"/>
  <c r="AG244" i="26"/>
  <c r="AF27" i="26"/>
  <c r="Z27" i="26"/>
  <c r="AA225" i="26"/>
  <c r="AG225" i="26"/>
  <c r="AF11" i="26"/>
  <c r="Z11" i="26"/>
  <c r="AF198" i="26"/>
  <c r="Z198" i="26"/>
  <c r="AF213" i="26"/>
  <c r="Z213" i="26"/>
  <c r="AE66" i="17"/>
  <c r="Z66" i="17"/>
  <c r="AE88" i="17"/>
  <c r="Z88" i="17"/>
  <c r="Z35" i="16"/>
  <c r="AF35" i="16"/>
  <c r="AI5" i="25"/>
  <c r="AL5" i="25"/>
  <c r="AB5" i="25"/>
  <c r="AA104" i="26"/>
  <c r="AG104" i="26"/>
  <c r="AF329" i="26"/>
  <c r="Z329" i="26"/>
  <c r="AF134" i="16"/>
  <c r="Z134" i="16"/>
  <c r="AF322" i="26"/>
  <c r="Z322" i="26"/>
  <c r="AG258" i="26"/>
  <c r="AA258" i="26"/>
  <c r="AG292" i="26"/>
  <c r="AA292" i="26"/>
  <c r="AF40" i="26"/>
  <c r="Z40" i="26"/>
  <c r="AG354" i="26"/>
  <c r="AA354" i="26"/>
  <c r="AK33" i="8"/>
  <c r="AK33" i="24"/>
  <c r="AK33" i="6"/>
  <c r="AK33" i="7"/>
  <c r="AK33" i="9"/>
  <c r="AK25" i="8"/>
  <c r="AK25" i="24"/>
  <c r="AK25" i="9"/>
  <c r="AP27" i="8"/>
  <c r="AF27" i="8"/>
  <c r="AC27" i="28"/>
  <c r="AC79" i="28"/>
  <c r="AE97" i="26"/>
  <c r="Y97" i="26"/>
  <c r="AG374" i="26"/>
  <c r="AA374" i="26"/>
  <c r="AK19" i="8"/>
  <c r="AK19" i="24"/>
  <c r="AK19" i="6"/>
  <c r="AK19" i="7"/>
  <c r="AK19" i="9"/>
  <c r="AO35" i="8"/>
  <c r="AE35" i="8"/>
  <c r="AG35" i="8"/>
  <c r="AI34" i="25"/>
  <c r="AL34" i="25"/>
  <c r="AB34" i="25"/>
  <c r="AF246" i="26"/>
  <c r="Z246" i="26"/>
  <c r="AF247" i="26"/>
  <c r="Z247" i="26"/>
  <c r="AE43" i="17"/>
  <c r="Z43" i="17"/>
  <c r="AO30" i="8"/>
  <c r="AE30" i="8"/>
  <c r="AG30" i="8"/>
  <c r="AF96" i="28"/>
  <c r="AF44" i="28"/>
  <c r="AK25" i="6"/>
  <c r="AK25" i="7"/>
  <c r="AG25" i="28"/>
  <c r="AG77" i="28"/>
  <c r="AO8" i="8"/>
  <c r="AE8" i="8"/>
  <c r="AG8" i="8"/>
  <c r="AO20" i="8"/>
  <c r="AE20" i="8"/>
  <c r="AG20" i="8"/>
  <c r="AE30" i="17"/>
  <c r="Z30" i="17"/>
  <c r="AO18" i="8"/>
  <c r="AE18" i="8"/>
  <c r="AB18" i="28"/>
  <c r="AB70" i="28"/>
  <c r="N62" i="28"/>
  <c r="N10" i="28"/>
  <c r="AO15" i="8"/>
  <c r="AE15" i="8"/>
  <c r="AG15" i="8"/>
  <c r="AE18" i="26"/>
  <c r="Y18" i="26"/>
  <c r="AE91" i="17"/>
  <c r="Z91" i="17"/>
  <c r="AF242" i="26"/>
  <c r="Z242" i="26"/>
  <c r="AI36" i="25"/>
  <c r="AL36" i="25"/>
  <c r="AB36" i="25"/>
  <c r="AA227" i="26"/>
  <c r="AG227" i="26"/>
  <c r="AI16" i="25"/>
  <c r="AL16" i="25"/>
  <c r="AB16" i="25"/>
  <c r="S8" i="34"/>
  <c r="AO10" i="9"/>
  <c r="AE10" i="9"/>
  <c r="AG10" i="9"/>
  <c r="AG329" i="26"/>
  <c r="AA329" i="26"/>
  <c r="AF93" i="28"/>
  <c r="AF41" i="28"/>
  <c r="AG249" i="26"/>
  <c r="AA249" i="26"/>
  <c r="AK32" i="8"/>
  <c r="AK32" i="9"/>
  <c r="AK32" i="6"/>
  <c r="AK32" i="7"/>
  <c r="AK32" i="24"/>
  <c r="N39" i="8"/>
  <c r="T39" i="8"/>
  <c r="AM39" i="8"/>
  <c r="AG10" i="8"/>
  <c r="AF49" i="24"/>
  <c r="AP49" i="24"/>
  <c r="AG38" i="8"/>
  <c r="AK7" i="9"/>
  <c r="AK7" i="24"/>
  <c r="AK7" i="8"/>
  <c r="AO22" i="8"/>
  <c r="AE22" i="8"/>
  <c r="AG22" i="8"/>
  <c r="AC76" i="28"/>
  <c r="AP24" i="8"/>
  <c r="AF24" i="8"/>
  <c r="AC24" i="28"/>
  <c r="AO14" i="8"/>
  <c r="AE14" i="8"/>
  <c r="AG14" i="8"/>
  <c r="AB32" i="25"/>
  <c r="AL32" i="25"/>
  <c r="AI32" i="25"/>
  <c r="N25" i="24"/>
  <c r="T25" i="24"/>
  <c r="AM25" i="24"/>
  <c r="AO39" i="8"/>
  <c r="AE39" i="8"/>
  <c r="AG39" i="8"/>
  <c r="AM42" i="24"/>
  <c r="T42" i="24"/>
  <c r="N42" i="24"/>
  <c r="U32" i="35"/>
  <c r="U32" i="34"/>
  <c r="R32" i="34"/>
  <c r="R32" i="35"/>
  <c r="H15" i="35"/>
  <c r="E15" i="34"/>
  <c r="E15" i="35"/>
  <c r="AM9" i="7"/>
  <c r="H15" i="34"/>
  <c r="AK37" i="8"/>
  <c r="AK37" i="9"/>
  <c r="AK37" i="6"/>
  <c r="AK37" i="7"/>
  <c r="AK37" i="24"/>
  <c r="AK41" i="24"/>
  <c r="AK41" i="8"/>
  <c r="AK41" i="6"/>
  <c r="AK41" i="7"/>
  <c r="AK41" i="9"/>
  <c r="AO13" i="8"/>
  <c r="AE13" i="8"/>
  <c r="AG13" i="8"/>
  <c r="AK30" i="9"/>
  <c r="AK30" i="24"/>
  <c r="AK30" i="6"/>
  <c r="AK30" i="7"/>
  <c r="AK30" i="8"/>
  <c r="N14" i="8"/>
  <c r="T14" i="8"/>
  <c r="AM14" i="8"/>
  <c r="AG270" i="26"/>
  <c r="AA270" i="26"/>
  <c r="AI29" i="25"/>
  <c r="AL29" i="25"/>
  <c r="AB29" i="25"/>
  <c r="S22" i="34"/>
  <c r="AL16" i="24"/>
  <c r="AJ16" i="24"/>
  <c r="AF24" i="24"/>
  <c r="AP24" i="24"/>
  <c r="AE71" i="17"/>
  <c r="Z71" i="17"/>
  <c r="AO10" i="8"/>
  <c r="AE10" i="8"/>
  <c r="AB10" i="28"/>
  <c r="AB62" i="28"/>
  <c r="AK11" i="6"/>
  <c r="AK11" i="7"/>
  <c r="AG11" i="28"/>
  <c r="AG63" i="28"/>
  <c r="AO21" i="24"/>
  <c r="AE21" i="24"/>
  <c r="AG21" i="24"/>
  <c r="N79" i="28"/>
  <c r="N27" i="28"/>
  <c r="AP29" i="8"/>
  <c r="AF29" i="8"/>
  <c r="AC29" i="28"/>
  <c r="AC81" i="28"/>
  <c r="AO38" i="8"/>
  <c r="AE38" i="8"/>
  <c r="AB38" i="28"/>
  <c r="AB90" i="28"/>
  <c r="AF5" i="28"/>
  <c r="AF57" i="28"/>
  <c r="V7" i="30"/>
  <c r="V13" i="30"/>
  <c r="AO51" i="8"/>
  <c r="AE51" i="8"/>
  <c r="AG51" i="8"/>
  <c r="AE79" i="17"/>
  <c r="Z79" i="17"/>
  <c r="N44" i="24"/>
  <c r="T44" i="24"/>
  <c r="AM44" i="24"/>
  <c r="AP35" i="8"/>
  <c r="AF35" i="8"/>
  <c r="AC35" i="28"/>
  <c r="AC87" i="28"/>
  <c r="AL42" i="9"/>
  <c r="AJ42" i="9"/>
  <c r="AP20" i="8"/>
  <c r="AF20" i="8"/>
  <c r="AC20" i="28"/>
  <c r="AC72" i="28"/>
  <c r="N92" i="28"/>
  <c r="N40" i="28"/>
  <c r="N9" i="24"/>
  <c r="T9" i="24"/>
  <c r="AM9" i="24"/>
  <c r="N96" i="28"/>
  <c r="N44" i="28"/>
  <c r="AO55" i="24"/>
  <c r="AO53" i="24"/>
  <c r="AM50" i="7"/>
  <c r="AX50" i="24"/>
  <c r="AZ50" i="24"/>
  <c r="AM14" i="9"/>
  <c r="T14" i="9"/>
  <c r="N14" i="9"/>
  <c r="AG23" i="8"/>
  <c r="AL19" i="9"/>
  <c r="AJ19" i="9"/>
  <c r="AL31" i="8"/>
  <c r="AJ31" i="8"/>
  <c r="AE67" i="17"/>
  <c r="Z67" i="17"/>
  <c r="AD22" i="17"/>
  <c r="Y22" i="17"/>
  <c r="AZ31" i="24"/>
  <c r="AX31" i="24"/>
  <c r="AC91" i="28"/>
  <c r="AC39" i="28"/>
  <c r="AF39" i="8"/>
  <c r="AP39" i="8"/>
  <c r="AO23" i="8"/>
  <c r="AE23" i="8"/>
  <c r="AB23" i="28"/>
  <c r="AB75" i="28"/>
  <c r="AF78" i="28"/>
  <c r="AF26" i="28"/>
  <c r="N19" i="8"/>
  <c r="T19" i="8"/>
  <c r="AM19" i="8"/>
  <c r="AP16" i="8"/>
  <c r="AF16" i="8"/>
  <c r="AC16" i="28"/>
  <c r="AC68" i="28"/>
  <c r="N68" i="28"/>
  <c r="N16" i="28"/>
  <c r="AF72" i="28"/>
  <c r="AF20" i="28"/>
  <c r="AG27" i="8"/>
  <c r="AZ34" i="24"/>
  <c r="AX34" i="24"/>
  <c r="AG53" i="24"/>
  <c r="AF14" i="24"/>
  <c r="AP14" i="24"/>
  <c r="AZ20" i="24"/>
  <c r="AX20" i="24"/>
  <c r="AK48" i="9"/>
  <c r="AK48" i="24"/>
  <c r="AK48" i="8"/>
  <c r="AI37" i="25"/>
  <c r="AL37" i="25"/>
  <c r="AB37" i="25"/>
  <c r="S28" i="34"/>
  <c r="AB95" i="28"/>
  <c r="AB43" i="28"/>
  <c r="AP46" i="8"/>
  <c r="AF46" i="8"/>
  <c r="AC46" i="28"/>
  <c r="AC98" i="28"/>
  <c r="AF338" i="26"/>
  <c r="Z338" i="26"/>
  <c r="AE110" i="17"/>
  <c r="Z110" i="17"/>
  <c r="AB78" i="28"/>
  <c r="AB26" i="28"/>
  <c r="AO27" i="8"/>
  <c r="AE27" i="8"/>
  <c r="AB27" i="28"/>
  <c r="AB79" i="28"/>
  <c r="AG44" i="24"/>
  <c r="AE44" i="24"/>
  <c r="AO44" i="24"/>
  <c r="AZ43" i="24"/>
  <c r="AX43" i="24"/>
  <c r="AM43" i="7"/>
  <c r="AM20" i="8"/>
  <c r="T20" i="8"/>
  <c r="N20" i="8"/>
  <c r="AL41" i="9"/>
  <c r="AJ41" i="9"/>
  <c r="AM16" i="8"/>
  <c r="T16" i="8"/>
  <c r="N16" i="8"/>
  <c r="AP14" i="8"/>
  <c r="AF14" i="8"/>
  <c r="AC14" i="28"/>
  <c r="AC66" i="28"/>
  <c r="AI10" i="25"/>
  <c r="AL10" i="25"/>
  <c r="AB10" i="25"/>
  <c r="S7" i="34"/>
  <c r="N67" i="28"/>
  <c r="N15" i="28"/>
  <c r="AG40" i="24"/>
  <c r="AE40" i="24"/>
  <c r="AO40" i="24"/>
  <c r="AD16" i="17"/>
  <c r="Y16" i="17"/>
  <c r="AL27" i="8"/>
  <c r="AJ27" i="8"/>
  <c r="AG83" i="28"/>
  <c r="AG31" i="28"/>
  <c r="AZ14" i="24"/>
  <c r="AX14" i="24"/>
  <c r="AL19" i="24"/>
  <c r="AJ19" i="24"/>
  <c r="AM10" i="24"/>
  <c r="T10" i="24"/>
  <c r="N10" i="24"/>
  <c r="AG68" i="28"/>
  <c r="AG16" i="28"/>
  <c r="AG27" i="24"/>
  <c r="AE27" i="24"/>
  <c r="AO27" i="24"/>
  <c r="AM50" i="9"/>
  <c r="T50" i="9"/>
  <c r="N50" i="9"/>
  <c r="AK17" i="9"/>
  <c r="AK17" i="8"/>
  <c r="AK17" i="24"/>
  <c r="AG28" i="9"/>
  <c r="AE28" i="9"/>
  <c r="AO28" i="9"/>
  <c r="AM28" i="8"/>
  <c r="T28" i="8"/>
  <c r="N28" i="8"/>
  <c r="AG44" i="8"/>
  <c r="AC101" i="28"/>
  <c r="AC49" i="28"/>
  <c r="AF49" i="8"/>
  <c r="AP49" i="8"/>
  <c r="AL6" i="24"/>
  <c r="AJ6" i="24"/>
  <c r="AM44" i="8"/>
  <c r="T44" i="8"/>
  <c r="N44" i="8"/>
  <c r="AF51" i="9"/>
  <c r="AP51" i="9"/>
  <c r="AE95" i="17"/>
  <c r="Z95" i="17"/>
  <c r="AL14" i="8"/>
  <c r="AJ14" i="8"/>
  <c r="N84" i="28"/>
  <c r="N32" i="28"/>
  <c r="AF6" i="24"/>
  <c r="AP6" i="24"/>
  <c r="AE10" i="17"/>
  <c r="Z10" i="17"/>
  <c r="AK27" i="9"/>
  <c r="AK27" i="24"/>
  <c r="AK27" i="6"/>
  <c r="AK27" i="7"/>
  <c r="AK27" i="8"/>
  <c r="AG11" i="8"/>
  <c r="AF137" i="16"/>
  <c r="Z137" i="16"/>
  <c r="AO34" i="8"/>
  <c r="AE34" i="8"/>
  <c r="AG34" i="8"/>
  <c r="AE100" i="17"/>
  <c r="Z100" i="17"/>
  <c r="W14" i="30"/>
  <c r="AK45" i="6"/>
  <c r="AK45" i="7"/>
  <c r="AG45" i="28"/>
  <c r="AG97" i="28"/>
  <c r="W9" i="30"/>
  <c r="W15" i="30"/>
  <c r="R33" i="34"/>
  <c r="U33" i="34"/>
  <c r="U33" i="35"/>
  <c r="R33" i="35"/>
  <c r="AF270" i="26"/>
  <c r="Z270" i="26"/>
  <c r="AO21" i="8"/>
  <c r="AE21" i="8"/>
  <c r="AG21" i="8"/>
  <c r="AM51" i="7"/>
  <c r="AX51" i="24"/>
  <c r="AZ51" i="24"/>
  <c r="AK7" i="7"/>
  <c r="AG7" i="28"/>
  <c r="AG59" i="28"/>
  <c r="AL31" i="24"/>
  <c r="AJ31" i="24"/>
  <c r="N49" i="24"/>
  <c r="T49" i="24"/>
  <c r="AM49" i="24"/>
  <c r="I11" i="23"/>
  <c r="G11" i="23"/>
  <c r="AG15" i="24"/>
  <c r="AE15" i="24"/>
  <c r="AO15" i="24"/>
  <c r="AP48" i="8"/>
  <c r="AF48" i="8"/>
  <c r="AC48" i="28"/>
  <c r="AC100" i="28"/>
  <c r="AK26" i="24"/>
  <c r="AK26" i="8"/>
  <c r="AK26" i="6"/>
  <c r="AK26" i="7"/>
  <c r="AK26" i="9"/>
  <c r="AF92" i="28"/>
  <c r="AF40" i="28"/>
  <c r="AF332" i="26"/>
  <c r="Z332" i="26"/>
  <c r="AO17" i="8"/>
  <c r="AE17" i="8"/>
  <c r="AG17" i="8"/>
  <c r="AL24" i="8"/>
  <c r="AJ24" i="8"/>
  <c r="AO6" i="24"/>
  <c r="AE6" i="24"/>
  <c r="AG6" i="24"/>
  <c r="AO29" i="24"/>
  <c r="AE29" i="24"/>
  <c r="AG29" i="24"/>
  <c r="AP51" i="8"/>
  <c r="AF51" i="8"/>
  <c r="AC51" i="28"/>
  <c r="AC103" i="28"/>
  <c r="AF46" i="26"/>
  <c r="Z46" i="26"/>
  <c r="AK34" i="8"/>
  <c r="AK34" i="24"/>
  <c r="AK34" i="9"/>
  <c r="AO44" i="8"/>
  <c r="AE44" i="8"/>
  <c r="AB44" i="28"/>
  <c r="AB96" i="28"/>
  <c r="AL22" i="8"/>
  <c r="AJ22" i="8"/>
  <c r="AL53" i="24"/>
  <c r="AG44" i="9"/>
  <c r="AE44" i="9"/>
  <c r="AO44" i="9"/>
  <c r="N87" i="28"/>
  <c r="N35" i="28"/>
  <c r="AL33" i="8"/>
  <c r="AJ33" i="8"/>
  <c r="AF58" i="28"/>
  <c r="AF6" i="28"/>
  <c r="AK49" i="24"/>
  <c r="AK49" i="9"/>
  <c r="AK49" i="8"/>
  <c r="AF328" i="26"/>
  <c r="Z328" i="26"/>
  <c r="AC88" i="28"/>
  <c r="AC36" i="28"/>
  <c r="AF36" i="8"/>
  <c r="AP36" i="8"/>
  <c r="N78" i="28"/>
  <c r="N26" i="28"/>
  <c r="AK34" i="6"/>
  <c r="AK34" i="7"/>
  <c r="AG34" i="28"/>
  <c r="AG86" i="28"/>
  <c r="AZ18" i="24"/>
  <c r="AX18" i="24"/>
  <c r="AG369" i="26"/>
  <c r="AA369" i="26"/>
  <c r="AC63" i="28"/>
  <c r="AC11" i="28"/>
  <c r="AF11" i="8"/>
  <c r="AP11" i="8"/>
  <c r="AC69" i="28"/>
  <c r="AC17" i="28"/>
  <c r="AF17" i="8"/>
  <c r="AP17" i="8"/>
  <c r="AF46" i="24"/>
  <c r="AP46" i="24"/>
  <c r="AL19" i="7"/>
  <c r="AF237" i="26"/>
  <c r="Z237" i="26"/>
  <c r="AL25" i="8"/>
  <c r="AJ25" i="8"/>
  <c r="AM35" i="24"/>
  <c r="T35" i="24"/>
  <c r="N35" i="24"/>
  <c r="AK49" i="6"/>
  <c r="AK49" i="7"/>
  <c r="AG49" i="28"/>
  <c r="AG101" i="28"/>
  <c r="AF98" i="28"/>
  <c r="AF46" i="28"/>
  <c r="AF63" i="28"/>
  <c r="AF11" i="28"/>
  <c r="N11" i="8"/>
  <c r="T11" i="8"/>
  <c r="AM11" i="8"/>
  <c r="AG40" i="8"/>
  <c r="AK47" i="24"/>
  <c r="AK47" i="8"/>
  <c r="AK47" i="9"/>
  <c r="AB102" i="28"/>
  <c r="AB50" i="28"/>
  <c r="AF39" i="9"/>
  <c r="AP39" i="9"/>
  <c r="AG66" i="28"/>
  <c r="AG14" i="28"/>
  <c r="AL20" i="8"/>
  <c r="AJ20" i="8"/>
  <c r="AG253" i="26"/>
  <c r="AA253" i="26"/>
  <c r="AF62" i="28"/>
  <c r="AF10" i="28"/>
  <c r="AF9" i="24"/>
  <c r="AP9" i="24"/>
  <c r="AG353" i="26"/>
  <c r="AA353" i="26"/>
  <c r="AF83" i="28"/>
  <c r="AF31" i="28"/>
  <c r="AF276" i="26"/>
  <c r="Z276" i="26"/>
  <c r="AK47" i="6"/>
  <c r="AK47" i="7"/>
  <c r="AG47" i="28"/>
  <c r="AG99" i="28"/>
  <c r="AO6" i="8"/>
  <c r="AE6" i="8"/>
  <c r="AG6" i="8"/>
  <c r="N13" i="24"/>
  <c r="T13" i="24"/>
  <c r="AM13" i="24"/>
  <c r="AM10" i="8"/>
  <c r="T10" i="8"/>
  <c r="N10" i="8"/>
  <c r="AM9" i="8"/>
  <c r="T9" i="8"/>
  <c r="N9" i="8"/>
  <c r="AL12" i="8"/>
  <c r="AJ12" i="8"/>
  <c r="AL12" i="24"/>
  <c r="AJ12" i="24"/>
  <c r="AM32" i="24"/>
  <c r="T32" i="24"/>
  <c r="N32" i="24"/>
  <c r="AG250" i="26"/>
  <c r="AA250" i="26"/>
  <c r="N91" i="28"/>
  <c r="N39" i="28"/>
  <c r="N71" i="28"/>
  <c r="N19" i="28"/>
  <c r="AE106" i="17"/>
  <c r="Z106" i="17"/>
  <c r="N69" i="28"/>
  <c r="N17" i="28"/>
  <c r="AK16" i="9"/>
  <c r="AK16" i="8"/>
  <c r="AK16" i="7"/>
  <c r="AK16" i="24"/>
  <c r="AG90" i="28"/>
  <c r="AG38" i="28"/>
  <c r="AF15" i="24"/>
  <c r="AP15" i="24"/>
  <c r="AG9" i="24"/>
  <c r="AE9" i="24"/>
  <c r="AO9" i="24"/>
  <c r="AF13" i="24"/>
  <c r="AP13" i="24"/>
  <c r="AL23" i="24"/>
  <c r="AJ23" i="24"/>
  <c r="AL8" i="9"/>
  <c r="AJ8" i="9"/>
  <c r="AG24" i="9"/>
  <c r="AE24" i="9"/>
  <c r="AO24" i="9"/>
  <c r="AG18" i="24"/>
  <c r="AE18" i="24"/>
  <c r="AO18" i="24"/>
  <c r="AK21" i="8"/>
  <c r="AK21" i="24"/>
  <c r="AK21" i="9"/>
  <c r="F5" i="34"/>
  <c r="I6" i="34"/>
  <c r="I5" i="34"/>
  <c r="I6" i="35"/>
  <c r="I5" i="35"/>
  <c r="F6" i="34"/>
  <c r="F5" i="35"/>
  <c r="F6" i="35"/>
  <c r="N37" i="24"/>
  <c r="T37" i="24"/>
  <c r="AM37" i="24"/>
  <c r="AZ22" i="24"/>
  <c r="AM22" i="7"/>
  <c r="AX22" i="24"/>
  <c r="N53" i="8"/>
  <c r="AF45" i="9"/>
  <c r="AP45" i="9"/>
  <c r="AL37" i="8"/>
  <c r="AJ37" i="8"/>
  <c r="N13" i="8"/>
  <c r="T13" i="8"/>
  <c r="AM13" i="8"/>
  <c r="AM28" i="24"/>
  <c r="T28" i="24"/>
  <c r="N28" i="24"/>
  <c r="AG32" i="9"/>
  <c r="AE32" i="9"/>
  <c r="AO32" i="9"/>
  <c r="AM48" i="24"/>
  <c r="T48" i="24"/>
  <c r="N48" i="24"/>
  <c r="N37" i="9"/>
  <c r="T37" i="9"/>
  <c r="AM37" i="9"/>
  <c r="AG36" i="9"/>
  <c r="AE36" i="9"/>
  <c r="AO36" i="9"/>
  <c r="AG32" i="24"/>
  <c r="AE32" i="24"/>
  <c r="AO32" i="24"/>
  <c r="AF36" i="24"/>
  <c r="AP36" i="24"/>
  <c r="AK21" i="6"/>
  <c r="AK21" i="7"/>
  <c r="AG21" i="28"/>
  <c r="AG73" i="28"/>
  <c r="N99" i="28"/>
  <c r="N47" i="28"/>
  <c r="AF16" i="24"/>
  <c r="AP16" i="24"/>
  <c r="AG37" i="24"/>
  <c r="AE37" i="24"/>
  <c r="AO37" i="24"/>
  <c r="AM34" i="8"/>
  <c r="T34" i="8"/>
  <c r="N34" i="8"/>
  <c r="AF32" i="9"/>
  <c r="AP32" i="9"/>
  <c r="AZ38" i="24"/>
  <c r="AX38" i="24"/>
  <c r="AF53" i="9"/>
  <c r="AO11" i="8"/>
  <c r="AE11" i="8"/>
  <c r="AB11" i="28"/>
  <c r="AB63" i="28"/>
  <c r="AK20" i="24"/>
  <c r="AK20" i="8"/>
  <c r="AK20" i="6"/>
  <c r="AK20" i="7"/>
  <c r="AK20" i="9"/>
  <c r="AK9" i="8"/>
  <c r="AK9" i="24"/>
  <c r="AK9" i="7"/>
  <c r="AK9" i="9"/>
  <c r="AM26" i="7"/>
  <c r="AX26" i="24"/>
  <c r="AZ26" i="24"/>
  <c r="N12" i="24"/>
  <c r="T12" i="24"/>
  <c r="AM12" i="24"/>
  <c r="AF312" i="26"/>
  <c r="Z312" i="26"/>
  <c r="AL38" i="8"/>
  <c r="AJ38" i="8"/>
  <c r="AD15" i="17"/>
  <c r="Y15" i="17"/>
  <c r="AO12" i="8"/>
  <c r="AE12" i="8"/>
  <c r="AG12" i="8"/>
  <c r="AF12" i="9"/>
  <c r="AP12" i="9"/>
  <c r="N81" i="28"/>
  <c r="N29" i="28"/>
  <c r="AG306" i="26"/>
  <c r="AA306" i="26"/>
  <c r="AO43" i="8"/>
  <c r="AE43" i="8"/>
  <c r="AG43" i="8"/>
  <c r="AG371" i="26"/>
  <c r="AA371" i="26"/>
  <c r="N102" i="28"/>
  <c r="N50" i="28"/>
  <c r="AL46" i="8"/>
  <c r="AJ46" i="8"/>
  <c r="AG19" i="8"/>
  <c r="AO26" i="8"/>
  <c r="AE26" i="8"/>
  <c r="AG26" i="8"/>
  <c r="R13" i="35"/>
  <c r="U13" i="35"/>
  <c r="U13" i="34"/>
  <c r="AM31" i="7"/>
  <c r="R13" i="34"/>
  <c r="AL22" i="9"/>
  <c r="AJ22" i="9"/>
  <c r="AL53" i="8"/>
  <c r="AM6" i="24"/>
  <c r="T6" i="24"/>
  <c r="N6" i="24"/>
  <c r="N31" i="8"/>
  <c r="T31" i="8"/>
  <c r="AM31" i="8"/>
  <c r="AX24" i="24"/>
  <c r="AZ24" i="24"/>
  <c r="AL47" i="8"/>
  <c r="AJ47" i="8"/>
  <c r="AC99" i="28"/>
  <c r="AC47" i="28"/>
  <c r="AF47" i="8"/>
  <c r="AP47" i="8"/>
  <c r="AM9" i="9"/>
  <c r="T9" i="9"/>
  <c r="N9" i="9"/>
  <c r="AL29" i="24"/>
  <c r="AJ29" i="24"/>
  <c r="F17" i="23"/>
  <c r="G18" i="23"/>
  <c r="AI7" i="25"/>
  <c r="AL7" i="25"/>
  <c r="AB7" i="25"/>
  <c r="AF102" i="28"/>
  <c r="AF50" i="28"/>
  <c r="AL28" i="9"/>
  <c r="AJ28" i="9"/>
  <c r="AF33" i="24"/>
  <c r="AP33" i="24"/>
  <c r="AG33" i="9"/>
  <c r="AE33" i="9"/>
  <c r="AO33" i="9"/>
  <c r="AO14" i="24"/>
  <c r="AE14" i="24"/>
  <c r="AG14" i="24"/>
  <c r="AL50" i="8"/>
  <c r="AJ50" i="8"/>
  <c r="AM49" i="8"/>
  <c r="T49" i="8"/>
  <c r="N49" i="8"/>
  <c r="AG25" i="9"/>
  <c r="AE25" i="9"/>
  <c r="AO25" i="9"/>
  <c r="AL7" i="8"/>
  <c r="AJ7" i="8"/>
  <c r="AL47" i="24"/>
  <c r="AJ47" i="24"/>
  <c r="AZ16" i="24"/>
  <c r="AX16" i="24"/>
  <c r="AG18" i="9"/>
  <c r="AE18" i="9"/>
  <c r="AO18" i="9"/>
  <c r="AO50" i="8"/>
  <c r="AE50" i="8"/>
  <c r="AG50" i="8"/>
  <c r="AG11" i="9"/>
  <c r="AE11" i="9"/>
  <c r="AO11" i="9"/>
  <c r="AL46" i="24"/>
  <c r="AJ46" i="24"/>
  <c r="N85" i="28"/>
  <c r="N33" i="28"/>
  <c r="AL26" i="24"/>
  <c r="AJ26" i="24"/>
  <c r="AF41" i="24"/>
  <c r="AP41" i="24"/>
  <c r="AP23" i="8"/>
  <c r="AF23" i="8"/>
  <c r="AC23" i="28"/>
  <c r="AC75" i="28"/>
  <c r="AL35" i="24"/>
  <c r="AJ35" i="24"/>
  <c r="AZ46" i="24"/>
  <c r="AX46" i="24"/>
  <c r="AG22" i="9"/>
  <c r="AE22" i="9"/>
  <c r="AO22" i="9"/>
  <c r="AO6" i="9"/>
  <c r="AE6" i="9"/>
  <c r="AG6" i="9"/>
  <c r="AM29" i="7"/>
  <c r="AX29" i="24"/>
  <c r="AZ29" i="24"/>
  <c r="AM30" i="24"/>
  <c r="T30" i="24"/>
  <c r="N30" i="24"/>
  <c r="AG48" i="9"/>
  <c r="AE48" i="9"/>
  <c r="AO48" i="9"/>
  <c r="AF44" i="9"/>
  <c r="T44" i="7"/>
  <c r="AP44" i="9"/>
  <c r="AL14" i="9"/>
  <c r="AJ14" i="9"/>
  <c r="AF31" i="24"/>
  <c r="AP31" i="24"/>
  <c r="AM33" i="9"/>
  <c r="T33" i="9"/>
  <c r="N33" i="9"/>
  <c r="S31" i="34"/>
  <c r="AL11" i="7"/>
  <c r="AO5" i="9"/>
  <c r="AE5" i="9"/>
  <c r="AG5" i="9"/>
  <c r="AE53" i="9"/>
  <c r="AL50" i="9"/>
  <c r="AJ50" i="9"/>
  <c r="AF21" i="24"/>
  <c r="AP21" i="24"/>
  <c r="AF18" i="24"/>
  <c r="AP18" i="24"/>
  <c r="AZ17" i="24"/>
  <c r="AX17" i="24"/>
  <c r="AL7" i="9"/>
  <c r="AJ7" i="9"/>
  <c r="AZ32" i="24"/>
  <c r="AX32" i="24"/>
  <c r="AZ5" i="24"/>
  <c r="AX5" i="24"/>
  <c r="AJ11" i="8"/>
  <c r="AL11" i="8"/>
  <c r="AF90" i="28"/>
  <c r="AF38" i="28"/>
  <c r="AL20" i="24"/>
  <c r="AJ20" i="24"/>
  <c r="AO8" i="24"/>
  <c r="AE8" i="24"/>
  <c r="AG8" i="24"/>
  <c r="AF68" i="28"/>
  <c r="AF16" i="28"/>
  <c r="AA315" i="26"/>
  <c r="AG315" i="26"/>
  <c r="AG12" i="24"/>
  <c r="AE12" i="24"/>
  <c r="AO12" i="24"/>
  <c r="AJ11" i="7"/>
  <c r="AJ11" i="9"/>
  <c r="AL11" i="9"/>
  <c r="AL16" i="7"/>
  <c r="AJ53" i="24"/>
  <c r="AL5" i="24"/>
  <c r="AJ5" i="24"/>
  <c r="AL44" i="24"/>
  <c r="AJ44" i="24"/>
  <c r="AG31" i="24"/>
  <c r="AE31" i="24"/>
  <c r="AO31" i="24"/>
  <c r="AL39" i="8"/>
  <c r="AJ39" i="8"/>
  <c r="AG37" i="9"/>
  <c r="AE37" i="9"/>
  <c r="AO37" i="9"/>
  <c r="AL18" i="8"/>
  <c r="AJ18" i="8"/>
  <c r="AL48" i="8"/>
  <c r="AJ48" i="8"/>
  <c r="AL17" i="9"/>
  <c r="AJ17" i="9"/>
  <c r="AL43" i="8"/>
  <c r="AJ43" i="8"/>
  <c r="N53" i="24"/>
  <c r="AL5" i="9"/>
  <c r="AJ5" i="9"/>
  <c r="AJ53" i="9"/>
  <c r="AJ16" i="8"/>
  <c r="AL16" i="8"/>
  <c r="N33" i="8"/>
  <c r="T33" i="8"/>
  <c r="AM33" i="8"/>
  <c r="R30" i="34"/>
  <c r="R30" i="35"/>
  <c r="U30" i="35"/>
  <c r="U30" i="34"/>
  <c r="AL29" i="9"/>
  <c r="AJ29" i="9"/>
  <c r="AE92" i="26"/>
  <c r="Y92" i="26"/>
  <c r="AM51" i="9"/>
  <c r="T51" i="9"/>
  <c r="N51" i="9"/>
  <c r="AK23" i="8"/>
  <c r="AK23" i="9"/>
  <c r="AK23" i="24"/>
  <c r="AZ15" i="24"/>
  <c r="AX15" i="24"/>
  <c r="AG25" i="8"/>
  <c r="U28" i="34"/>
  <c r="U28" i="35"/>
  <c r="R28" i="35"/>
  <c r="AM46" i="7"/>
  <c r="R28" i="34"/>
  <c r="AJ27" i="7"/>
  <c r="AL27" i="7"/>
  <c r="N7" i="24"/>
  <c r="T7" i="24"/>
  <c r="AM7" i="24"/>
  <c r="AK5" i="8"/>
  <c r="AK5" i="24"/>
  <c r="AK5" i="7"/>
  <c r="AK5" i="9"/>
  <c r="AI39" i="25"/>
  <c r="AL39" i="25"/>
  <c r="AB39" i="25"/>
  <c r="AA285" i="26"/>
  <c r="AG285" i="26"/>
  <c r="AF64" i="28"/>
  <c r="AF12" i="28"/>
  <c r="U23" i="35"/>
  <c r="R23" i="34"/>
  <c r="R23" i="35"/>
  <c r="U23" i="34"/>
  <c r="AP34" i="8"/>
  <c r="AF34" i="8"/>
  <c r="AC34" i="28"/>
  <c r="AC86" i="28"/>
  <c r="AG46" i="8"/>
  <c r="N8" i="8"/>
  <c r="T8" i="8"/>
  <c r="AM8" i="8"/>
  <c r="AW34" i="24"/>
  <c r="AW16" i="24"/>
  <c r="AW26" i="24"/>
  <c r="AW18" i="24"/>
  <c r="AW35" i="24"/>
  <c r="AW25" i="24"/>
  <c r="AW51" i="24"/>
  <c r="AW20" i="24"/>
  <c r="AW49" i="24"/>
  <c r="AW23" i="24"/>
  <c r="AW41" i="24"/>
  <c r="AW50" i="24"/>
  <c r="AW32" i="24"/>
  <c r="AW19" i="24"/>
  <c r="AW31" i="24"/>
  <c r="AW46" i="24"/>
  <c r="AW48" i="24"/>
  <c r="AW43" i="24"/>
  <c r="AW27" i="24"/>
  <c r="AW42" i="24"/>
  <c r="AW39" i="24"/>
  <c r="AW28" i="24"/>
  <c r="AW45" i="24"/>
  <c r="AW29" i="24"/>
  <c r="AW21" i="24"/>
  <c r="AW44" i="24"/>
  <c r="AW30" i="24"/>
  <c r="AW24" i="24"/>
  <c r="AW47" i="24"/>
  <c r="AW36" i="24"/>
  <c r="AW38" i="24"/>
  <c r="AW17" i="24"/>
  <c r="AW15" i="24"/>
  <c r="AW22" i="24"/>
  <c r="AW40" i="24"/>
  <c r="AW37" i="24"/>
  <c r="AW33" i="24"/>
  <c r="AF9" i="9"/>
  <c r="AP9" i="9"/>
  <c r="N27" i="8"/>
  <c r="T27" i="8"/>
  <c r="AM27" i="8"/>
  <c r="AE53" i="8"/>
  <c r="AO5" i="8"/>
  <c r="AE5" i="8"/>
  <c r="AG5" i="8"/>
  <c r="N22" i="24"/>
  <c r="T22" i="24"/>
  <c r="AM22" i="24"/>
  <c r="AK36" i="24"/>
  <c r="AK36" i="9"/>
  <c r="AK36" i="6"/>
  <c r="AK36" i="7"/>
  <c r="AK36" i="8"/>
  <c r="AF249" i="26"/>
  <c r="Z249" i="26"/>
  <c r="N89" i="28"/>
  <c r="N37" i="28"/>
  <c r="AL30" i="8"/>
  <c r="AJ30" i="8"/>
  <c r="N63" i="28"/>
  <c r="N11" i="28"/>
  <c r="N29" i="24"/>
  <c r="T29" i="24"/>
  <c r="AM29" i="24"/>
  <c r="AF95" i="28"/>
  <c r="AF43" i="28"/>
  <c r="AM24" i="7"/>
  <c r="Z82" i="17"/>
  <c r="AE82" i="17"/>
  <c r="AF87" i="28"/>
  <c r="AF35" i="28"/>
  <c r="AF192" i="26"/>
  <c r="Z192" i="26"/>
  <c r="AP33" i="8"/>
  <c r="AF33" i="8"/>
  <c r="AC33" i="28"/>
  <c r="AC85" i="28"/>
  <c r="N32" i="8"/>
  <c r="T32" i="8"/>
  <c r="AM32" i="8"/>
  <c r="U17" i="35"/>
  <c r="R17" i="34"/>
  <c r="R17" i="35"/>
  <c r="AM34" i="7"/>
  <c r="U17" i="34"/>
  <c r="AI38" i="25"/>
  <c r="AL38" i="25"/>
  <c r="AB38" i="25"/>
  <c r="S29" i="34"/>
  <c r="N51" i="8"/>
  <c r="T51" i="8"/>
  <c r="AM51" i="8"/>
  <c r="L63" i="6"/>
  <c r="AK38" i="8"/>
  <c r="AK38" i="24"/>
  <c r="AK38" i="6"/>
  <c r="AK38" i="7"/>
  <c r="AK38" i="9"/>
  <c r="N26" i="24"/>
  <c r="T26" i="24"/>
  <c r="AM26" i="24"/>
  <c r="AK23" i="6"/>
  <c r="AK23" i="7"/>
  <c r="AG23" i="28"/>
  <c r="AG75" i="28"/>
  <c r="AO25" i="8"/>
  <c r="AE25" i="8"/>
  <c r="AB25" i="28"/>
  <c r="AB77" i="28"/>
  <c r="AM15" i="8"/>
  <c r="T15" i="8"/>
  <c r="N15" i="8"/>
  <c r="AZ23" i="24"/>
  <c r="AM23" i="7"/>
  <c r="AX23" i="24"/>
  <c r="N23" i="8"/>
  <c r="T23" i="8"/>
  <c r="AM23" i="8"/>
  <c r="AF11" i="9"/>
  <c r="AP11" i="9"/>
  <c r="AZ42" i="24"/>
  <c r="AX42" i="24"/>
  <c r="T24" i="7"/>
  <c r="AO24" i="24"/>
  <c r="AE24" i="24"/>
  <c r="AG24" i="24"/>
  <c r="N22" i="9"/>
  <c r="T22" i="9"/>
  <c r="AM22" i="9"/>
  <c r="AL6" i="9"/>
  <c r="AJ6" i="9"/>
  <c r="AL34" i="24"/>
  <c r="AJ34" i="24"/>
  <c r="AF50" i="24"/>
  <c r="AP50" i="24"/>
  <c r="AM34" i="9"/>
  <c r="T34" i="9"/>
  <c r="N34" i="9"/>
  <c r="AF23" i="9"/>
  <c r="AP23" i="9"/>
  <c r="AF23" i="24"/>
  <c r="AP23" i="24"/>
  <c r="AG16" i="24"/>
  <c r="AE16" i="24"/>
  <c r="AO16" i="24"/>
  <c r="AF29" i="9"/>
  <c r="AP29" i="9"/>
  <c r="AG20" i="9"/>
  <c r="AE20" i="9"/>
  <c r="AO20" i="9"/>
  <c r="AL23" i="9"/>
  <c r="AJ23" i="9"/>
  <c r="AG60" i="28"/>
  <c r="AG8" i="28"/>
  <c r="AF8" i="24"/>
  <c r="AP8" i="24"/>
  <c r="AF82" i="28"/>
  <c r="AF30" i="28"/>
  <c r="AL32" i="8"/>
  <c r="AJ32" i="8"/>
  <c r="AM41" i="9"/>
  <c r="T41" i="9"/>
  <c r="N41" i="9"/>
  <c r="N30" i="8"/>
  <c r="T30" i="8"/>
  <c r="AM30" i="8"/>
  <c r="AZ40" i="24"/>
  <c r="AX40" i="24"/>
  <c r="AG8" i="9"/>
  <c r="AE8" i="9"/>
  <c r="AO8" i="9"/>
  <c r="AG27" i="9"/>
  <c r="AE27" i="9"/>
  <c r="AO27" i="9"/>
  <c r="AB61" i="28"/>
  <c r="AB9" i="28"/>
  <c r="AO39" i="9"/>
  <c r="AE39" i="9"/>
  <c r="AG39" i="9"/>
  <c r="AG87" i="28"/>
  <c r="AG35" i="28"/>
  <c r="AM20" i="9"/>
  <c r="T20" i="9"/>
  <c r="N20" i="9"/>
  <c r="AF17" i="24"/>
  <c r="AP17" i="24"/>
  <c r="N48" i="8"/>
  <c r="T48" i="8"/>
  <c r="AM48" i="8"/>
  <c r="AK50" i="9"/>
  <c r="AK50" i="24"/>
  <c r="AK50" i="8"/>
  <c r="AF38" i="24"/>
  <c r="AP38" i="24"/>
  <c r="AL21" i="24"/>
  <c r="AJ21" i="24"/>
  <c r="AP55" i="24"/>
  <c r="AP53" i="24"/>
  <c r="N38" i="24"/>
  <c r="T38" i="24"/>
  <c r="AM38" i="24"/>
  <c r="AM29" i="8"/>
  <c r="T29" i="8"/>
  <c r="N29" i="8"/>
  <c r="N13" i="9"/>
  <c r="T13" i="9"/>
  <c r="AM13" i="9"/>
  <c r="AM38" i="9"/>
  <c r="T38" i="9"/>
  <c r="N38" i="9"/>
  <c r="AF53" i="24"/>
  <c r="AF31" i="9"/>
  <c r="AP31" i="9"/>
  <c r="AK40" i="8"/>
  <c r="AK40" i="9"/>
  <c r="AK40" i="24"/>
  <c r="AM33" i="24"/>
  <c r="T33" i="24"/>
  <c r="N33" i="24"/>
  <c r="AM15" i="24"/>
  <c r="T15" i="24"/>
  <c r="N15" i="24"/>
  <c r="L68" i="6"/>
  <c r="AF25" i="24"/>
  <c r="AP25" i="24"/>
  <c r="AK17" i="6"/>
  <c r="AK17" i="7"/>
  <c r="AG17" i="28"/>
  <c r="AG69" i="28"/>
  <c r="AO46" i="8"/>
  <c r="AE46" i="8"/>
  <c r="AB46" i="28"/>
  <c r="AB98" i="28"/>
  <c r="U22" i="34"/>
  <c r="R22" i="35"/>
  <c r="U22" i="35"/>
  <c r="AM38" i="7"/>
  <c r="R22" i="34"/>
  <c r="AK48" i="6"/>
  <c r="AK48" i="7"/>
  <c r="AG48" i="28"/>
  <c r="AG100" i="28"/>
  <c r="R16" i="34"/>
  <c r="U16" i="34"/>
  <c r="U21" i="34"/>
  <c r="R16" i="35"/>
  <c r="U26" i="34"/>
  <c r="R21" i="35"/>
  <c r="R26" i="35"/>
  <c r="U16" i="35"/>
  <c r="R26" i="34"/>
  <c r="U21" i="35"/>
  <c r="R21" i="34"/>
  <c r="AM33" i="7"/>
  <c r="U26" i="35"/>
  <c r="AO19" i="8"/>
  <c r="AE19" i="8"/>
  <c r="AB19" i="28"/>
  <c r="AB71" i="28"/>
  <c r="F14" i="34"/>
  <c r="I14" i="34"/>
  <c r="F14" i="35"/>
  <c r="AM14" i="7"/>
  <c r="I14" i="35"/>
  <c r="AO53" i="8"/>
  <c r="AO55" i="8"/>
  <c r="AF88" i="28"/>
  <c r="AF36" i="28"/>
  <c r="AF51" i="24"/>
  <c r="AP51" i="24"/>
  <c r="N40" i="8"/>
  <c r="T40" i="8"/>
  <c r="AM40" i="8"/>
  <c r="E7" i="34"/>
  <c r="E5" i="35"/>
  <c r="H5" i="34"/>
  <c r="H7" i="34"/>
  <c r="E5" i="34"/>
  <c r="H5" i="35"/>
  <c r="H7" i="35"/>
  <c r="E7" i="35"/>
  <c r="AL10" i="8"/>
  <c r="AJ10" i="8"/>
  <c r="AK35" i="24"/>
  <c r="AK35" i="9"/>
  <c r="AK35" i="6"/>
  <c r="AK35" i="7"/>
  <c r="AK35" i="8"/>
  <c r="N44" i="6"/>
  <c r="N44" i="7"/>
  <c r="N44" i="9"/>
  <c r="T44" i="9"/>
  <c r="AM44" i="9"/>
  <c r="AO30" i="9"/>
  <c r="AE30" i="9"/>
  <c r="AG30" i="9"/>
  <c r="AO33" i="24"/>
  <c r="AE33" i="24"/>
  <c r="AG33" i="24"/>
  <c r="AF25" i="9"/>
  <c r="AP25" i="9"/>
  <c r="N23" i="24"/>
  <c r="T23" i="24"/>
  <c r="AM23" i="24"/>
  <c r="AE90" i="26"/>
  <c r="Y90" i="26"/>
  <c r="AF99" i="28"/>
  <c r="AF47" i="28"/>
  <c r="AF20" i="24"/>
  <c r="AP20" i="24"/>
  <c r="N14" i="24"/>
  <c r="T14" i="24"/>
  <c r="AM14" i="24"/>
  <c r="AZ36" i="24"/>
  <c r="AX36" i="24"/>
  <c r="AL29" i="7"/>
  <c r="N42" i="8"/>
  <c r="T42" i="8"/>
  <c r="AM42" i="8"/>
  <c r="AG43" i="24"/>
  <c r="AE43" i="24"/>
  <c r="AO43" i="24"/>
  <c r="U31" i="35"/>
  <c r="R31" i="34"/>
  <c r="U31" i="34"/>
  <c r="R31" i="35"/>
  <c r="AK29" i="24"/>
  <c r="AK29" i="9"/>
  <c r="AK29" i="8"/>
  <c r="AG34" i="24"/>
  <c r="AE34" i="24"/>
  <c r="AO34" i="24"/>
  <c r="AO43" i="9"/>
  <c r="AE43" i="9"/>
  <c r="AG43" i="9"/>
  <c r="AG39" i="24"/>
  <c r="AE39" i="24"/>
  <c r="AO39" i="24"/>
  <c r="AM40" i="9"/>
  <c r="T40" i="9"/>
  <c r="N40" i="9"/>
  <c r="AO40" i="9"/>
  <c r="AE40" i="9"/>
  <c r="AG40" i="9"/>
  <c r="AG7" i="9"/>
  <c r="AE7" i="9"/>
  <c r="AO7" i="9"/>
  <c r="AF40" i="9"/>
  <c r="AP40" i="9"/>
  <c r="AL25" i="9"/>
  <c r="AJ25" i="9"/>
  <c r="AM45" i="9"/>
  <c r="N45" i="9"/>
  <c r="T45" i="9"/>
  <c r="AL53" i="9"/>
  <c r="AL39" i="7"/>
  <c r="AL42" i="8"/>
  <c r="AJ42" i="8"/>
  <c r="AL9" i="8"/>
  <c r="AJ9" i="8"/>
  <c r="AK29" i="6"/>
  <c r="AK29" i="7"/>
  <c r="AG29" i="28"/>
  <c r="AG81" i="28"/>
  <c r="AF20" i="9"/>
  <c r="AP20" i="9"/>
  <c r="AL14" i="7"/>
  <c r="AG13" i="9"/>
  <c r="AE13" i="9"/>
  <c r="AO13" i="9"/>
  <c r="AF28" i="9"/>
  <c r="AP28" i="9"/>
  <c r="AL9" i="24"/>
  <c r="AJ9" i="24"/>
  <c r="AL37" i="24"/>
  <c r="AJ37" i="24"/>
  <c r="AO51" i="24"/>
  <c r="AE51" i="24"/>
  <c r="AG51" i="24"/>
  <c r="AL41" i="24"/>
  <c r="AJ41" i="24"/>
  <c r="AM19" i="9"/>
  <c r="T19" i="9"/>
  <c r="N19" i="9"/>
  <c r="AL24" i="7"/>
  <c r="AL6" i="8"/>
  <c r="AJ6" i="8"/>
  <c r="T39" i="7"/>
  <c r="AM39" i="7"/>
  <c r="AX39" i="24"/>
  <c r="AZ39" i="24"/>
  <c r="AF42" i="9"/>
  <c r="AP42" i="9"/>
  <c r="AO17" i="9"/>
  <c r="AE17" i="9"/>
  <c r="AG17" i="9"/>
  <c r="N25" i="9"/>
  <c r="T25" i="9"/>
  <c r="AM25" i="9"/>
  <c r="AB81" i="28"/>
  <c r="AB29" i="28"/>
  <c r="AL28" i="24"/>
  <c r="AJ28" i="24"/>
  <c r="AM29" i="9"/>
  <c r="T29" i="9"/>
  <c r="N29" i="9"/>
  <c r="AG41" i="9"/>
  <c r="AE41" i="9"/>
  <c r="AO41" i="9"/>
  <c r="AL17" i="24"/>
  <c r="AJ17" i="24"/>
  <c r="AF27" i="9"/>
  <c r="AP27" i="9"/>
  <c r="AL43" i="7"/>
  <c r="AJ14" i="7"/>
  <c r="AF14" i="28"/>
  <c r="AF66" i="28"/>
  <c r="AJ43" i="9"/>
  <c r="AL43" i="9"/>
  <c r="AL48" i="9"/>
  <c r="AJ48" i="9"/>
  <c r="AP40" i="8"/>
  <c r="AF40" i="8"/>
  <c r="AC40" i="28"/>
  <c r="AC92" i="28"/>
  <c r="AM21" i="9"/>
  <c r="T21" i="9"/>
  <c r="N21" i="9"/>
  <c r="AM10" i="9"/>
  <c r="T10" i="9"/>
  <c r="N10" i="9"/>
  <c r="AG20" i="24"/>
  <c r="AE20" i="24"/>
  <c r="AO20" i="24"/>
  <c r="AO29" i="9"/>
  <c r="AE29" i="9"/>
  <c r="AG29" i="9"/>
  <c r="AG23" i="24"/>
  <c r="AE23" i="24"/>
  <c r="AO23" i="24"/>
  <c r="AM32" i="9"/>
  <c r="T32" i="9"/>
  <c r="N32" i="9"/>
  <c r="AO47" i="9"/>
  <c r="AE47" i="9"/>
  <c r="AG47" i="9"/>
  <c r="AF94" i="28"/>
  <c r="AF42" i="28"/>
  <c r="AF22" i="9"/>
  <c r="AP22" i="9"/>
  <c r="AM6" i="9"/>
  <c r="T6" i="9"/>
  <c r="N6" i="9"/>
  <c r="AF7" i="24"/>
  <c r="AP7" i="24"/>
  <c r="N93" i="28"/>
  <c r="N41" i="28"/>
  <c r="AJ43" i="7"/>
  <c r="AJ43" i="24"/>
  <c r="AL43" i="24"/>
  <c r="AG19" i="9"/>
  <c r="AE19" i="9"/>
  <c r="AO19" i="9"/>
  <c r="AL32" i="24"/>
  <c r="AJ32" i="24"/>
  <c r="AL35" i="7"/>
  <c r="AZ10" i="24"/>
  <c r="AX10" i="24"/>
  <c r="AG53" i="9"/>
  <c r="AL32" i="7"/>
  <c r="AP49" i="9"/>
  <c r="AF49" i="9"/>
  <c r="N31" i="24"/>
  <c r="T31" i="24"/>
  <c r="AM31" i="24"/>
  <c r="AB100" i="28"/>
  <c r="AB48" i="28"/>
  <c r="AL18" i="9"/>
  <c r="AJ18" i="9"/>
  <c r="AL40" i="9"/>
  <c r="AJ40" i="9"/>
  <c r="AM42" i="9"/>
  <c r="T42" i="9"/>
  <c r="N42" i="9"/>
  <c r="AG17" i="24"/>
  <c r="AE17" i="24"/>
  <c r="AO17" i="24"/>
  <c r="AM11" i="9"/>
  <c r="N11" i="9"/>
  <c r="T11" i="9"/>
  <c r="AF43" i="24"/>
  <c r="AP43" i="24"/>
  <c r="AL23" i="8"/>
  <c r="AJ23" i="8"/>
  <c r="AO40" i="8"/>
  <c r="AE40" i="8"/>
  <c r="AB40" i="28"/>
  <c r="AB92" i="28"/>
  <c r="F10" i="35"/>
  <c r="F10" i="34"/>
  <c r="I10" i="35"/>
  <c r="I10" i="34"/>
  <c r="AM49" i="7"/>
  <c r="AX49" i="24"/>
  <c r="AZ49" i="24"/>
  <c r="AL15" i="24"/>
  <c r="AJ15" i="24"/>
  <c r="AG9" i="9"/>
  <c r="AE9" i="9"/>
  <c r="AO9" i="9"/>
  <c r="AG49" i="9"/>
  <c r="T49" i="7"/>
  <c r="AO49" i="9"/>
  <c r="AE49" i="9"/>
  <c r="N8" i="28"/>
  <c r="N60" i="28"/>
  <c r="AF74" i="28"/>
  <c r="AF22" i="28"/>
  <c r="N95" i="28"/>
  <c r="N43" i="28"/>
  <c r="AL48" i="7"/>
  <c r="AZ27" i="24"/>
  <c r="AX27" i="24"/>
  <c r="AM27" i="7"/>
  <c r="AG16" i="9"/>
  <c r="AE16" i="9"/>
  <c r="AO16" i="9"/>
  <c r="AJ35" i="7"/>
  <c r="AJ35" i="9"/>
  <c r="AL35" i="9"/>
  <c r="AL47" i="7"/>
  <c r="AL10" i="7"/>
  <c r="R11" i="34"/>
  <c r="R11" i="35"/>
  <c r="U11" i="34"/>
  <c r="U11" i="35"/>
  <c r="AL42" i="24"/>
  <c r="AJ42" i="24"/>
  <c r="AM43" i="8"/>
  <c r="T43" i="8"/>
  <c r="N43" i="8"/>
  <c r="AL22" i="7"/>
  <c r="AF38" i="9"/>
  <c r="AP38" i="9"/>
  <c r="AM43" i="9"/>
  <c r="T43" i="9"/>
  <c r="N43" i="9"/>
  <c r="N53" i="9"/>
  <c r="Z30" i="26"/>
  <c r="AF30" i="26"/>
  <c r="AP43" i="8"/>
  <c r="AF43" i="8"/>
  <c r="AC43" i="28"/>
  <c r="AC95" i="28"/>
  <c r="AG46" i="24"/>
  <c r="AE46" i="24"/>
  <c r="AO46" i="24"/>
  <c r="AF12" i="24"/>
  <c r="AP12" i="24"/>
  <c r="AL41" i="7"/>
  <c r="AP53" i="8"/>
  <c r="AP55" i="8"/>
  <c r="AM17" i="24"/>
  <c r="N17" i="24"/>
  <c r="T17" i="24"/>
  <c r="AO7" i="24"/>
  <c r="AE7" i="24"/>
  <c r="AG7" i="24"/>
  <c r="N98" i="28"/>
  <c r="N46" i="28"/>
  <c r="AL50" i="24"/>
  <c r="AJ50" i="24"/>
  <c r="AL40" i="24"/>
  <c r="AJ40" i="24"/>
  <c r="AL33" i="24"/>
  <c r="AJ33" i="24"/>
  <c r="AL17" i="7"/>
  <c r="N11" i="24"/>
  <c r="T11" i="24"/>
  <c r="AM11" i="24"/>
  <c r="AZ8" i="24"/>
  <c r="AX8" i="24"/>
  <c r="AL38" i="9"/>
  <c r="AJ38" i="9"/>
  <c r="AJ47" i="7"/>
  <c r="AJ47" i="9"/>
  <c r="AL47" i="9"/>
  <c r="AP21" i="9"/>
  <c r="AF21" i="9"/>
  <c r="AF35" i="24"/>
  <c r="AP35" i="24"/>
  <c r="AL31" i="7"/>
  <c r="T21" i="7"/>
  <c r="AM21" i="7"/>
  <c r="AX21" i="24"/>
  <c r="AZ21" i="24"/>
  <c r="AL28" i="8"/>
  <c r="AJ28" i="8"/>
  <c r="AF22" i="24"/>
  <c r="AP22" i="24"/>
  <c r="AL36" i="7"/>
  <c r="AI27" i="25"/>
  <c r="AL27" i="25"/>
  <c r="AB27" i="25"/>
  <c r="S19" i="34"/>
  <c r="D20" i="23"/>
  <c r="G20" i="23"/>
  <c r="AI41" i="25"/>
  <c r="AL41" i="25"/>
  <c r="AB41" i="25"/>
  <c r="S32" i="34"/>
  <c r="AK31" i="9"/>
  <c r="AK31" i="24"/>
  <c r="AK31" i="6"/>
  <c r="AK31" i="7"/>
  <c r="AK31" i="8"/>
  <c r="AK44" i="8"/>
  <c r="AK44" i="24"/>
  <c r="AK44" i="6"/>
  <c r="AK44" i="7"/>
  <c r="AK44" i="9"/>
  <c r="AK53" i="7"/>
  <c r="AK58" i="7"/>
  <c r="U6" i="35"/>
  <c r="U6" i="34"/>
  <c r="R6" i="34"/>
  <c r="AM18" i="7"/>
  <c r="R6" i="35"/>
  <c r="AW7" i="24"/>
  <c r="AW11" i="24"/>
  <c r="AW8" i="24"/>
  <c r="AW12" i="24"/>
  <c r="AW9" i="24"/>
  <c r="AW10" i="24"/>
  <c r="AW13" i="24"/>
  <c r="AW6" i="24"/>
  <c r="AW5" i="24"/>
  <c r="AM5" i="7"/>
  <c r="G5" i="23"/>
  <c r="I5" i="23"/>
  <c r="D17" i="23"/>
  <c r="G17" i="23"/>
  <c r="AW14" i="24"/>
  <c r="AP30" i="24"/>
  <c r="AF30" i="24"/>
  <c r="AK53" i="9"/>
  <c r="T53" i="24"/>
  <c r="N5" i="24"/>
  <c r="T5" i="24"/>
  <c r="AM5" i="24"/>
  <c r="N45" i="24"/>
  <c r="T45" i="24"/>
  <c r="AM45" i="24"/>
  <c r="AJ19" i="7"/>
  <c r="AJ19" i="8"/>
  <c r="AL19" i="8"/>
  <c r="T53" i="9"/>
  <c r="N5" i="9"/>
  <c r="T5" i="9"/>
  <c r="AM5" i="9"/>
  <c r="U12" i="35"/>
  <c r="U12" i="34"/>
  <c r="R12" i="35"/>
  <c r="R12" i="34"/>
  <c r="AM7" i="7"/>
  <c r="AX7" i="24"/>
  <c r="AZ7" i="24"/>
  <c r="AJ12" i="7"/>
  <c r="AL12" i="7"/>
  <c r="AO47" i="24"/>
  <c r="AE47" i="24"/>
  <c r="AG47" i="24"/>
  <c r="AM30" i="7"/>
  <c r="AX30" i="24"/>
  <c r="AZ30" i="24"/>
  <c r="AJ50" i="7"/>
  <c r="AL50" i="7"/>
  <c r="AO46" i="9"/>
  <c r="AE46" i="9"/>
  <c r="AG46" i="9"/>
  <c r="AJ29" i="7"/>
  <c r="AJ29" i="8"/>
  <c r="AL29" i="8"/>
  <c r="N41" i="8"/>
  <c r="T41" i="8"/>
  <c r="AM41" i="8"/>
  <c r="AJ41" i="7"/>
  <c r="AJ41" i="8"/>
  <c r="AL41" i="8"/>
  <c r="T31" i="7"/>
  <c r="AO31" i="9"/>
  <c r="AE31" i="9"/>
  <c r="AG31" i="9"/>
  <c r="N46" i="9"/>
  <c r="T46" i="9"/>
  <c r="AM46" i="9"/>
  <c r="AJ36" i="8"/>
  <c r="AL36" i="8"/>
  <c r="AK53" i="8"/>
  <c r="AL7" i="24"/>
  <c r="AJ7" i="24"/>
  <c r="N12" i="9"/>
  <c r="T12" i="9"/>
  <c r="AM12" i="9"/>
  <c r="AF8" i="9"/>
  <c r="AP8" i="9"/>
  <c r="AO30" i="24"/>
  <c r="AE30" i="24"/>
  <c r="AG30" i="24"/>
  <c r="AJ31" i="7"/>
  <c r="AJ31" i="9"/>
  <c r="AL31" i="9"/>
  <c r="AG53" i="8"/>
  <c r="AL51" i="9"/>
  <c r="AJ51" i="9"/>
  <c r="AM43" i="24"/>
  <c r="T43" i="24"/>
  <c r="N43" i="24"/>
  <c r="AE53" i="24"/>
  <c r="AG5" i="24"/>
  <c r="AE5" i="24"/>
  <c r="AO5" i="24"/>
  <c r="AJ23" i="7"/>
  <c r="AL23" i="7"/>
  <c r="AJ16" i="7"/>
  <c r="AJ16" i="9"/>
  <c r="AL16" i="9"/>
  <c r="N59" i="28"/>
  <c r="N7" i="28"/>
  <c r="AJ6" i="7"/>
  <c r="AL6" i="7"/>
  <c r="AP6" i="8"/>
  <c r="AF6" i="8"/>
  <c r="AC6" i="28"/>
  <c r="AC58" i="28"/>
  <c r="R24" i="34"/>
  <c r="R24" i="35"/>
  <c r="U24" i="34"/>
  <c r="AM40" i="7"/>
  <c r="U24" i="35"/>
  <c r="AK14" i="9"/>
  <c r="AK14" i="24"/>
  <c r="AK14" i="6"/>
  <c r="AK14" i="7"/>
  <c r="AK14" i="8"/>
  <c r="AL21" i="8"/>
  <c r="AJ21" i="8"/>
  <c r="N37" i="8"/>
  <c r="T37" i="8"/>
  <c r="AM37" i="8"/>
  <c r="AO11" i="24"/>
  <c r="AE11" i="24"/>
  <c r="AG11" i="24"/>
  <c r="AJ24" i="24"/>
  <c r="AL24" i="24"/>
  <c r="U8" i="34"/>
  <c r="U8" i="35"/>
  <c r="R8" i="35"/>
  <c r="R8" i="34"/>
  <c r="AO26" i="24"/>
  <c r="AE26" i="24"/>
  <c r="AG26" i="24"/>
  <c r="AJ29" i="6"/>
  <c r="N29" i="6"/>
  <c r="N29" i="7"/>
  <c r="T29" i="7"/>
  <c r="AO29" i="8"/>
  <c r="AE29" i="8"/>
  <c r="AG29" i="8"/>
  <c r="AL30" i="7"/>
  <c r="N39" i="24"/>
  <c r="T39" i="24"/>
  <c r="AM39" i="24"/>
  <c r="AO45" i="24"/>
  <c r="AE45" i="24"/>
  <c r="AG45" i="24"/>
  <c r="N38" i="8"/>
  <c r="T38" i="8"/>
  <c r="AM38" i="8"/>
  <c r="AJ17" i="7"/>
  <c r="AF17" i="28"/>
  <c r="AF69" i="28"/>
  <c r="N51" i="24"/>
  <c r="T51" i="24"/>
  <c r="AM51" i="24"/>
  <c r="Q34" i="34"/>
  <c r="Q34" i="35"/>
  <c r="T34" i="34"/>
  <c r="AM15" i="7"/>
  <c r="T34" i="35"/>
  <c r="AE58" i="24"/>
  <c r="AM53" i="24"/>
  <c r="AF58" i="24"/>
  <c r="AO53" i="9"/>
  <c r="AO55" i="9"/>
  <c r="AG58" i="28"/>
  <c r="AG6" i="28"/>
  <c r="AL45" i="24"/>
  <c r="AJ45" i="24"/>
  <c r="N100" i="28"/>
  <c r="N48" i="28"/>
  <c r="AO48" i="8"/>
  <c r="AE48" i="8"/>
  <c r="AG48" i="8"/>
  <c r="N16" i="9"/>
  <c r="T16" i="9"/>
  <c r="AM16" i="9"/>
  <c r="N39" i="6"/>
  <c r="N39" i="7"/>
  <c r="N39" i="9"/>
  <c r="T39" i="9"/>
  <c r="AM39" i="9"/>
  <c r="N17" i="9"/>
  <c r="T17" i="9"/>
  <c r="AM17" i="9"/>
  <c r="AF37" i="9"/>
  <c r="AP37" i="9"/>
  <c r="AF26" i="9"/>
  <c r="AP26" i="9"/>
  <c r="I11" i="34"/>
  <c r="I11" i="35"/>
  <c r="F11" i="35"/>
  <c r="F11" i="34"/>
  <c r="N8" i="9"/>
  <c r="T8" i="9"/>
  <c r="AM8" i="9"/>
  <c r="AO15" i="9"/>
  <c r="AE15" i="9"/>
  <c r="AG15" i="9"/>
  <c r="T23" i="7"/>
  <c r="AO23" i="9"/>
  <c r="AE23" i="9"/>
  <c r="AG23" i="9"/>
  <c r="AK50" i="6"/>
  <c r="AK50" i="7"/>
  <c r="AG50" i="28"/>
  <c r="AG102" i="28"/>
  <c r="AJ24" i="7"/>
  <c r="AJ24" i="9"/>
  <c r="AL24" i="9"/>
  <c r="AF34" i="9"/>
  <c r="AP34" i="9"/>
  <c r="T30" i="7"/>
  <c r="AP30" i="9"/>
  <c r="AF30" i="9"/>
  <c r="AJ39" i="6"/>
  <c r="AJ39" i="7"/>
  <c r="AJ39" i="9"/>
  <c r="AL39" i="9"/>
  <c r="N51" i="6"/>
  <c r="N51" i="7"/>
  <c r="T51" i="7"/>
  <c r="AO51" i="9"/>
  <c r="AE51" i="9"/>
  <c r="AG51" i="9"/>
  <c r="N8" i="24"/>
  <c r="T8" i="24"/>
  <c r="AM8" i="24"/>
  <c r="AF50" i="9"/>
  <c r="AP50" i="9"/>
  <c r="N48" i="9"/>
  <c r="T48" i="9"/>
  <c r="AM48" i="9"/>
  <c r="AL9" i="7"/>
  <c r="AO42" i="24"/>
  <c r="AE42" i="24"/>
  <c r="AG42" i="24"/>
  <c r="AL44" i="7"/>
  <c r="AZ13" i="24"/>
  <c r="AX13" i="24"/>
  <c r="N41" i="24"/>
  <c r="T41" i="24"/>
  <c r="AM41" i="24"/>
  <c r="AM12" i="7"/>
  <c r="AX12" i="24"/>
  <c r="AZ12" i="24"/>
  <c r="AL13" i="7"/>
  <c r="N36" i="24"/>
  <c r="T36" i="24"/>
  <c r="AM36" i="24"/>
  <c r="AL8" i="7"/>
  <c r="AL20" i="7"/>
  <c r="AO36" i="24"/>
  <c r="AE36" i="24"/>
  <c r="AG36" i="24"/>
  <c r="AJ43" i="6"/>
  <c r="N43" i="6"/>
  <c r="N43" i="7"/>
  <c r="T43" i="7"/>
  <c r="AP43" i="9"/>
  <c r="AF43" i="9"/>
  <c r="AL26" i="7"/>
  <c r="AJ23" i="6"/>
  <c r="N23" i="6"/>
  <c r="N23" i="7"/>
  <c r="N23" i="9"/>
  <c r="T23" i="9"/>
  <c r="AM23" i="9"/>
  <c r="AJ9" i="7"/>
  <c r="AJ9" i="9"/>
  <c r="AL9" i="9"/>
  <c r="N27" i="24"/>
  <c r="T27" i="24"/>
  <c r="AM27" i="24"/>
  <c r="AJ44" i="6"/>
  <c r="AJ44" i="7"/>
  <c r="AJ44" i="9"/>
  <c r="AL44" i="9"/>
  <c r="AL21" i="7"/>
  <c r="AL37" i="7"/>
  <c r="AJ13" i="7"/>
  <c r="AJ13" i="24"/>
  <c r="AL13" i="24"/>
  <c r="AF47" i="24"/>
  <c r="AP47" i="24"/>
  <c r="AJ8" i="7"/>
  <c r="AJ8" i="24"/>
  <c r="AL8" i="24"/>
  <c r="AL34" i="9"/>
  <c r="AJ34" i="9"/>
  <c r="AJ20" i="7"/>
  <c r="AJ20" i="9"/>
  <c r="AL20" i="9"/>
  <c r="AL18" i="24"/>
  <c r="AJ18" i="24"/>
  <c r="AJ5" i="7"/>
  <c r="AL5" i="7"/>
  <c r="AF7" i="9"/>
  <c r="T7" i="7"/>
  <c r="AP7" i="9"/>
  <c r="T15" i="7"/>
  <c r="AP15" i="9"/>
  <c r="AF15" i="9"/>
  <c r="N26" i="9"/>
  <c r="T26" i="9"/>
  <c r="AM26" i="9"/>
  <c r="AJ26" i="7"/>
  <c r="AJ26" i="9"/>
  <c r="AL26" i="9"/>
  <c r="N26" i="8"/>
  <c r="T26" i="8"/>
  <c r="AM26" i="8"/>
  <c r="AL45" i="8"/>
  <c r="AJ45" i="8"/>
  <c r="AJ22" i="7"/>
  <c r="AJ22" i="24"/>
  <c r="AL22" i="24"/>
  <c r="E6" i="34"/>
  <c r="E8" i="34"/>
  <c r="H8" i="35"/>
  <c r="H6" i="34"/>
  <c r="E6" i="35"/>
  <c r="E8" i="35"/>
  <c r="H8" i="34"/>
  <c r="H6" i="35"/>
  <c r="N73" i="28"/>
  <c r="N21" i="28"/>
  <c r="AJ10" i="24"/>
  <c r="AL10" i="24"/>
  <c r="AJ30" i="9"/>
  <c r="AL30" i="9"/>
  <c r="I13" i="34"/>
  <c r="I13" i="35"/>
  <c r="F13" i="34"/>
  <c r="AM13" i="7"/>
  <c r="F13" i="35"/>
  <c r="AJ21" i="7"/>
  <c r="AJ21" i="9"/>
  <c r="AL21" i="9"/>
  <c r="AO48" i="24"/>
  <c r="AE48" i="24"/>
  <c r="AG48" i="24"/>
  <c r="AJ37" i="7"/>
  <c r="AJ37" i="9"/>
  <c r="AL37" i="9"/>
  <c r="AP32" i="24"/>
  <c r="AF32" i="24"/>
  <c r="AL25" i="24"/>
  <c r="AJ25" i="24"/>
  <c r="AK53" i="24"/>
  <c r="AJ53" i="7"/>
  <c r="AJ58" i="7"/>
  <c r="AL45" i="7"/>
  <c r="AF13" i="9"/>
  <c r="T13" i="7"/>
  <c r="AP13" i="9"/>
  <c r="AP48" i="24"/>
  <c r="AF48" i="24"/>
  <c r="AM6" i="7"/>
  <c r="AX6" i="24"/>
  <c r="AZ6" i="24"/>
  <c r="N34" i="24"/>
  <c r="T34" i="24"/>
  <c r="AM34" i="24"/>
  <c r="AO35" i="24"/>
  <c r="AE35" i="24"/>
  <c r="AG35" i="24"/>
  <c r="R29" i="34"/>
  <c r="U29" i="34"/>
  <c r="U29" i="35"/>
  <c r="R29" i="35"/>
  <c r="AL51" i="7"/>
  <c r="N36" i="8"/>
  <c r="T36" i="8"/>
  <c r="AM36" i="8"/>
  <c r="R18" i="35"/>
  <c r="U18" i="35"/>
  <c r="R18" i="34"/>
  <c r="U18" i="34"/>
  <c r="AP26" i="24"/>
  <c r="AF26" i="24"/>
  <c r="N47" i="8"/>
  <c r="T47" i="8"/>
  <c r="AM47" i="8"/>
  <c r="AP48" i="9"/>
  <c r="AF48" i="9"/>
  <c r="AL15" i="7"/>
  <c r="AP42" i="24"/>
  <c r="AF42" i="24"/>
  <c r="AO42" i="9"/>
  <c r="AE42" i="9"/>
  <c r="AG42" i="9"/>
  <c r="AJ45" i="7"/>
  <c r="AJ45" i="9"/>
  <c r="AL45" i="9"/>
  <c r="AL34" i="8"/>
  <c r="AJ34" i="8"/>
  <c r="N36" i="9"/>
  <c r="T36" i="9"/>
  <c r="AM36" i="9"/>
  <c r="R19" i="34"/>
  <c r="U19" i="35"/>
  <c r="R19" i="35"/>
  <c r="N36" i="6"/>
  <c r="N36" i="7"/>
  <c r="T36" i="7"/>
  <c r="AM36" i="7"/>
  <c r="U19" i="34"/>
  <c r="N46" i="24"/>
  <c r="T46" i="24"/>
  <c r="AM46" i="24"/>
  <c r="T27" i="7"/>
  <c r="AP27" i="24"/>
  <c r="AF27" i="24"/>
  <c r="AM47" i="7"/>
  <c r="AX47" i="24"/>
  <c r="AZ47" i="24"/>
  <c r="AO41" i="24"/>
  <c r="AE41" i="24"/>
  <c r="AG41" i="24"/>
  <c r="AO19" i="24"/>
  <c r="AE19" i="24"/>
  <c r="AG19" i="24"/>
  <c r="AJ51" i="6"/>
  <c r="AJ51" i="7"/>
  <c r="AJ51" i="24"/>
  <c r="AL51" i="24"/>
  <c r="N18" i="9"/>
  <c r="T18" i="9"/>
  <c r="AM18" i="9"/>
  <c r="AJ21" i="6"/>
  <c r="N21" i="6"/>
  <c r="N21" i="7"/>
  <c r="N21" i="8"/>
  <c r="T21" i="8"/>
  <c r="AM21" i="8"/>
  <c r="T53" i="7"/>
  <c r="N18" i="24"/>
  <c r="T18" i="24"/>
  <c r="AM18" i="24"/>
  <c r="AM35" i="7"/>
  <c r="AX35" i="24"/>
  <c r="AZ35" i="24"/>
  <c r="T35" i="7"/>
  <c r="AP35" i="9"/>
  <c r="AF35" i="9"/>
  <c r="AJ13" i="6"/>
  <c r="N13" i="6"/>
  <c r="N13" i="7"/>
  <c r="N13" i="28"/>
  <c r="N65" i="28"/>
  <c r="U27" i="34"/>
  <c r="R27" i="35"/>
  <c r="U27" i="35"/>
  <c r="R27" i="34"/>
  <c r="AJ15" i="7"/>
  <c r="AJ15" i="9"/>
  <c r="AL15" i="9"/>
  <c r="AO34" i="9"/>
  <c r="AE34" i="9"/>
  <c r="AG34" i="9"/>
  <c r="AO14" i="9"/>
  <c r="AE14" i="9"/>
  <c r="AG14" i="9"/>
  <c r="AJ12" i="6"/>
  <c r="N12" i="6"/>
  <c r="N12" i="7"/>
  <c r="T12" i="7"/>
  <c r="AO12" i="9"/>
  <c r="AE12" i="9"/>
  <c r="AG12" i="9"/>
  <c r="AL7" i="7"/>
  <c r="AO45" i="9"/>
  <c r="AE45" i="9"/>
  <c r="AG45" i="9"/>
  <c r="N5" i="8"/>
  <c r="T5" i="8"/>
  <c r="AM5" i="8"/>
  <c r="T53" i="8"/>
  <c r="AJ42" i="7"/>
  <c r="AL42" i="7"/>
  <c r="AP17" i="9"/>
  <c r="AF17" i="9"/>
  <c r="N24" i="8"/>
  <c r="T24" i="8"/>
  <c r="AM24" i="8"/>
  <c r="AK6" i="24"/>
  <c r="AK6" i="8"/>
  <c r="AK7" i="6"/>
  <c r="AK55" i="6"/>
  <c r="AK60" i="6"/>
  <c r="AK6" i="7"/>
  <c r="AK6" i="9"/>
  <c r="AJ11" i="6"/>
  <c r="N11" i="6"/>
  <c r="N11" i="7"/>
  <c r="T11" i="7"/>
  <c r="AM11" i="7"/>
  <c r="AX11" i="24"/>
  <c r="AZ11" i="24"/>
  <c r="AP19" i="9"/>
  <c r="AF19" i="9"/>
  <c r="Z104" i="17"/>
  <c r="AE104" i="17"/>
  <c r="AM41" i="7"/>
  <c r="AX41" i="24"/>
  <c r="AZ41" i="24"/>
  <c r="R15" i="35"/>
  <c r="U20" i="35"/>
  <c r="U25" i="35"/>
  <c r="U20" i="34"/>
  <c r="R15" i="34"/>
  <c r="R20" i="35"/>
  <c r="R25" i="34"/>
  <c r="U15" i="34"/>
  <c r="U25" i="34"/>
  <c r="R25" i="35"/>
  <c r="R20" i="34"/>
  <c r="AJ42" i="6"/>
  <c r="N42" i="6"/>
  <c r="N42" i="7"/>
  <c r="T42" i="7"/>
  <c r="AM42" i="7"/>
  <c r="U15" i="35"/>
  <c r="AJ48" i="7"/>
  <c r="AJ48" i="24"/>
  <c r="AL48" i="24"/>
  <c r="R5" i="34"/>
  <c r="U5" i="35"/>
  <c r="U5" i="34"/>
  <c r="T17" i="7"/>
  <c r="AM17" i="7"/>
  <c r="R5" i="35"/>
  <c r="AJ30" i="7"/>
  <c r="AJ30" i="24"/>
  <c r="AL30" i="24"/>
  <c r="AJ34" i="7"/>
  <c r="AL34" i="7"/>
  <c r="H12" i="35"/>
  <c r="E12" i="34"/>
  <c r="H9" i="34"/>
  <c r="E9" i="35"/>
  <c r="H9" i="35"/>
  <c r="H12" i="34"/>
  <c r="E12" i="35"/>
  <c r="AM10" i="7"/>
  <c r="E9" i="34"/>
  <c r="N10" i="7"/>
  <c r="T10" i="7"/>
  <c r="AP10" i="9"/>
  <c r="AF10" i="9"/>
  <c r="N47" i="9"/>
  <c r="T47" i="9"/>
  <c r="AM47" i="9"/>
  <c r="R9" i="34"/>
  <c r="U9" i="35"/>
  <c r="U9" i="34"/>
  <c r="T20" i="7"/>
  <c r="AM20" i="7"/>
  <c r="R9" i="35"/>
  <c r="T35" i="34"/>
  <c r="Q35" i="34"/>
  <c r="Q35" i="35"/>
  <c r="AM16" i="7"/>
  <c r="T35" i="35"/>
  <c r="AJ32" i="7"/>
  <c r="AJ32" i="9"/>
  <c r="AL32" i="9"/>
  <c r="AJ41" i="6"/>
  <c r="N41" i="6"/>
  <c r="N41" i="7"/>
  <c r="T41" i="7"/>
  <c r="AP41" i="9"/>
  <c r="AF41" i="9"/>
  <c r="N6" i="7"/>
  <c r="T6" i="7"/>
  <c r="AP6" i="9"/>
  <c r="AF6" i="9"/>
  <c r="AJ28" i="7"/>
  <c r="AL28" i="7"/>
  <c r="N7" i="7"/>
  <c r="N7" i="8"/>
  <c r="T7" i="8"/>
  <c r="AM7" i="8"/>
  <c r="AL33" i="7"/>
  <c r="AG26" i="9"/>
  <c r="AJ26" i="6"/>
  <c r="N26" i="6"/>
  <c r="N26" i="7"/>
  <c r="T26" i="7"/>
  <c r="AO26" i="9"/>
  <c r="AE26" i="9"/>
  <c r="AF16" i="9"/>
  <c r="N16" i="7"/>
  <c r="T16" i="7"/>
  <c r="AP16" i="9"/>
  <c r="AJ37" i="6"/>
  <c r="N37" i="6"/>
  <c r="N37" i="7"/>
  <c r="T37" i="7"/>
  <c r="AM37" i="7"/>
  <c r="AX37" i="24"/>
  <c r="AZ37" i="24"/>
  <c r="AP5" i="24"/>
  <c r="AF5" i="24"/>
  <c r="AL46" i="7"/>
  <c r="AO28" i="24"/>
  <c r="AE28" i="24"/>
  <c r="AG28" i="24"/>
  <c r="AM28" i="7"/>
  <c r="AX28" i="24"/>
  <c r="AZ28" i="24"/>
  <c r="AJ45" i="6"/>
  <c r="N45" i="6"/>
  <c r="N45" i="7"/>
  <c r="T45" i="7"/>
  <c r="AM45" i="7"/>
  <c r="AX45" i="24"/>
  <c r="AZ45" i="24"/>
  <c r="R7" i="35"/>
  <c r="U7" i="35"/>
  <c r="U7" i="34"/>
  <c r="R7" i="34"/>
  <c r="AL49" i="7"/>
  <c r="AJ27" i="6"/>
  <c r="N27" i="6"/>
  <c r="N27" i="7"/>
  <c r="N27" i="9"/>
  <c r="T27" i="9"/>
  <c r="AM27" i="9"/>
  <c r="AJ7" i="7"/>
  <c r="AF7" i="28"/>
  <c r="AF59" i="28"/>
  <c r="AJ20" i="6"/>
  <c r="N20" i="6"/>
  <c r="N20" i="7"/>
  <c r="N20" i="28"/>
  <c r="N72" i="28"/>
  <c r="AJ22" i="6"/>
  <c r="N22" i="6"/>
  <c r="N22" i="7"/>
  <c r="T22" i="7"/>
  <c r="AO22" i="24"/>
  <c r="AE22" i="24"/>
  <c r="AG22" i="24"/>
  <c r="N35" i="8"/>
  <c r="T35" i="8"/>
  <c r="AM35" i="8"/>
  <c r="AJ33" i="7"/>
  <c r="AJ33" i="9"/>
  <c r="AL33" i="9"/>
  <c r="AL18" i="7"/>
  <c r="N46" i="6"/>
  <c r="N46" i="7"/>
  <c r="T46" i="7"/>
  <c r="AP46" i="9"/>
  <c r="AF46" i="9"/>
  <c r="AJ34" i="6"/>
  <c r="N34" i="6"/>
  <c r="N34" i="7"/>
  <c r="T34" i="7"/>
  <c r="AP34" i="24"/>
  <c r="AF34" i="24"/>
  <c r="AJ14" i="6"/>
  <c r="N14" i="6"/>
  <c r="N14" i="7"/>
  <c r="T14" i="7"/>
  <c r="AP14" i="9"/>
  <c r="AF14" i="9"/>
  <c r="N30" i="9"/>
  <c r="T30" i="9"/>
  <c r="AM30" i="9"/>
  <c r="AJ49" i="24"/>
  <c r="AL49" i="24"/>
  <c r="AJ46" i="6"/>
  <c r="AJ46" i="7"/>
  <c r="AJ46" i="9"/>
  <c r="AL46" i="9"/>
  <c r="AJ18" i="7"/>
  <c r="AF18" i="28"/>
  <c r="AF70" i="28"/>
  <c r="N15" i="7"/>
  <c r="N15" i="9"/>
  <c r="T15" i="9"/>
  <c r="AM15" i="9"/>
  <c r="N40" i="24"/>
  <c r="T40" i="24"/>
  <c r="AM40" i="24"/>
  <c r="AL40" i="8"/>
  <c r="AJ40" i="8"/>
  <c r="AJ19" i="6"/>
  <c r="N19" i="6"/>
  <c r="N19" i="7"/>
  <c r="T19" i="7"/>
  <c r="AM19" i="7"/>
  <c r="AX19" i="24"/>
  <c r="AZ19" i="24"/>
  <c r="AJ49" i="7"/>
  <c r="AJ49" i="9"/>
  <c r="AL49" i="9"/>
  <c r="N28" i="9"/>
  <c r="T28" i="9"/>
  <c r="AM28" i="9"/>
  <c r="AL38" i="7"/>
  <c r="L69" i="6"/>
  <c r="AJ35" i="6"/>
  <c r="N35" i="6"/>
  <c r="N35" i="7"/>
  <c r="N35" i="9"/>
  <c r="T35" i="9"/>
  <c r="AM35" i="9"/>
  <c r="AM49" i="9"/>
  <c r="AJ49" i="6"/>
  <c r="N49" i="6"/>
  <c r="N49" i="7"/>
  <c r="N49" i="9"/>
  <c r="T49" i="9"/>
  <c r="AJ28" i="6"/>
  <c r="N28" i="6"/>
  <c r="N28" i="7"/>
  <c r="T28" i="7"/>
  <c r="AP28" i="24"/>
  <c r="AF28" i="24"/>
  <c r="N5" i="7"/>
  <c r="T5" i="7"/>
  <c r="AP5" i="9"/>
  <c r="AF5" i="9"/>
  <c r="AJ38" i="7"/>
  <c r="AJ38" i="24"/>
  <c r="AL38" i="24"/>
  <c r="AJ31" i="6"/>
  <c r="N31" i="6"/>
  <c r="N31" i="7"/>
  <c r="N31" i="9"/>
  <c r="T31" i="9"/>
  <c r="AM31" i="9"/>
  <c r="AJ55" i="6"/>
  <c r="AJ60" i="6"/>
  <c r="AJ10" i="7"/>
  <c r="AJ10" i="9"/>
  <c r="AL10" i="9"/>
  <c r="AF47" i="9"/>
  <c r="AJ47" i="6"/>
  <c r="N47" i="6"/>
  <c r="N47" i="7"/>
  <c r="T47" i="7"/>
  <c r="AP47" i="9"/>
  <c r="AJ7" i="6"/>
  <c r="N7" i="6"/>
  <c r="N55" i="6"/>
  <c r="N60" i="6"/>
  <c r="N9" i="7"/>
  <c r="T9" i="7"/>
  <c r="AO9" i="8"/>
  <c r="AE9" i="8"/>
  <c r="AG9" i="8"/>
  <c r="F8" i="35"/>
  <c r="F7" i="34"/>
  <c r="F8" i="34"/>
  <c r="I7" i="35"/>
  <c r="F7" i="35"/>
  <c r="I7" i="34"/>
  <c r="I8" i="34"/>
  <c r="N8" i="6"/>
  <c r="N8" i="7"/>
  <c r="T8" i="7"/>
  <c r="AM8" i="7"/>
  <c r="I8" i="35"/>
  <c r="AJ48" i="6"/>
  <c r="N48" i="6"/>
  <c r="N48" i="7"/>
  <c r="T48" i="7"/>
  <c r="AM48" i="7"/>
  <c r="AX48" i="24"/>
  <c r="AZ48" i="24"/>
  <c r="AF40" i="24"/>
  <c r="N40" i="6"/>
  <c r="N40" i="7"/>
  <c r="T40" i="7"/>
  <c r="AP40" i="24"/>
  <c r="AO38" i="24"/>
  <c r="AE38" i="24"/>
  <c r="AG38" i="24"/>
  <c r="AJ33" i="6"/>
  <c r="N33" i="6"/>
  <c r="N33" i="7"/>
  <c r="T33" i="7"/>
  <c r="AP33" i="9"/>
  <c r="AF33" i="9"/>
  <c r="AJ38" i="6"/>
  <c r="N38" i="6"/>
  <c r="N38" i="7"/>
  <c r="T38" i="7"/>
  <c r="AO38" i="9"/>
  <c r="AE38" i="9"/>
  <c r="AG38" i="9"/>
  <c r="R14" i="34"/>
  <c r="U14" i="35"/>
  <c r="U14" i="34"/>
  <c r="AJ32" i="6"/>
  <c r="N32" i="6"/>
  <c r="N32" i="7"/>
  <c r="T32" i="7"/>
  <c r="AM32" i="7"/>
  <c r="R14" i="35"/>
  <c r="AJ18" i="6"/>
  <c r="N18" i="6"/>
  <c r="N18" i="7"/>
  <c r="T18" i="7"/>
  <c r="AP18" i="9"/>
  <c r="AF18" i="9"/>
  <c r="AK40" i="6"/>
  <c r="AK40" i="7"/>
  <c r="AG40" i="28"/>
  <c r="AG92" i="28"/>
  <c r="AJ40" i="6"/>
  <c r="AJ40" i="7"/>
  <c r="AL40" i="7"/>
  <c r="AJ30" i="6"/>
  <c r="N30" i="6"/>
  <c r="N30" i="7"/>
  <c r="L67" i="6"/>
  <c r="AJ25" i="7"/>
  <c r="AL25" i="7"/>
  <c r="N24" i="24"/>
  <c r="T24" i="24"/>
  <c r="AM24" i="24"/>
  <c r="AJ24" i="6"/>
  <c r="N24" i="6"/>
  <c r="N24" i="7"/>
  <c r="N24" i="9"/>
  <c r="T24" i="9"/>
  <c r="AM24" i="9"/>
  <c r="T50" i="7"/>
  <c r="AO50" i="9"/>
  <c r="AE50" i="9"/>
  <c r="AG50" i="9"/>
  <c r="AJ36" i="6"/>
  <c r="AJ36" i="7"/>
  <c r="AJ36" i="9"/>
  <c r="AL36" i="9"/>
  <c r="AJ25" i="6"/>
  <c r="N25" i="6"/>
  <c r="N25" i="7"/>
  <c r="T25" i="7"/>
  <c r="AM25" i="7"/>
  <c r="AX25" i="24"/>
  <c r="AZ25" i="24"/>
  <c r="AK8" i="8"/>
  <c r="AK8" i="9"/>
  <c r="N63" i="6"/>
  <c r="AJ8" i="6"/>
  <c r="AK8" i="6"/>
  <c r="AK8" i="7"/>
  <c r="AK8" i="24"/>
  <c r="AP53" i="9"/>
  <c r="AP55" i="9"/>
  <c r="AJ17" i="6"/>
  <c r="N17" i="6"/>
  <c r="N17" i="7"/>
  <c r="L66" i="6"/>
  <c r="L64" i="6"/>
  <c r="L70" i="6"/>
  <c r="N64" i="6"/>
  <c r="AJ50" i="6"/>
  <c r="N50" i="6"/>
  <c r="N50" i="7"/>
  <c r="N50" i="24"/>
  <c r="T50" i="24"/>
  <c r="AM50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6C3FAB92-3DC1-46C3-A9BD-37D8A6F22CCA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37876-EA88-4F90-A1EC-5191D0871B9A}" name="Conexão" type="7" refreshedVersion="8" background="1" saveData="1"/>
  <connection id="2" xr16:uid="{544167E0-B7FE-4BD7-8982-C751F408D02D}" name="Conexão1" type="7" refreshedVersion="8" background="1" saveData="1"/>
  <connection id="3" xr16:uid="{30E2DB22-E986-4E32-909B-7C5962CF285C}" name="Conexão2" type="7" refreshedVersion="8" background="1" saveData="1"/>
</connections>
</file>

<file path=xl/sharedStrings.xml><?xml version="1.0" encoding="utf-8"?>
<sst xmlns="http://schemas.openxmlformats.org/spreadsheetml/2006/main" count="23435" uniqueCount="1188">
  <si>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</si>
  <si>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</si>
  <si>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</si>
  <si>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</si>
  <si>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</si>
  <si>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</si>
  <si>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</si>
  <si>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</si>
  <si>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</si>
  <si>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</si>
  <si>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</si>
  <si>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</si>
  <si>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</si>
  <si>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</si>
  <si>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</si>
  <si>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</si>
  <si>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</si>
  <si>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</si>
  <si>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</si>
  <si>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</si>
  <si>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</si>
  <si>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</si>
  <si>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</si>
  <si>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</si>
  <si>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</si>
  <si>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</si>
  <si>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</si>
  <si>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</si>
  <si>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</si>
  <si>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</si>
  <si>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</si>
  <si>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</si>
  <si>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</si>
  <si>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</si>
  <si>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</si>
  <si>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</si>
  <si>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</si>
  <si>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</si>
  <si>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Branca</t>
  </si>
  <si>
    <t>Intermediário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</si>
  <si>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</si>
  <si>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</si>
  <si>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</si>
  <si>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</si>
  <si>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</si>
  <si>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</si>
  <si>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</si>
  <si>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</si>
  <si>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</si>
  <si>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</si>
  <si>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</si>
  <si>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</si>
  <si>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</si>
  <si>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</si>
  <si>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</si>
  <si>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</si>
  <si>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</si>
  <si>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</si>
  <si>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</si>
  <si>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</si>
  <si>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</si>
  <si>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</si>
  <si>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</si>
  <si>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</si>
  <si>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</si>
  <si>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</si>
  <si>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</si>
  <si>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</si>
  <si>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</si>
  <si>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</si>
  <si>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</si>
  <si>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Energia convencional</t>
  </si>
  <si>
    <t>E</t>
  </si>
  <si>
    <t>Azul</t>
  </si>
  <si>
    <t>kW</t>
  </si>
  <si>
    <t>DP</t>
  </si>
  <si>
    <t>DFP</t>
  </si>
  <si>
    <t>APE</t>
  </si>
  <si>
    <t>Geração</t>
  </si>
  <si>
    <t>B</t>
  </si>
  <si>
    <t>TIPO 01</t>
  </si>
  <si>
    <t>TIPO 02</t>
  </si>
  <si>
    <t>EINT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</si>
  <si>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</si>
  <si>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</si>
  <si>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</si>
  <si>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</si>
  <si>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</si>
  <si>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</si>
  <si>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</si>
  <si>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</si>
  <si>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</si>
  <si>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</si>
  <si>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</si>
  <si>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</si>
  <si>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</si>
  <si>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</si>
  <si>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</si>
  <si>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</si>
  <si>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</si>
  <si>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</si>
  <si>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</si>
  <si>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</si>
  <si>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</si>
  <si>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</si>
  <si>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</si>
  <si>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</si>
  <si>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</si>
  <si>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</si>
  <si>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</si>
  <si>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</si>
  <si>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</si>
  <si>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</si>
  <si>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</si>
  <si>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</si>
  <si>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</si>
  <si>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</si>
  <si>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</si>
  <si>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</si>
  <si>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</si>
  <si>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</si>
  <si>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</si>
  <si>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</si>
  <si>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</si>
  <si>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</si>
  <si>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</si>
  <si>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</si>
  <si>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</si>
  <si>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</si>
  <si>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</si>
  <si>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</si>
  <si>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</si>
  <si>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</si>
  <si>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</si>
  <si>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</si>
  <si>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</si>
  <si>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</si>
  <si>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</si>
  <si>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</si>
  <si>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</si>
  <si>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</si>
  <si>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</si>
  <si>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</si>
  <si>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</si>
  <si>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</si>
  <si>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</si>
  <si>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</si>
  <si>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</si>
  <si>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</si>
  <si>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</si>
  <si>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</si>
  <si>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</si>
  <si>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</si>
  <si>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</si>
  <si>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</si>
  <si>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</si>
  <si>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</si>
  <si>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</si>
  <si>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</si>
  <si>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</si>
  <si>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</si>
  <si>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</si>
  <si>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</si>
  <si>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</si>
  <si>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</si>
  <si>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</si>
  <si>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</si>
  <si>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</si>
  <si>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</si>
  <si>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</si>
  <si>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</si>
  <si>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</si>
  <si>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</si>
  <si>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</si>
  <si>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</si>
  <si>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</si>
  <si>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</si>
  <si>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</si>
  <si>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</si>
  <si>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</si>
  <si>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</si>
  <si>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</si>
  <si>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</si>
  <si>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</si>
  <si>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</si>
  <si>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</si>
  <si>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</si>
  <si>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</si>
  <si>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</si>
  <si>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</si>
  <si>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</si>
  <si>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</si>
  <si>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</si>
  <si>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</si>
  <si>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</si>
  <si>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</si>
  <si>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</si>
  <si>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44409B3BrancaNão se aplicaNão se aplicaNão se aplicaNão se aplicaFora ponta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</si>
  <si>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</si>
  <si>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</si>
  <si>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</si>
  <si>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</si>
  <si>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</si>
  <si>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</si>
  <si>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</si>
  <si>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</si>
  <si>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</si>
  <si>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</si>
  <si>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</si>
  <si>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44409B3BrancaNão se aplicaNão se aplicaNão se aplicaNão se aplicaIntermediário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</si>
  <si>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</si>
  <si>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</si>
  <si>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</si>
  <si>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</si>
  <si>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</si>
  <si>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</si>
  <si>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</si>
  <si>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</si>
  <si>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</si>
  <si>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</si>
  <si>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</si>
  <si>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44409B3BrancaNão se aplicaNão se aplicaNão se aplicaNão se aplicaPonta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</si>
  <si>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</si>
  <si>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</si>
  <si>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</si>
  <si>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</si>
  <si>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</si>
  <si>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</si>
  <si>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</si>
  <si>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</si>
  <si>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</si>
  <si>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</si>
  <si>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</si>
  <si>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</si>
  <si>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</si>
  <si>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</si>
  <si>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</si>
  <si>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</si>
  <si>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</si>
  <si>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</si>
  <si>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</si>
  <si>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</si>
  <si>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</si>
  <si>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</si>
  <si>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</si>
  <si>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</si>
  <si>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</si>
  <si>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</si>
  <si>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</si>
  <si>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</si>
  <si>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</si>
  <si>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</si>
  <si>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</si>
  <si>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</si>
  <si>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</si>
  <si>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</si>
  <si>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</si>
  <si>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CHAVE TE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</si>
  <si>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</si>
  <si>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</si>
  <si>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</si>
  <si>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</si>
  <si>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</si>
  <si>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</si>
  <si>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</si>
  <si>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</si>
  <si>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</si>
  <si>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</si>
  <si>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</si>
  <si>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</si>
  <si>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</si>
  <si>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</si>
  <si>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</si>
  <si>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</si>
  <si>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</si>
  <si>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</si>
  <si>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</si>
  <si>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</si>
  <si>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</si>
  <si>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</si>
  <si>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</si>
  <si>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</si>
  <si>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</si>
  <si>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</si>
  <si>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</si>
  <si>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</si>
  <si>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</si>
  <si>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</si>
  <si>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</si>
  <si>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</si>
  <si>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</si>
  <si>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</si>
  <si>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</si>
  <si>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</si>
  <si>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</si>
  <si>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</si>
  <si>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</si>
  <si>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</si>
  <si>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</si>
  <si>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</si>
  <si>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</si>
  <si>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</si>
  <si>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</si>
  <si>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</si>
  <si>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</si>
  <si>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</si>
  <si>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</si>
  <si>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</si>
  <si>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</si>
  <si>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</si>
  <si>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</si>
  <si>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</si>
  <si>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</si>
  <si>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</si>
  <si>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</si>
  <si>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</si>
  <si>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</si>
  <si>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</si>
  <si>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</si>
  <si>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</si>
  <si>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</si>
  <si>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</si>
  <si>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</si>
  <si>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</si>
  <si>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</si>
  <si>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</si>
  <si>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</si>
  <si>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</si>
  <si>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</si>
  <si>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</si>
  <si>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</si>
  <si>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</si>
  <si>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</si>
  <si>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</si>
  <si>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</si>
  <si>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</si>
  <si>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</si>
  <si>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</si>
  <si>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</si>
  <si>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</si>
  <si>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</si>
  <si>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</si>
  <si>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</si>
  <si>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</si>
  <si>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</si>
  <si>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</si>
  <si>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</si>
  <si>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</si>
  <si>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</si>
  <si>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</si>
  <si>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</si>
  <si>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</si>
  <si>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</si>
  <si>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</si>
  <si>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</si>
  <si>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</si>
  <si>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</si>
  <si>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</si>
  <si>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44409B3Energia horáriaNão se aplicaNão se aplicaNão se aplicaNão se aplicaFora ponta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</si>
  <si>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</si>
  <si>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</si>
  <si>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</si>
  <si>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</si>
  <si>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</si>
  <si>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</si>
  <si>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</si>
  <si>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</si>
  <si>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</si>
  <si>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</si>
  <si>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</si>
  <si>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44409B3Energia horáriaNão se aplicaNão se aplicaNão se aplicaNão se aplicaIntermediário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</si>
  <si>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</si>
  <si>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</si>
  <si>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</si>
  <si>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</si>
  <si>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</si>
  <si>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</si>
  <si>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</si>
  <si>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</si>
  <si>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</si>
  <si>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</si>
  <si>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</si>
  <si>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44409B3Energia horáriaNão se aplicaNão se aplicaNão se aplicaNão se aplicaPonta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</si>
  <si>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</si>
  <si>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</si>
  <si>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</si>
  <si>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</si>
  <si>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</si>
  <si>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</si>
  <si>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</si>
  <si>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</si>
  <si>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</si>
  <si>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</si>
  <si>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</si>
  <si>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</si>
  <si>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</si>
  <si>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</si>
  <si>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</si>
  <si>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</si>
  <si>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</si>
  <si>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</si>
  <si>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</si>
  <si>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</si>
  <si>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</si>
  <si>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</si>
  <si>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</si>
  <si>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</si>
  <si>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</si>
  <si>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</si>
  <si>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</si>
  <si>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</si>
  <si>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</si>
  <si>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</si>
  <si>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</si>
  <si>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</si>
  <si>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</si>
  <si>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</si>
  <si>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</si>
  <si>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</si>
  <si>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</si>
  <si>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</si>
  <si>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</si>
  <si>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</si>
  <si>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</si>
  <si>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</si>
  <si>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</si>
  <si>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</si>
  <si>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</si>
  <si>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</si>
  <si>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</si>
  <si>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</si>
  <si>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</si>
  <si>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</si>
  <si>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</si>
  <si>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</si>
  <si>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</si>
  <si>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</si>
  <si>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</si>
  <si>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</si>
  <si>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</si>
  <si>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</si>
  <si>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</si>
  <si>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</si>
  <si>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</si>
  <si>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</si>
  <si>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</si>
  <si>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</si>
  <si>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</si>
  <si>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</si>
  <si>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</si>
  <si>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</si>
  <si>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</si>
  <si>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</si>
  <si>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</si>
  <si>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</si>
  <si>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</si>
  <si>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</si>
  <si>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</si>
  <si>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</si>
  <si>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</si>
  <si>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</si>
  <si>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</si>
  <si>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</si>
  <si>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</si>
  <si>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</si>
  <si>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</si>
  <si>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</si>
  <si>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</si>
  <si>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</si>
  <si>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</si>
  <si>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</si>
  <si>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</si>
  <si>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</si>
  <si>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</si>
  <si>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</si>
  <si>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</si>
  <si>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</si>
  <si>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</si>
  <si>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</si>
  <si>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</si>
  <si>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</si>
  <si>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</si>
  <si>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</si>
  <si>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</si>
  <si>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</si>
  <si>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</si>
  <si>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</si>
  <si>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</si>
  <si>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</si>
  <si>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</si>
  <si>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</si>
  <si>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</si>
  <si>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</si>
  <si>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</si>
  <si>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</si>
  <si>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</si>
  <si>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</si>
  <si>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</si>
  <si>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</si>
  <si>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</si>
  <si>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</si>
  <si>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</si>
  <si>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</si>
  <si>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</si>
  <si>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</si>
  <si>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</si>
  <si>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</si>
  <si>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</si>
  <si>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</si>
  <si>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</si>
  <si>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</si>
  <si>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</si>
  <si>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</si>
  <si>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</si>
  <si>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</si>
  <si>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</si>
  <si>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</si>
  <si>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</si>
  <si>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</si>
  <si>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2.923, DE 24 DE AGOSTO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</si>
  <si>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</si>
  <si>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</si>
  <si>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</si>
  <si>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</si>
  <si>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</si>
  <si>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</si>
  <si>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</si>
  <si>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</si>
  <si>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</si>
  <si>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</si>
  <si>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</si>
  <si>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</si>
  <si>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</si>
  <si>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</si>
  <si>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</si>
  <si>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</si>
  <si>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</si>
  <si>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</si>
  <si>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</si>
  <si>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</si>
  <si>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</si>
  <si>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</si>
  <si>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</si>
  <si>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</si>
  <si>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</si>
  <si>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</si>
  <si>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</si>
  <si>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</si>
  <si>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</si>
  <si>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</si>
  <si>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</si>
  <si>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</si>
  <si>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</si>
  <si>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</si>
  <si>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</si>
  <si>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</si>
  <si>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</si>
  <si>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</si>
  <si>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</si>
  <si>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</si>
  <si>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</si>
  <si>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</si>
  <si>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</si>
  <si>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</si>
  <si>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</si>
  <si>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</si>
  <si>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</si>
  <si>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</si>
  <si>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</si>
  <si>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</si>
  <si>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</si>
  <si>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</si>
  <si>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</si>
  <si>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</si>
  <si>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</si>
  <si>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</si>
  <si>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</si>
  <si>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</si>
  <si>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</si>
  <si>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</si>
  <si>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</si>
  <si>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</si>
  <si>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</si>
  <si>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</si>
  <si>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</si>
  <si>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</si>
  <si>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</si>
  <si>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</si>
  <si>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</si>
  <si>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</si>
  <si>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</si>
  <si>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</si>
  <si>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</si>
  <si>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</si>
  <si>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</si>
  <si>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</si>
  <si>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</si>
  <si>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</si>
  <si>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</si>
  <si>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</si>
  <si>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</si>
  <si>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</si>
  <si>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</si>
  <si>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</si>
  <si>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</si>
  <si>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</si>
  <si>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</si>
  <si>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</si>
  <si>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</si>
  <si>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</si>
  <si>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</si>
  <si>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</si>
  <si>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</si>
  <si>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</si>
  <si>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</si>
  <si>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</si>
  <si>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</si>
  <si>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</si>
  <si>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</si>
  <si>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</si>
  <si>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</si>
  <si>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BAIXA RENDA</t>
  </si>
  <si>
    <t>SUBSIDIO RURAL</t>
  </si>
  <si>
    <t>SUBSIDIO ÁGUA, ESGOTO E SANEAMENTO</t>
  </si>
  <si>
    <t>R$ (TV)</t>
  </si>
  <si>
    <t>R$ (TN)</t>
  </si>
  <si>
    <t>SUBSIDIO GERAÇÃO FONTE INCENTIVADA</t>
  </si>
  <si>
    <t>SUBSIDIO DISTRIBUIÇÃO</t>
  </si>
  <si>
    <t>SUBSIDIO IRRIGANTE/AQUICULTOR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</si>
  <si>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</si>
  <si>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</si>
  <si>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</si>
  <si>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</si>
  <si>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</si>
  <si>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</si>
  <si>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</si>
  <si>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1RuralNão se aplicaPlanilha CUSTOB2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</si>
  <si>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</si>
  <si>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</si>
  <si>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</si>
  <si>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</si>
  <si>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</si>
  <si>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</si>
  <si>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</si>
  <si>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Convencional1RuralNão se aplicaRuralB2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</si>
  <si>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</si>
  <si>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</si>
  <si>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</si>
  <si>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</si>
  <si>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</si>
  <si>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</si>
  <si>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</si>
  <si>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</si>
  <si>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</si>
  <si>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</si>
  <si>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</si>
  <si>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</si>
  <si>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</si>
  <si>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</si>
  <si>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</si>
  <si>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</si>
  <si>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</si>
  <si>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</si>
  <si>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</si>
  <si>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</si>
  <si>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</si>
  <si>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</si>
  <si>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</si>
  <si>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</si>
  <si>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</si>
  <si>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</si>
  <si>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</si>
  <si>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</si>
  <si>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</si>
  <si>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</si>
  <si>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</si>
  <si>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</si>
  <si>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</si>
  <si>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</si>
  <si>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</si>
  <si>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</si>
  <si>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</si>
  <si>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</si>
  <si>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</si>
  <si>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</si>
  <si>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</si>
  <si>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</si>
  <si>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</si>
  <si>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</si>
  <si>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</si>
  <si>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</si>
  <si>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</si>
  <si>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</si>
  <si>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</si>
  <si>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</si>
  <si>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</si>
  <si>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</si>
  <si>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</si>
  <si>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</si>
  <si>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</si>
  <si>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</si>
  <si>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</si>
  <si>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</si>
  <si>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</si>
  <si>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</si>
  <si>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</si>
  <si>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</si>
  <si>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</si>
  <si>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</si>
  <si>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</si>
  <si>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</si>
  <si>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</si>
  <si>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</si>
  <si>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</si>
  <si>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</si>
  <si>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</si>
  <si>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</si>
  <si>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</si>
  <si>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</si>
  <si>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</si>
  <si>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</si>
  <si>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IdAgente</t>
  </si>
  <si>
    <t>Ano</t>
  </si>
  <si>
    <t>MERCADO EFLJC</t>
  </si>
  <si>
    <t>TARIFAS EFLJC</t>
  </si>
  <si>
    <t>TARIFAS Adjacente (Celesc-DIS)</t>
  </si>
  <si>
    <t>RECEITA EFLJC</t>
  </si>
  <si>
    <t>RECEITA Adjacente (Celesc-DIS)</t>
  </si>
  <si>
    <t>Dp</t>
  </si>
  <si>
    <t>Dfp</t>
  </si>
  <si>
    <t>TE P</t>
  </si>
  <si>
    <t>TE FP</t>
  </si>
  <si>
    <t>TUSD_E P</t>
  </si>
  <si>
    <t>TUSD_E FP</t>
  </si>
  <si>
    <t>ORIGINAL</t>
  </si>
  <si>
    <t>ADJACENTE</t>
  </si>
  <si>
    <t>DECISÃO</t>
  </si>
  <si>
    <t>CONTROLE</t>
  </si>
  <si>
    <t>TARIFAS TUSD</t>
  </si>
  <si>
    <t>TARIFAS TE</t>
  </si>
  <si>
    <t>TARIFAS TOTAIS</t>
  </si>
  <si>
    <t>TARIFA B1 Resid.</t>
  </si>
  <si>
    <t>B1 Convenc.</t>
  </si>
  <si>
    <t>Aplica Lei?</t>
  </si>
  <si>
    <t>Var. Controle TUSD</t>
  </si>
  <si>
    <t>Tarifa Distribuidora</t>
  </si>
  <si>
    <t>Tarifa Adjacente</t>
  </si>
  <si>
    <t>Nova Componente</t>
  </si>
  <si>
    <t>CodTar</t>
  </si>
  <si>
    <t>2060201001010000000000000004022025</t>
  </si>
  <si>
    <t>2060201001010000000000000002022025</t>
  </si>
  <si>
    <t>2060201001010000000000000001032035</t>
  </si>
  <si>
    <t>2060201001020000000000000001032035</t>
  </si>
  <si>
    <t>2060601001010000000000000001022025</t>
  </si>
  <si>
    <t>2060301001010000000000000001022025</t>
  </si>
  <si>
    <t>2060301001010000000000000004032035</t>
  </si>
  <si>
    <t>2060301001010000000000000002032035</t>
  </si>
  <si>
    <t>2060301001020000000000000004032035</t>
  </si>
  <si>
    <t>2060301001020000000000000002032035</t>
  </si>
  <si>
    <t>2130601001120000000000000001022025</t>
  </si>
  <si>
    <t>2130601001130000000000000001022025</t>
  </si>
  <si>
    <t>2080702002010000000000000004032035</t>
  </si>
  <si>
    <t>2080702002010000000000000003032035</t>
  </si>
  <si>
    <t>2080702002010000000000000002032035</t>
  </si>
  <si>
    <t>2080402002010000000000000001032035</t>
  </si>
  <si>
    <t>2080402006010000000000000001032035</t>
  </si>
  <si>
    <t>2081302002010000000000000001032035</t>
  </si>
  <si>
    <t>2081302006010000000000000001032035</t>
  </si>
  <si>
    <t>2090705001010000000000000004032035</t>
  </si>
  <si>
    <t>2090705001010000000000000003032035</t>
  </si>
  <si>
    <t>2090705001010000000000000002032035</t>
  </si>
  <si>
    <t>2100701001010000000000000004032035</t>
  </si>
  <si>
    <t>2100701001010000000000000003032035</t>
  </si>
  <si>
    <t>2100701001010000000000000002032035</t>
  </si>
  <si>
    <t>2100401001010000000000000001032035</t>
  </si>
  <si>
    <t>2101301001010000000000000001032035</t>
  </si>
  <si>
    <t>2110407041010000000000000001032035</t>
  </si>
  <si>
    <t>2110407042010000000000000001032035</t>
  </si>
  <si>
    <t>Var. Controle TE</t>
  </si>
  <si>
    <t>3060801001010000000000000004032035</t>
  </si>
  <si>
    <t>3060801001010000000000000002032035</t>
  </si>
  <si>
    <t>3060901001010000000000000001032035</t>
  </si>
  <si>
    <t>3080802002010000000000000004032035</t>
  </si>
  <si>
    <t>3080802002010000000000000003032035</t>
  </si>
  <si>
    <t>3080802002010000000000000002032035</t>
  </si>
  <si>
    <t>3080902002010000000000000001032035</t>
  </si>
  <si>
    <t>3080902006010000000000000001032035</t>
  </si>
  <si>
    <t>3081402002010000000000000001032035</t>
  </si>
  <si>
    <t>3081402006010000000000000001032035</t>
  </si>
  <si>
    <t>3090805001010000000000000004032035</t>
  </si>
  <si>
    <t>3090805001010000000000000003032035</t>
  </si>
  <si>
    <t>3090805001010000000000000002032035</t>
  </si>
  <si>
    <t>3100801001010000000000000004032035</t>
  </si>
  <si>
    <t>3100801001010000000000000003032035</t>
  </si>
  <si>
    <t>3100801001010000000000000002032035</t>
  </si>
  <si>
    <t>3100901001010000000000000001032035</t>
  </si>
  <si>
    <t>3101401001010000000000000001032035</t>
  </si>
  <si>
    <t>3110907041010000000000000001032035</t>
  </si>
  <si>
    <t>3110907042010000000000000001032035</t>
  </si>
  <si>
    <t>SUBSIDIO LEI 14.299/22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</si>
  <si>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</si>
  <si>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</si>
  <si>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</si>
  <si>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</si>
  <si>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</si>
  <si>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</si>
  <si>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</si>
  <si>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</si>
  <si>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</si>
  <si>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</si>
  <si>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</si>
  <si>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</si>
  <si>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</si>
  <si>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</si>
  <si>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</si>
  <si>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</si>
  <si>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</si>
  <si>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</si>
  <si>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</si>
  <si>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</si>
  <si>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</si>
  <si>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</si>
  <si>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</si>
  <si>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</si>
  <si>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</si>
  <si>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</si>
  <si>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</si>
  <si>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</si>
  <si>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</si>
  <si>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</si>
  <si>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</si>
  <si>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</si>
  <si>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</si>
  <si>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</si>
  <si>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</si>
  <si>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</si>
  <si>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</si>
  <si>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</si>
  <si>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</si>
  <si>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</si>
  <si>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</si>
  <si>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</si>
  <si>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</si>
  <si>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</si>
  <si>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</si>
  <si>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</si>
  <si>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</si>
  <si>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</si>
  <si>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</si>
  <si>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</si>
  <si>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</si>
  <si>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</si>
  <si>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</si>
  <si>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</si>
  <si>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</si>
  <si>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</si>
  <si>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</si>
  <si>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</si>
  <si>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</si>
  <si>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</si>
  <si>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</si>
  <si>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</si>
  <si>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</si>
  <si>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</si>
  <si>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</si>
  <si>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</si>
  <si>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</si>
  <si>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</si>
  <si>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</si>
  <si>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</si>
  <si>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</si>
  <si>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</si>
  <si>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</si>
  <si>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</si>
  <si>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</si>
  <si>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</si>
  <si>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</si>
  <si>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</si>
  <si>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</si>
  <si>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</si>
  <si>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</si>
  <si>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</si>
  <si>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</si>
  <si>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</si>
  <si>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</si>
  <si>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</si>
  <si>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</si>
  <si>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</si>
  <si>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</si>
  <si>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</si>
  <si>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</si>
  <si>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</si>
  <si>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</si>
  <si>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</si>
  <si>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</si>
  <si>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</si>
  <si>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</si>
  <si>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</si>
  <si>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</si>
  <si>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</si>
  <si>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</si>
  <si>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</si>
  <si>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</si>
  <si>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</si>
  <si>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</si>
  <si>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</si>
  <si>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</si>
  <si>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</si>
  <si>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</si>
  <si>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</si>
  <si>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</si>
  <si>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</si>
  <si>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</si>
  <si>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</si>
  <si>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</si>
  <si>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</si>
  <si>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</si>
  <si>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</si>
  <si>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</si>
  <si>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</si>
  <si>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</si>
  <si>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</si>
  <si>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</si>
  <si>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</si>
  <si>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</si>
  <si>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</si>
  <si>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</si>
  <si>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</si>
  <si>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</si>
  <si>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</si>
  <si>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</si>
  <si>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</si>
  <si>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</si>
  <si>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</si>
  <si>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</si>
  <si>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</si>
  <si>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</si>
  <si>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</si>
  <si>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</si>
  <si>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</si>
  <si>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</si>
  <si>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</si>
  <si>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</si>
  <si>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</si>
  <si>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</si>
  <si>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</si>
  <si>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</si>
  <si>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</si>
  <si>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</si>
  <si>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</si>
  <si>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</si>
  <si>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</si>
  <si>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</si>
  <si>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</si>
  <si>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</si>
  <si>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</si>
  <si>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</si>
  <si>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</si>
  <si>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</si>
  <si>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</si>
  <si>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</si>
  <si>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</si>
  <si>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</si>
  <si>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</si>
  <si>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</si>
  <si>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</si>
  <si>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</si>
  <si>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</si>
  <si>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</si>
  <si>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</si>
  <si>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</si>
  <si>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</si>
  <si>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</si>
  <si>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</si>
  <si>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</si>
  <si>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</si>
  <si>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</si>
  <si>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</si>
  <si>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</si>
  <si>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A4Energia convencional</t>
  </si>
  <si>
    <t>A4Energia convencionalNão se aplica</t>
  </si>
  <si>
    <t>A4Energia convencionalNão se aplicaNão se aplica</t>
  </si>
  <si>
    <t>A4Energia convencionalNão se aplicaNão se aplicaNão se aplica</t>
  </si>
  <si>
    <t>A4Energia convencionalNão se aplicaNão se aplicaNão se aplicaNão se aplica</t>
  </si>
  <si>
    <t>A4Energia convencionalNão se aplicaNão se aplicaNão se aplicaNão se aplicaE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</si>
  <si>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</si>
  <si>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</si>
  <si>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</si>
  <si>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</si>
  <si>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</si>
  <si>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</si>
  <si>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</si>
  <si>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</si>
  <si>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</si>
  <si>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</si>
  <si>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</si>
  <si>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</si>
  <si>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</si>
  <si>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</si>
  <si>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</si>
  <si>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</si>
  <si>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</si>
  <si>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</si>
  <si>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</si>
  <si>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</si>
  <si>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</si>
  <si>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</si>
  <si>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</si>
  <si>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</si>
  <si>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</si>
  <si>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</si>
  <si>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</si>
  <si>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</si>
  <si>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</si>
  <si>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</si>
  <si>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</si>
  <si>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</si>
  <si>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</si>
  <si>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</si>
  <si>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</si>
  <si>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</si>
  <si>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</si>
  <si>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</si>
  <si>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</si>
  <si>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</si>
  <si>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</si>
  <si>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</si>
  <si>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</si>
  <si>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</si>
  <si>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</si>
  <si>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</si>
  <si>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</si>
  <si>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</si>
  <si>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</si>
  <si>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</si>
  <si>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</si>
  <si>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</si>
  <si>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</si>
  <si>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</si>
  <si>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</si>
  <si>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</si>
  <si>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</si>
  <si>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</si>
  <si>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</si>
  <si>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</si>
  <si>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</si>
  <si>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</si>
  <si>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</si>
  <si>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</si>
  <si>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</si>
  <si>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</si>
  <si>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</si>
  <si>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</si>
  <si>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</si>
  <si>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</si>
  <si>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</si>
  <si>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</si>
  <si>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</si>
  <si>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</si>
  <si>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</si>
  <si>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</si>
  <si>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</si>
  <si>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</si>
  <si>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</si>
  <si>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</si>
  <si>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</si>
  <si>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</si>
  <si>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</si>
  <si>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</si>
  <si>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</si>
  <si>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</si>
  <si>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</si>
  <si>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</si>
  <si>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</si>
  <si>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</si>
  <si>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</si>
  <si>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</si>
  <si>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</si>
  <si>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</si>
  <si>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</si>
  <si>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</si>
  <si>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</si>
  <si>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</si>
  <si>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</si>
  <si>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</si>
  <si>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</si>
  <si>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</si>
  <si>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</si>
  <si>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</si>
  <si>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</si>
  <si>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</si>
  <si>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</si>
  <si>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</si>
  <si>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</si>
  <si>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</si>
  <si>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</si>
  <si>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</si>
  <si>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</si>
  <si>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</si>
  <si>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</si>
  <si>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</si>
  <si>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</si>
  <si>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</si>
  <si>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</si>
  <si>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</si>
  <si>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</si>
  <si>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</si>
  <si>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</si>
  <si>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</si>
  <si>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</si>
  <si>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</si>
  <si>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</si>
  <si>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</si>
  <si>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</si>
  <si>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</si>
  <si>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</si>
  <si>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</si>
  <si>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</si>
  <si>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</si>
  <si>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</si>
  <si>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</si>
  <si>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</si>
  <si>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</si>
  <si>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</si>
  <si>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</si>
  <si>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</si>
  <si>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Receita total</t>
  </si>
  <si>
    <t>Recuperado Tarifa</t>
  </si>
  <si>
    <t>Subsidio</t>
  </si>
  <si>
    <t>Subvenção</t>
  </si>
  <si>
    <t>check</t>
  </si>
  <si>
    <t>Tarifa Original</t>
  </si>
  <si>
    <t>Mudou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</si>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</sst>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0%_);[Red]\(#,##0.00%\)"/>
    <numFmt numFmtId="166" formatCode="#0.00%;[Red]#0.00%"/>
    <numFmt numFmtId="167" formatCode="0.00%_);[Red]\(0.00%\)"/>
    <numFmt numFmtId="168" formatCode="#,##0.00_ ;[Red]\-#,##0.00\ "/>
    <numFmt numFmtId="169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0" fontId="6" fillId="0" borderId="0" xfId="0" applyFont="1"/>
    <xf numFmtId="40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18" xfId="1" applyFont="1" applyBorder="1"/>
    <xf numFmtId="164" fontId="0" fillId="0" borderId="22" xfId="1" applyFont="1" applyBorder="1"/>
    <xf numFmtId="164" fontId="0" fillId="0" borderId="13" xfId="1" applyFont="1" applyBorder="1"/>
    <xf numFmtId="164" fontId="0" fillId="0" borderId="23" xfId="1" applyFont="1" applyBorder="1"/>
    <xf numFmtId="164" fontId="0" fillId="0" borderId="20" xfId="1" applyFont="1" applyBorder="1"/>
    <xf numFmtId="164" fontId="0" fillId="0" borderId="24" xfId="1" applyFont="1" applyBorder="1"/>
    <xf numFmtId="0" fontId="0" fillId="0" borderId="25" xfId="0" applyBorder="1"/>
    <xf numFmtId="164" fontId="0" fillId="0" borderId="10" xfId="1" applyFont="1" applyBorder="1"/>
    <xf numFmtId="164" fontId="0" fillId="0" borderId="26" xfId="1" applyFont="1" applyBorder="1"/>
    <xf numFmtId="0" fontId="0" fillId="0" borderId="27" xfId="0" applyBorder="1"/>
    <xf numFmtId="0" fontId="0" fillId="0" borderId="21" xfId="0" applyBorder="1"/>
    <xf numFmtId="0" fontId="0" fillId="0" borderId="28" xfId="0" applyBorder="1"/>
    <xf numFmtId="0" fontId="0" fillId="0" borderId="29" xfId="0" applyBorder="1"/>
    <xf numFmtId="164" fontId="0" fillId="0" borderId="28" xfId="1" applyFont="1" applyBorder="1"/>
    <xf numFmtId="164" fontId="0" fillId="0" borderId="25" xfId="1" applyFont="1" applyBorder="1"/>
    <xf numFmtId="0" fontId="0" fillId="0" borderId="30" xfId="0" applyBorder="1"/>
    <xf numFmtId="0" fontId="3" fillId="0" borderId="0" xfId="0" quotePrefix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14" fontId="0" fillId="0" borderId="0" xfId="0" applyNumberFormat="1" applyAlignment="1">
      <alignment horizontal="left" indent="8"/>
    </xf>
    <xf numFmtId="167" fontId="0" fillId="0" borderId="0" xfId="0" applyNumberFormat="1"/>
    <xf numFmtId="165" fontId="3" fillId="0" borderId="0" xfId="0" applyNumberFormat="1" applyFont="1"/>
    <xf numFmtId="168" fontId="3" fillId="0" borderId="0" xfId="0" applyNumberFormat="1" applyFont="1"/>
    <xf numFmtId="40" fontId="3" fillId="2" borderId="13" xfId="0" applyNumberFormat="1" applyFont="1" applyFill="1" applyBorder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166" fontId="1" fillId="2" borderId="1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32" xfId="0" applyNumberFormat="1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33" xfId="0" applyFont="1" applyFill="1" applyBorder="1" applyAlignment="1">
      <alignment horizontal="center" vertical="center"/>
    </xf>
    <xf numFmtId="40" fontId="8" fillId="3" borderId="32" xfId="0" applyNumberFormat="1" applyFont="1" applyFill="1" applyBorder="1" applyAlignment="1">
      <alignment horizontal="center" vertical="center"/>
    </xf>
    <xf numFmtId="169" fontId="8" fillId="4" borderId="0" xfId="0" applyNumberFormat="1" applyFont="1" applyFill="1" applyAlignment="1">
      <alignment horizontal="center" vertical="center"/>
    </xf>
    <xf numFmtId="4" fontId="11" fillId="6" borderId="35" xfId="0" applyNumberFormat="1" applyFont="1" applyFill="1" applyBorder="1"/>
    <xf numFmtId="4" fontId="11" fillId="6" borderId="12" xfId="0" applyNumberFormat="1" applyFont="1" applyFill="1" applyBorder="1"/>
    <xf numFmtId="4" fontId="11" fillId="6" borderId="36" xfId="0" applyNumberFormat="1" applyFont="1" applyFill="1" applyBorder="1"/>
    <xf numFmtId="4" fontId="11" fillId="6" borderId="6" xfId="0" applyNumberFormat="1" applyFont="1" applyFill="1" applyBorder="1"/>
    <xf numFmtId="4" fontId="11" fillId="6" borderId="13" xfId="0" applyNumberFormat="1" applyFont="1" applyFill="1" applyBorder="1"/>
    <xf numFmtId="4" fontId="11" fillId="6" borderId="5" xfId="0" applyNumberFormat="1" applyFont="1" applyFill="1" applyBorder="1"/>
    <xf numFmtId="4" fontId="11" fillId="6" borderId="37" xfId="0" applyNumberFormat="1" applyFont="1" applyFill="1" applyBorder="1"/>
    <xf numFmtId="4" fontId="11" fillId="6" borderId="10" xfId="0" applyNumberFormat="1" applyFont="1" applyFill="1" applyBorder="1"/>
    <xf numFmtId="4" fontId="11" fillId="6" borderId="34" xfId="0" applyNumberFormat="1" applyFont="1" applyFill="1" applyBorder="1"/>
    <xf numFmtId="4" fontId="11" fillId="6" borderId="12" xfId="0" applyNumberFormat="1" applyFont="1" applyFill="1" applyBorder="1" applyAlignment="1">
      <alignment horizontal="center"/>
    </xf>
    <xf numFmtId="4" fontId="11" fillId="6" borderId="36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3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" fontId="11" fillId="6" borderId="13" xfId="0" applyNumberFormat="1" applyFont="1" applyFill="1" applyBorder="1" applyAlignment="1">
      <alignment horizontal="center"/>
    </xf>
    <xf numFmtId="4" fontId="11" fillId="6" borderId="12" xfId="0" applyNumberFormat="1" applyFont="1" applyFill="1" applyBorder="1" applyAlignment="1">
      <alignment horizontal="center"/>
    </xf>
    <xf numFmtId="4" fontId="11" fillId="6" borderId="36" xfId="0" applyNumberFormat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978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70" formatCode="#,##0.00_);[Red]\(#,##0.00\)"/>
    </dxf>
    <dxf>
      <numFmt numFmtId="170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7" formatCode="0.00%_);[Red]\(0.00%\)"/>
    </dxf>
    <dxf>
      <numFmt numFmtId="167" formatCode="0.00%_);[Red]\(0.00%\)"/>
    </dxf>
    <dxf>
      <numFmt numFmtId="170" formatCode="#,##0.00_);[Red]\(#,##0.00\)"/>
    </dxf>
    <dxf>
      <numFmt numFmtId="170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1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3.977324155696859E-4</c:v>
                </c:pt>
                <c:pt idx="2">
                  <c:v>5.4494480475733369E-4</c:v>
                </c:pt>
                <c:pt idx="3">
                  <c:v>0</c:v>
                </c:pt>
                <c:pt idx="4">
                  <c:v>0</c:v>
                </c:pt>
                <c:pt idx="5">
                  <c:v>0.11187284893766616</c:v>
                </c:pt>
                <c:pt idx="6">
                  <c:v>1.8828251850645197E-2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-1.7256027788516079E-2</c:v>
                </c:pt>
                <c:pt idx="13">
                  <c:v>0</c:v>
                </c:pt>
                <c:pt idx="14">
                  <c:v>0</c:v>
                </c:pt>
                <c:pt idx="15">
                  <c:v>6.102050859489757E-2</c:v>
                </c:pt>
                <c:pt idx="16">
                  <c:v>0</c:v>
                </c:pt>
                <c:pt idx="17">
                  <c:v>0</c:v>
                </c:pt>
                <c:pt idx="18">
                  <c:v>-3.3573186323339775E-3</c:v>
                </c:pt>
                <c:pt idx="19">
                  <c:v>0</c:v>
                </c:pt>
                <c:pt idx="20">
                  <c:v>-4.2505175775478933E-4</c:v>
                </c:pt>
                <c:pt idx="21">
                  <c:v>-7.4594924590564698E-5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6-4CCC-A4F4-50D92DCFE597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5.6380808471323117E-4</c:v>
                </c:pt>
                <c:pt idx="2">
                  <c:v>9.5914243113388918E-4</c:v>
                </c:pt>
                <c:pt idx="3">
                  <c:v>0</c:v>
                </c:pt>
                <c:pt idx="4">
                  <c:v>0</c:v>
                </c:pt>
                <c:pt idx="5">
                  <c:v>0.10505610272786667</c:v>
                </c:pt>
                <c:pt idx="6">
                  <c:v>1.6134040738043174E-2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1.0016944076037308E-2</c:v>
                </c:pt>
                <c:pt idx="13">
                  <c:v>0</c:v>
                </c:pt>
                <c:pt idx="14">
                  <c:v>0</c:v>
                </c:pt>
                <c:pt idx="15">
                  <c:v>9.1851762425998795E-2</c:v>
                </c:pt>
                <c:pt idx="16">
                  <c:v>0</c:v>
                </c:pt>
                <c:pt idx="17">
                  <c:v>0</c:v>
                </c:pt>
                <c:pt idx="18">
                  <c:v>-4.4759804472310578E-3</c:v>
                </c:pt>
                <c:pt idx="19">
                  <c:v>0</c:v>
                </c:pt>
                <c:pt idx="20">
                  <c:v>-3.4767760052018416E-4</c:v>
                </c:pt>
                <c:pt idx="21">
                  <c:v>-4.9587706018357558E-5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6-4CCC-A4F4-50D92DCFE597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5.6380808471323117E-4</c:v>
                </c:pt>
                <c:pt idx="2">
                  <c:v>9.5914243113388918E-4</c:v>
                </c:pt>
                <c:pt idx="3">
                  <c:v>0</c:v>
                </c:pt>
                <c:pt idx="4">
                  <c:v>0</c:v>
                </c:pt>
                <c:pt idx="5">
                  <c:v>0.10505610272786667</c:v>
                </c:pt>
                <c:pt idx="6">
                  <c:v>1.6134040738043174E-2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1.0016944076037308E-2</c:v>
                </c:pt>
                <c:pt idx="13">
                  <c:v>0</c:v>
                </c:pt>
                <c:pt idx="14">
                  <c:v>0</c:v>
                </c:pt>
                <c:pt idx="15">
                  <c:v>9.1851762425998795E-2</c:v>
                </c:pt>
                <c:pt idx="16">
                  <c:v>0</c:v>
                </c:pt>
                <c:pt idx="17">
                  <c:v>0</c:v>
                </c:pt>
                <c:pt idx="18">
                  <c:v>-4.4759804472310578E-3</c:v>
                </c:pt>
                <c:pt idx="19">
                  <c:v>0</c:v>
                </c:pt>
                <c:pt idx="20">
                  <c:v>-3.4767760052018416E-4</c:v>
                </c:pt>
                <c:pt idx="21">
                  <c:v>-4.9587706018357558E-5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6-4CCC-A4F4-50D92DCFE597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C986-4CCC-A4F4-50D92DCFE597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C986-4CCC-A4F4-50D92DCFE597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C986-4CCC-A4F4-50D92DCFE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09792"/>
        <c:axId val="438113072"/>
      </c:radarChart>
      <c:catAx>
        <c:axId val="438109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38113072"/>
        <c:crosses val="autoZero"/>
        <c:auto val="1"/>
        <c:lblAlgn val="ctr"/>
        <c:lblOffset val="100"/>
        <c:noMultiLvlLbl val="0"/>
      </c:catAx>
      <c:valAx>
        <c:axId val="438113072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43810979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#,##0.00%_);[Red]\(#,##0.00%\)</c:formatCode>
                <c:ptCount val="11"/>
                <c:pt idx="0">
                  <c:v>-9.2350670386290702E-4</c:v>
                </c:pt>
                <c:pt idx="1">
                  <c:v>0</c:v>
                </c:pt>
                <c:pt idx="2">
                  <c:v>0</c:v>
                </c:pt>
                <c:pt idx="3">
                  <c:v>-3.1107651138024045E-5</c:v>
                </c:pt>
                <c:pt idx="4">
                  <c:v>0</c:v>
                </c:pt>
                <c:pt idx="5">
                  <c:v>-9.3571052342237421E-2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3-4480-995A-501664129F18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#,##0.00%_);[Red]\(#,##0.00%\)</c:formatCode>
                <c:ptCount val="11"/>
                <c:pt idx="0">
                  <c:v>-9.483911673728501E-4</c:v>
                </c:pt>
                <c:pt idx="1">
                  <c:v>0</c:v>
                </c:pt>
                <c:pt idx="2">
                  <c:v>0</c:v>
                </c:pt>
                <c:pt idx="3">
                  <c:v>-3.1929364841681659E-5</c:v>
                </c:pt>
                <c:pt idx="4">
                  <c:v>0</c:v>
                </c:pt>
                <c:pt idx="5">
                  <c:v>-9.3590329198944375E-2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3-4480-995A-501664129F18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#,##0.00%_);[Red]\(#,##0.00%\)</c:formatCode>
                <c:ptCount val="11"/>
                <c:pt idx="0">
                  <c:v>-9.483911673728501E-4</c:v>
                </c:pt>
                <c:pt idx="1">
                  <c:v>0</c:v>
                </c:pt>
                <c:pt idx="2">
                  <c:v>0</c:v>
                </c:pt>
                <c:pt idx="3">
                  <c:v>-3.1929364841681659E-5</c:v>
                </c:pt>
                <c:pt idx="4">
                  <c:v>0</c:v>
                </c:pt>
                <c:pt idx="5">
                  <c:v>-9.3590329198944375E-2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E3-4480-995A-501664129F18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E7E3-4480-995A-501664129F18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E7E3-4480-995A-501664129F18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E7E3-4480-995A-501664129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738064"/>
        <c:axId val="1136740032"/>
      </c:radarChart>
      <c:catAx>
        <c:axId val="11367380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36740032"/>
        <c:crosses val="autoZero"/>
        <c:auto val="1"/>
        <c:lblAlgn val="ctr"/>
        <c:lblOffset val="100"/>
        <c:noMultiLvlLbl val="0"/>
      </c:catAx>
      <c:valAx>
        <c:axId val="1136740032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113673806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314326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441BA6-18E9-86F6-BDFC-CF579F12D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152401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8A8B7A-7D66-B2F6-4957-99DBB2F83E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90.449490856481" createdVersion="5" refreshedVersion="8" minRefreshableVersion="3" recordCount="378" xr:uid="{283C440A-0163-4ECB-AD7B-DA2221442F68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8">
        <s v="Comercial"/>
        <s v="Industrial"/>
        <s v="Residencial"/>
        <s v="Rural"/>
        <s v="Poder público"/>
        <s v="Consumo próprio"/>
        <s v="Serviço público"/>
        <s v="Iluminação pública"/>
      </sharedItems>
    </cacheField>
    <cacheField name="Subclasse" numFmtId="0">
      <sharedItems count="8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  <s v="Iluminação pública – B4a"/>
      </sharedItems>
    </cacheField>
    <cacheField name="Detalhe" numFmtId="0">
      <sharedItems count="2">
        <s v="Não se aplica"/>
        <s v="Fonte incentivada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8-01T00:00:00" maxDate="2022-07-02T00:00:00" count="12"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</sharedItems>
    </cacheField>
    <cacheField name="D" numFmtId="40">
      <sharedItems containsSemiMixedTypes="0" containsString="0" containsNumber="1" containsInteger="1" minValue="0" maxValue="1621"/>
    </cacheField>
    <cacheField name="Daj" numFmtId="40">
      <sharedItems containsSemiMixedTypes="0" containsString="0" containsNumber="1" minValue="0" maxValue="1079"/>
    </cacheField>
    <cacheField name="TUSD_E" numFmtId="40">
      <sharedItems containsSemiMixedTypes="0" containsString="0" containsNumber="1" minValue="0" maxValue="683.03399999999999"/>
    </cacheField>
    <cacheField name="TUSD_Eaj" numFmtId="40">
      <sharedItems containsSemiMixedTypes="0" containsString="0" containsNumber="1" minValue="0" maxValue="683.03399999999999"/>
    </cacheField>
    <cacheField name="TE_E" numFmtId="40">
      <sharedItems containsSemiMixedTypes="0" containsString="0" containsNumber="1" minValue="0" maxValue="683.03399999999999"/>
    </cacheField>
    <cacheField name="TE_Eaj" numFmtId="40">
      <sharedItems containsSemiMixedTypes="0" containsString="0" containsNumber="1" minValue="0" maxValue="683.03399999999999"/>
    </cacheField>
    <cacheField name="UC" numFmtId="40">
      <sharedItems containsSemiMixedTypes="0" containsString="0" containsNumber="1" containsInteger="1" minValue="0" maxValue="3004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6"/>
    </cacheField>
    <cacheField name="CóD. AUX. TUSD R$/MWh" numFmtId="40">
      <sharedItems containsSemiMixedTypes="0" containsString="0" containsNumber="1" containsInteger="1" minValue="0" maxValue="48"/>
    </cacheField>
    <cacheField name="CóD. AUX. TE R$/MWh" numFmtId="40">
      <sharedItems containsSemiMixedTypes="0" containsString="0" containsNumber="1" containsInteger="1" minValue="0" maxValue="86"/>
    </cacheField>
    <cacheField name="TUSD (R$/kW)" numFmtId="40">
      <sharedItems containsSemiMixedTypes="0" containsString="0" containsNumber="1" minValue="0" maxValue="20.43"/>
    </cacheField>
    <cacheField name="TUSD (R$/MWh)" numFmtId="40">
      <sharedItems containsSemiMixedTypes="0" containsString="0" containsNumber="1" minValue="0" maxValue="1419.25"/>
    </cacheField>
    <cacheField name="TE (R$/MWh)" numFmtId="40">
      <sharedItems containsSemiMixedTypes="0" containsString="0" containsNumber="1" minValue="0" maxValue="518.44000000000005"/>
    </cacheField>
    <cacheField name="TUSD (R$/kW) NOVA" numFmtId="40">
      <sharedItems containsString="0" containsBlank="1" containsNumber="1" minValue="17.702312702839738" maxValue="17.702312702839738"/>
    </cacheField>
    <cacheField name="TUSD (R$/MWh) NOVA" numFmtId="40">
      <sharedItems containsString="0" containsBlank="1" containsNumber="1" minValue="108.9218947768087" maxValue="1425.8542132062535"/>
    </cacheField>
    <cacheField name="TE (R$/MWh) NOVA" numFmtId="40">
      <sharedItems containsString="0" containsBlank="1" containsNumber="1" minValue="101.68892710466429" maxValue="469.6750309272033"/>
    </cacheField>
    <cacheField name="RA0 ou RV - TUSD (kW)" numFmtId="40">
      <sharedItems containsSemiMixedTypes="0" containsString="0" containsNumber="1" minValue="0" maxValue="22043.97"/>
    </cacheField>
    <cacheField name="RA0 ou RV - TUSD (MWh)" numFmtId="40">
      <sharedItems containsSemiMixedTypes="0" containsString="0" containsNumber="1" minValue="0" maxValue="276177.96755999996"/>
    </cacheField>
    <cacheField name="RA0 ou RV - TE (MWh)" numFmtId="40">
      <sharedItems containsSemiMixedTypes="0" containsString="0" containsNumber="1" minValue="0" maxValue="218980.7004"/>
    </cacheField>
    <cacheField name="RA1 ou RRD - TUSD (kW)" numFmtId="40">
      <sharedItems containsSemiMixedTypes="0" containsString="0" containsNumber="1" minValue="0" maxValue="19100.795406364075"/>
    </cacheField>
    <cacheField name="RA1 ou RRD - TUSD (MWh)" numFmtId="40">
      <sharedItems containsSemiMixedTypes="0" containsString="0" containsNumber="1" minValue="0" maxValue="335450.5138516007"/>
    </cacheField>
    <cacheField name="RA1 ou RRD - TE (MWh)" numFmtId="40">
      <sharedItems containsSemiMixedTypes="0" containsString="0" containsNumber="1" minValue="0" maxValue="198448.55610287792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90.449561689813" createdVersion="5" refreshedVersion="8" minRefreshableVersion="3" recordCount="109" xr:uid="{F10637B5-504D-4AD8-B65E-D629A287BDD8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4">
        <s v="Industrial"/>
        <s v="Residencial"/>
        <s v="Rural"/>
        <s v="Serviço público"/>
      </sharedItems>
    </cacheField>
    <cacheField name="Subclasse" numFmtId="0">
      <sharedItems count="7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</sharedItems>
    </cacheField>
    <cacheField name="Detalhe" numFmtId="0">
      <sharedItems count="2">
        <s v="Fonte incentivada"/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8-01T00:00:00" maxDate="2022-07-02T00:00:00" count="12"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</sharedItems>
    </cacheField>
    <cacheField name="D" numFmtId="40">
      <sharedItems containsSemiMixedTypes="0" containsString="0" containsNumber="1" containsInteger="1" minValue="0" maxValue="1621"/>
    </cacheField>
    <cacheField name="Daj" numFmtId="40">
      <sharedItems containsSemiMixedTypes="0" containsString="0" containsNumber="1" minValue="0" maxValue="822.37163124000006"/>
    </cacheField>
    <cacheField name="TUSD_E" numFmtId="40">
      <sharedItems containsSemiMixedTypes="0" containsString="0" containsNumber="1" minValue="0" maxValue="573.44500000000005"/>
    </cacheField>
    <cacheField name="TUSD_Eaj" numFmtId="40">
      <sharedItems containsSemiMixedTypes="0" containsString="0" containsNumber="1" minValue="0" maxValue="573.44500000000005"/>
    </cacheField>
    <cacheField name="TE_E" numFmtId="40">
      <sharedItems containsSemiMixedTypes="0" containsString="0" containsNumber="1" minValue="0" maxValue="542.63900000000001"/>
    </cacheField>
    <cacheField name="TE_Eaj" numFmtId="40">
      <sharedItems containsSemiMixedTypes="0" containsString="0" containsNumber="1" minValue="0" maxValue="542.63900000000001"/>
    </cacheField>
    <cacheField name="UC" numFmtId="40">
      <sharedItems containsSemiMixedTypes="0" containsString="0" containsNumber="1" containsInteger="1" minValue="0" maxValue="2963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6"/>
    </cacheField>
    <cacheField name="CóD. AUX. TUSD R$/MWh" numFmtId="0">
      <sharedItems containsSemiMixedTypes="0" containsString="0" containsNumber="1" containsInteger="1" minValue="0" maxValue="46"/>
    </cacheField>
    <cacheField name="CóD. AUX. TE R$/MWh" numFmtId="0">
      <sharedItems containsSemiMixedTypes="0" containsString="0" containsNumber="1" containsInteger="1" minValue="0" maxValue="84"/>
    </cacheField>
    <cacheField name="TUSD (R$/kW)" numFmtId="40">
      <sharedItems containsSemiMixedTypes="0" containsString="0" containsNumber="1" minValue="0" maxValue="20.43"/>
    </cacheField>
    <cacheField name="TUSD (R$/MWh)" numFmtId="40">
      <sharedItems containsSemiMixedTypes="0" containsString="0" containsNumber="1" minValue="0" maxValue="1419.25"/>
    </cacheField>
    <cacheField name="TE (R$/MWh)" numFmtId="40">
      <sharedItems containsSemiMixedTypes="0" containsString="0" containsNumber="1" minValue="0" maxValue="320.60000000000002"/>
    </cacheField>
    <cacheField name="TUSD (R$/kW) NOVA" numFmtId="40">
      <sharedItems containsString="0" containsBlank="1" containsNumber="1" minValue="17.702312702839738" maxValue="17.702312702839738"/>
    </cacheField>
    <cacheField name="TUSD (R$/MWh) NOVA" numFmtId="40">
      <sharedItems containsString="0" containsBlank="1" containsNumber="1" minValue="108.9218947768087" maxValue="1282.8986662326251"/>
    </cacheField>
    <cacheField name="TE (R$/MWh) NOVA" numFmtId="40">
      <sharedItems containsString="0" containsBlank="1" containsNumber="1" minValue="101.68892710466429" maxValue="290.53979172761228"/>
    </cacheField>
    <cacheField name="SUBSIDIO kW - TV" numFmtId="40">
      <sharedItems containsSemiMixedTypes="0" containsString="0" containsNumber="1" minValue="0" maxValue="16440.2881964109"/>
    </cacheField>
    <cacheField name="SUBSIDIO MWh - TV" numFmtId="40">
      <sharedItems containsSemiMixedTypes="0" containsString="0" containsNumber="1" minValue="0" maxValue="38449.61371216413"/>
    </cacheField>
    <cacheField name="SUBSIDIO kW - TN" numFmtId="40">
      <sharedItems containsSemiMixedTypes="0" containsString="0" containsNumber="1" minValue="0" maxValue="14245.282553973122"/>
    </cacheField>
    <cacheField name="SUBSIDIO MWh - TN" numFmtId="40">
      <sharedItems containsSemiMixedTypes="0" containsString="0" containsNumber="1" minValue="0" maxValue="34755.651328867367"/>
    </cacheField>
    <cacheField name="TIPO" numFmtId="0">
      <sharedItems containsBlank="1" count="5">
        <s v="SUBSIDIO CARGA FONTE INCENTIVADA"/>
        <m/>
        <s v="SUBSIDIO BAIXA RENDA"/>
        <s v="SUBSIDIO RURAL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90.450198726852" createdVersion="8" refreshedVersion="8" minRefreshableVersion="3" recordCount="378" xr:uid="{AF5BD7E9-A233-4A11-ABC4-E578ACF7D43C}">
  <cacheSource type="worksheet">
    <worksheetSource name="Efeito4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8">
        <s v="Comercial"/>
        <s v="Industrial"/>
        <s v="Residencial"/>
        <s v="Rural"/>
        <s v="Poder público"/>
        <s v="Consumo próprio"/>
        <s v="Serviço público"/>
        <s v="Iluminação pública"/>
      </sharedItems>
    </cacheField>
    <cacheField name="Subclasse" numFmtId="0">
      <sharedItems count="8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Água, esgoto e saneamento"/>
        <s v="Iluminação pública – B4a"/>
      </sharedItems>
    </cacheField>
    <cacheField name="Detalhe" numFmtId="0">
      <sharedItems count="2">
        <s v="Não se aplica"/>
        <s v="Fonte incentivada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8-01T00:00:00" maxDate="2022-07-02T00:00:00" count="12"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</sharedItems>
    </cacheField>
    <cacheField name="D" numFmtId="40">
      <sharedItems containsSemiMixedTypes="0" containsString="0" containsNumber="1" containsInteger="1" minValue="0" maxValue="1621"/>
    </cacheField>
    <cacheField name="Daj" numFmtId="40">
      <sharedItems containsSemiMixedTypes="0" containsString="0" containsNumber="1" minValue="0" maxValue="1079"/>
    </cacheField>
    <cacheField name="TUSD_E" numFmtId="40">
      <sharedItems containsSemiMixedTypes="0" containsString="0" containsNumber="1" minValue="0" maxValue="683.03399999999999"/>
    </cacheField>
    <cacheField name="TUSD_Eaj" numFmtId="40">
      <sharedItems containsSemiMixedTypes="0" containsString="0" containsNumber="1" minValue="0" maxValue="683.03399999999999"/>
    </cacheField>
    <cacheField name="TE_E" numFmtId="40">
      <sharedItems containsSemiMixedTypes="0" containsString="0" containsNumber="1" minValue="0" maxValue="683.03399999999999"/>
    </cacheField>
    <cacheField name="TE_Eaj" numFmtId="40">
      <sharedItems containsSemiMixedTypes="0" containsString="0" containsNumber="1" minValue="0" maxValue="683.03399999999999"/>
    </cacheField>
    <cacheField name="UC" numFmtId="40">
      <sharedItems containsSemiMixedTypes="0" containsString="0" containsNumber="1" containsInteger="1" minValue="0" maxValue="3004"/>
    </cacheField>
    <cacheField name="OPÇÃO" numFmtId="0">
      <sharedItems count="2">
        <s v="CATIVO"/>
        <s v="LIVRE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6"/>
    </cacheField>
    <cacheField name="CóD. AUX. TUSD R$/MWh" numFmtId="40">
      <sharedItems containsSemiMixedTypes="0" containsString="0" containsNumber="1" containsInteger="1" minValue="0" maxValue="48"/>
    </cacheField>
    <cacheField name="CóD. AUX. TE R$/MWh" numFmtId="40">
      <sharedItems containsSemiMixedTypes="0" containsString="0" containsNumber="1" containsInteger="1" minValue="0" maxValue="86"/>
    </cacheField>
    <cacheField name="TUSD (R$/kW)" numFmtId="40">
      <sharedItems containsSemiMixedTypes="0" containsString="0" containsNumber="1" minValue="0" maxValue="20.43"/>
    </cacheField>
    <cacheField name="TUSD (R$/MWh)" numFmtId="40">
      <sharedItems containsSemiMixedTypes="0" containsString="0" containsNumber="1" minValue="0" maxValue="1419.25"/>
    </cacheField>
    <cacheField name="TE (R$/MWh)" numFmtId="40">
      <sharedItems containsSemiMixedTypes="0" containsString="0" containsNumber="1" minValue="0" maxValue="518.44000000000005"/>
    </cacheField>
    <cacheField name="TUSD (R$/kW) NOVA" numFmtId="40">
      <sharedItems containsString="0" containsBlank="1" containsNumber="1" minValue="17.658830934895185" maxValue="17.658830934895185"/>
    </cacheField>
    <cacheField name="TUSD (R$/MWh) NOVA" numFmtId="40">
      <sharedItems containsString="0" containsBlank="1" containsNumber="1" minValue="108.9218947768087" maxValue="1426.7769321823234"/>
    </cacheField>
    <cacheField name="TE (R$/MWh) NOVA" numFmtId="40">
      <sharedItems containsString="0" containsBlank="1" containsNumber="1" minValue="101.68892710466429" maxValue="469.6750309272033"/>
    </cacheField>
    <cacheField name="RA0 ou RV - TUSD (kW)" numFmtId="40">
      <sharedItems containsSemiMixedTypes="0" containsString="0" containsNumber="1" minValue="0" maxValue="22043.97"/>
    </cacheField>
    <cacheField name="RA0 ou RV - TUSD (MWh)" numFmtId="40">
      <sharedItems containsSemiMixedTypes="0" containsString="0" containsNumber="1" minValue="0" maxValue="276177.96755999996"/>
    </cacheField>
    <cacheField name="RA0 ou RV - TE (MWh)" numFmtId="40">
      <sharedItems containsSemiMixedTypes="0" containsString="0" containsNumber="1" minValue="0" maxValue="218980.7004"/>
    </cacheField>
    <cacheField name="RA1 ou RRD - TUSD (kW)" numFmtId="40">
      <sharedItems containsSemiMixedTypes="0" containsString="0" containsNumber="1" minValue="0" maxValue="19100.795406364075"/>
    </cacheField>
    <cacheField name="RA1 ou RRD - TUSD (MWh)" numFmtId="40">
      <sharedItems containsSemiMixedTypes="0" containsString="0" containsNumber="1" minValue="0" maxValue="335450.5138516007"/>
    </cacheField>
    <cacheField name="RA1 ou RRD - TE (MWh)" numFmtId="40">
      <sharedItems containsSemiMixedTypes="0" containsString="0" containsNumber="1" minValue="0" maxValue="198448.55610287792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s v="Regular"/>
    <x v="0"/>
    <x v="0"/>
    <x v="0"/>
    <x v="0"/>
    <x v="0"/>
    <x v="0"/>
    <x v="0"/>
    <x v="0"/>
    <n v="0"/>
    <n v="0"/>
    <n v="42.155999999999999"/>
    <n v="42.155999999999999"/>
    <n v="42.155999999999999"/>
    <n v="42.155999999999999"/>
    <n v="0"/>
    <x v="0"/>
    <n v="0"/>
    <n v="0"/>
    <n v="8"/>
    <n v="51"/>
    <n v="0"/>
    <n v="70.19"/>
    <n v="302.62"/>
    <m/>
    <n v="108.9218947768087"/>
    <n v="274.25476998219489"/>
    <n v="0"/>
    <n v="2958.9296399999998"/>
    <n v="12757.24872"/>
    <n v="0"/>
    <n v="4591.7113962111471"/>
    <n v="11561.484083369407"/>
  </r>
  <r>
    <s v="Regular"/>
    <x v="0"/>
    <x v="0"/>
    <x v="0"/>
    <x v="0"/>
    <x v="0"/>
    <x v="0"/>
    <x v="0"/>
    <x v="1"/>
    <n v="0"/>
    <n v="0"/>
    <n v="42.073"/>
    <n v="42.073"/>
    <n v="42.073"/>
    <n v="42.073"/>
    <n v="0"/>
    <x v="0"/>
    <n v="0"/>
    <n v="0"/>
    <n v="8"/>
    <n v="51"/>
    <n v="0"/>
    <n v="70.19"/>
    <n v="302.62"/>
    <m/>
    <n v="108.9218947768087"/>
    <n v="274.25476998219489"/>
    <n v="0"/>
    <n v="2953.1038699999999"/>
    <n v="12732.13126"/>
    <n v="0"/>
    <n v="4582.670878944672"/>
    <n v="11538.720937460886"/>
  </r>
  <r>
    <s v="Regular"/>
    <x v="0"/>
    <x v="0"/>
    <x v="0"/>
    <x v="0"/>
    <x v="0"/>
    <x v="0"/>
    <x v="0"/>
    <x v="2"/>
    <n v="0"/>
    <n v="0"/>
    <n v="42.054000000000002"/>
    <n v="42.054000000000002"/>
    <n v="42.054000000000002"/>
    <n v="42.054000000000002"/>
    <n v="0"/>
    <x v="0"/>
    <n v="0"/>
    <n v="0"/>
    <n v="8"/>
    <n v="51"/>
    <n v="0"/>
    <n v="70.19"/>
    <n v="302.62"/>
    <m/>
    <n v="108.9218947768087"/>
    <n v="274.25476998219489"/>
    <n v="0"/>
    <n v="2951.7702600000002"/>
    <n v="12726.38148"/>
    <n v="0"/>
    <n v="4580.601362943913"/>
    <n v="11533.510096831224"/>
  </r>
  <r>
    <s v="Regular"/>
    <x v="0"/>
    <x v="0"/>
    <x v="0"/>
    <x v="0"/>
    <x v="0"/>
    <x v="0"/>
    <x v="0"/>
    <x v="3"/>
    <n v="0"/>
    <n v="0"/>
    <n v="43.274999999999999"/>
    <n v="43.274999999999999"/>
    <n v="43.274999999999999"/>
    <n v="43.274999999999999"/>
    <n v="0"/>
    <x v="0"/>
    <n v="0"/>
    <n v="0"/>
    <n v="8"/>
    <n v="51"/>
    <n v="0"/>
    <n v="70.19"/>
    <n v="302.62"/>
    <m/>
    <n v="108.9218947768087"/>
    <n v="274.25476998219489"/>
    <n v="0"/>
    <n v="3037.4722499999998"/>
    <n v="13095.880499999999"/>
    <n v="0"/>
    <n v="4713.594996466396"/>
    <n v="11868.375170979483"/>
  </r>
  <r>
    <s v="Regular"/>
    <x v="0"/>
    <x v="0"/>
    <x v="0"/>
    <x v="0"/>
    <x v="0"/>
    <x v="0"/>
    <x v="0"/>
    <x v="4"/>
    <n v="0"/>
    <n v="0"/>
    <n v="18.189"/>
    <n v="18.189"/>
    <n v="18.189"/>
    <n v="18.189"/>
    <n v="0"/>
    <x v="0"/>
    <n v="0"/>
    <n v="0"/>
    <n v="8"/>
    <n v="51"/>
    <n v="0"/>
    <n v="70.19"/>
    <n v="302.62"/>
    <m/>
    <n v="108.9218947768087"/>
    <n v="274.25476998219489"/>
    <n v="0"/>
    <n v="1276.6859099999999"/>
    <n v="5504.3551800000005"/>
    <n v="0"/>
    <n v="1981.1803440953734"/>
    <n v="4988.4200112061426"/>
  </r>
  <r>
    <s v="Regular"/>
    <x v="0"/>
    <x v="0"/>
    <x v="0"/>
    <x v="0"/>
    <x v="0"/>
    <x v="0"/>
    <x v="0"/>
    <x v="5"/>
    <n v="0"/>
    <n v="0"/>
    <n v="18.125"/>
    <n v="18.125"/>
    <n v="18.125"/>
    <n v="18.125"/>
    <n v="0"/>
    <x v="0"/>
    <n v="0"/>
    <n v="0"/>
    <n v="8"/>
    <n v="51"/>
    <n v="0"/>
    <n v="70.19"/>
    <n v="302.62"/>
    <m/>
    <n v="108.9218947768087"/>
    <n v="274.25476998219489"/>
    <n v="0"/>
    <n v="1272.1937499999999"/>
    <n v="5484.9875000000002"/>
    <n v="0"/>
    <n v="1974.2093428296578"/>
    <n v="4970.8677059272823"/>
  </r>
  <r>
    <s v="Regular"/>
    <x v="0"/>
    <x v="0"/>
    <x v="0"/>
    <x v="0"/>
    <x v="0"/>
    <x v="0"/>
    <x v="0"/>
    <x v="6"/>
    <n v="0"/>
    <n v="0"/>
    <n v="19.335999999999999"/>
    <n v="19.335999999999999"/>
    <n v="19.335999999999999"/>
    <n v="19.335999999999999"/>
    <n v="0"/>
    <x v="0"/>
    <n v="0"/>
    <n v="0"/>
    <n v="8"/>
    <n v="51"/>
    <n v="0"/>
    <n v="70.19"/>
    <n v="302.62"/>
    <m/>
    <n v="108.9218947768087"/>
    <n v="274.25476998219489"/>
    <n v="0"/>
    <n v="1357.1938399999999"/>
    <n v="5851.4603199999992"/>
    <n v="0"/>
    <n v="2106.1137574043728"/>
    <n v="5302.9902323757196"/>
  </r>
  <r>
    <s v="Regular"/>
    <x v="0"/>
    <x v="0"/>
    <x v="0"/>
    <x v="0"/>
    <x v="0"/>
    <x v="0"/>
    <x v="0"/>
    <x v="7"/>
    <n v="0"/>
    <n v="0"/>
    <n v="22.722999999999999"/>
    <n v="22.722999999999999"/>
    <n v="22.722999999999999"/>
    <n v="22.722999999999999"/>
    <n v="0"/>
    <x v="0"/>
    <n v="0"/>
    <n v="0"/>
    <n v="8"/>
    <n v="51"/>
    <n v="0"/>
    <n v="70.19"/>
    <n v="302.62"/>
    <m/>
    <n v="108.9218947768087"/>
    <n v="274.25476998219489"/>
    <n v="0"/>
    <n v="1594.9273699999999"/>
    <n v="6876.43426"/>
    <n v="0"/>
    <n v="2475.0322150134239"/>
    <n v="6231.8911383054137"/>
  </r>
  <r>
    <s v="Regular"/>
    <x v="0"/>
    <x v="0"/>
    <x v="0"/>
    <x v="0"/>
    <x v="0"/>
    <x v="0"/>
    <x v="0"/>
    <x v="8"/>
    <n v="0"/>
    <n v="0"/>
    <n v="19.21"/>
    <n v="19.21"/>
    <n v="19.21"/>
    <n v="19.21"/>
    <n v="0"/>
    <x v="0"/>
    <n v="0"/>
    <n v="0"/>
    <n v="8"/>
    <n v="51"/>
    <n v="0"/>
    <n v="70.19"/>
    <n v="302.62"/>
    <m/>
    <n v="108.9218947768087"/>
    <n v="274.25476998219489"/>
    <n v="0"/>
    <n v="1348.3498999999999"/>
    <n v="5813.3302000000003"/>
    <n v="0"/>
    <n v="2092.3895986624952"/>
    <n v="5268.4341313579644"/>
  </r>
  <r>
    <s v="Regular"/>
    <x v="0"/>
    <x v="0"/>
    <x v="0"/>
    <x v="0"/>
    <x v="0"/>
    <x v="0"/>
    <x v="0"/>
    <x v="9"/>
    <n v="0"/>
    <n v="0"/>
    <n v="21.516999999999999"/>
    <n v="21.516999999999999"/>
    <n v="21.516999999999999"/>
    <n v="21.516999999999999"/>
    <n v="0"/>
    <x v="0"/>
    <n v="0"/>
    <n v="0"/>
    <n v="8"/>
    <n v="51"/>
    <n v="0"/>
    <n v="70.19"/>
    <n v="302.62"/>
    <m/>
    <n v="108.9218947768087"/>
    <n v="274.25476998219489"/>
    <n v="0"/>
    <n v="1510.2782299999999"/>
    <n v="6511.4745400000002"/>
    <n v="0"/>
    <n v="2343.6724099125927"/>
    <n v="5901.1398857068871"/>
  </r>
  <r>
    <s v="Regular"/>
    <x v="0"/>
    <x v="0"/>
    <x v="0"/>
    <x v="0"/>
    <x v="0"/>
    <x v="0"/>
    <x v="0"/>
    <x v="10"/>
    <n v="0"/>
    <n v="0"/>
    <n v="20.657"/>
    <n v="20.657"/>
    <n v="20.657"/>
    <n v="20.657"/>
    <n v="0"/>
    <x v="0"/>
    <n v="0"/>
    <n v="0"/>
    <n v="8"/>
    <n v="51"/>
    <n v="0"/>
    <n v="70.19"/>
    <n v="302.62"/>
    <m/>
    <n v="108.9218947768087"/>
    <n v="274.25476998219489"/>
    <n v="0"/>
    <n v="1449.9148299999999"/>
    <n v="6251.2213400000001"/>
    <n v="0"/>
    <n v="2249.9995804045375"/>
    <n v="5665.2807835222002"/>
  </r>
  <r>
    <s v="Regular"/>
    <x v="0"/>
    <x v="0"/>
    <x v="0"/>
    <x v="0"/>
    <x v="0"/>
    <x v="0"/>
    <x v="0"/>
    <x v="11"/>
    <n v="0"/>
    <n v="0"/>
    <n v="20.9"/>
    <n v="20.9"/>
    <n v="20.9"/>
    <n v="20.9"/>
    <n v="0"/>
    <x v="0"/>
    <n v="0"/>
    <n v="0"/>
    <n v="8"/>
    <n v="51"/>
    <n v="0"/>
    <n v="70.19"/>
    <n v="302.62"/>
    <m/>
    <n v="108.9218947768087"/>
    <n v="274.25476998219489"/>
    <n v="0"/>
    <n v="1466.9709999999998"/>
    <n v="6324.7579999999998"/>
    <n v="0"/>
    <n v="2276.4676008353017"/>
    <n v="5731.9246926278729"/>
  </r>
  <r>
    <s v="Regular"/>
    <x v="0"/>
    <x v="0"/>
    <x v="0"/>
    <x v="0"/>
    <x v="0"/>
    <x v="0"/>
    <x v="1"/>
    <x v="0"/>
    <n v="267"/>
    <n v="267"/>
    <n v="0"/>
    <n v="0"/>
    <n v="0"/>
    <n v="0"/>
    <n v="2"/>
    <x v="0"/>
    <n v="0"/>
    <n v="6"/>
    <n v="0"/>
    <n v="0"/>
    <n v="20.43"/>
    <n v="0"/>
    <n v="0"/>
    <n v="17.702312702839738"/>
    <m/>
    <m/>
    <n v="5454.8099999999995"/>
    <n v="0"/>
    <n v="0"/>
    <n v="4726.51749165821"/>
    <n v="0"/>
    <n v="0"/>
  </r>
  <r>
    <s v="Regular"/>
    <x v="0"/>
    <x v="0"/>
    <x v="0"/>
    <x v="0"/>
    <x v="0"/>
    <x v="0"/>
    <x v="1"/>
    <x v="1"/>
    <n v="294"/>
    <n v="294"/>
    <n v="0"/>
    <n v="0"/>
    <n v="0"/>
    <n v="0"/>
    <n v="2"/>
    <x v="0"/>
    <n v="0"/>
    <n v="6"/>
    <n v="0"/>
    <n v="0"/>
    <n v="20.43"/>
    <n v="0"/>
    <n v="0"/>
    <n v="17.702312702839738"/>
    <m/>
    <m/>
    <n v="6006.42"/>
    <n v="0"/>
    <n v="0"/>
    <n v="5204.4799346348827"/>
    <n v="0"/>
    <n v="0"/>
  </r>
  <r>
    <s v="Regular"/>
    <x v="0"/>
    <x v="0"/>
    <x v="0"/>
    <x v="0"/>
    <x v="0"/>
    <x v="0"/>
    <x v="1"/>
    <x v="2"/>
    <n v="180"/>
    <n v="180"/>
    <n v="0"/>
    <n v="0"/>
    <n v="0"/>
    <n v="0"/>
    <n v="2"/>
    <x v="0"/>
    <n v="0"/>
    <n v="6"/>
    <n v="0"/>
    <n v="0"/>
    <n v="20.43"/>
    <n v="0"/>
    <n v="0"/>
    <n v="17.702312702839738"/>
    <m/>
    <m/>
    <n v="3677.4"/>
    <n v="0"/>
    <n v="0"/>
    <n v="3186.416286511153"/>
    <n v="0"/>
    <n v="0"/>
  </r>
  <r>
    <s v="Regular"/>
    <x v="0"/>
    <x v="0"/>
    <x v="0"/>
    <x v="0"/>
    <x v="0"/>
    <x v="0"/>
    <x v="1"/>
    <x v="3"/>
    <n v="221"/>
    <n v="221"/>
    <n v="0"/>
    <n v="0"/>
    <n v="0"/>
    <n v="0"/>
    <n v="2"/>
    <x v="0"/>
    <n v="0"/>
    <n v="6"/>
    <n v="0"/>
    <n v="0"/>
    <n v="20.43"/>
    <n v="0"/>
    <n v="0"/>
    <n v="17.702312702839738"/>
    <m/>
    <m/>
    <n v="4515.03"/>
    <n v="0"/>
    <n v="0"/>
    <n v="3912.2111073275819"/>
    <n v="0"/>
    <n v="0"/>
  </r>
  <r>
    <s v="Regular"/>
    <x v="0"/>
    <x v="0"/>
    <x v="0"/>
    <x v="0"/>
    <x v="0"/>
    <x v="0"/>
    <x v="1"/>
    <x v="4"/>
    <n v="166"/>
    <n v="166"/>
    <n v="0"/>
    <n v="0"/>
    <n v="0"/>
    <n v="0"/>
    <n v="1"/>
    <x v="0"/>
    <n v="0"/>
    <n v="6"/>
    <n v="0"/>
    <n v="0"/>
    <n v="20.43"/>
    <n v="0"/>
    <n v="0"/>
    <n v="17.702312702839738"/>
    <m/>
    <m/>
    <n v="3391.38"/>
    <n v="0"/>
    <n v="0"/>
    <n v="2938.5839086713963"/>
    <n v="0"/>
    <n v="0"/>
  </r>
  <r>
    <s v="Regular"/>
    <x v="0"/>
    <x v="0"/>
    <x v="0"/>
    <x v="0"/>
    <x v="0"/>
    <x v="0"/>
    <x v="1"/>
    <x v="5"/>
    <n v="125"/>
    <n v="125"/>
    <n v="0"/>
    <n v="0"/>
    <n v="0"/>
    <n v="0"/>
    <n v="1"/>
    <x v="0"/>
    <n v="0"/>
    <n v="6"/>
    <n v="0"/>
    <n v="0"/>
    <n v="20.43"/>
    <n v="0"/>
    <n v="0"/>
    <n v="17.702312702839738"/>
    <m/>
    <m/>
    <n v="2553.75"/>
    <n v="0"/>
    <n v="0"/>
    <n v="2212.7890878549674"/>
    <n v="0"/>
    <n v="0"/>
  </r>
  <r>
    <s v="Regular"/>
    <x v="0"/>
    <x v="0"/>
    <x v="0"/>
    <x v="0"/>
    <x v="0"/>
    <x v="0"/>
    <x v="1"/>
    <x v="6"/>
    <n v="148"/>
    <n v="148"/>
    <n v="0"/>
    <n v="0"/>
    <n v="0"/>
    <n v="0"/>
    <n v="1"/>
    <x v="0"/>
    <n v="0"/>
    <n v="6"/>
    <n v="0"/>
    <n v="0"/>
    <n v="20.43"/>
    <n v="0"/>
    <n v="0"/>
    <n v="17.702312702839738"/>
    <m/>
    <m/>
    <n v="3023.64"/>
    <n v="0"/>
    <n v="0"/>
    <n v="2619.942280020281"/>
    <n v="0"/>
    <n v="0"/>
  </r>
  <r>
    <s v="Regular"/>
    <x v="0"/>
    <x v="0"/>
    <x v="0"/>
    <x v="0"/>
    <x v="0"/>
    <x v="0"/>
    <x v="1"/>
    <x v="7"/>
    <n v="158"/>
    <n v="158"/>
    <n v="0"/>
    <n v="0"/>
    <n v="0"/>
    <n v="0"/>
    <n v="1"/>
    <x v="0"/>
    <n v="0"/>
    <n v="6"/>
    <n v="0"/>
    <n v="0"/>
    <n v="20.43"/>
    <n v="0"/>
    <n v="0"/>
    <n v="17.702312702839738"/>
    <m/>
    <m/>
    <n v="3227.94"/>
    <n v="0"/>
    <n v="0"/>
    <n v="2796.9654070486786"/>
    <n v="0"/>
    <n v="0"/>
  </r>
  <r>
    <s v="Regular"/>
    <x v="0"/>
    <x v="0"/>
    <x v="0"/>
    <x v="0"/>
    <x v="0"/>
    <x v="0"/>
    <x v="1"/>
    <x v="8"/>
    <n v="142"/>
    <n v="142"/>
    <n v="0"/>
    <n v="0"/>
    <n v="0"/>
    <n v="0"/>
    <n v="1"/>
    <x v="0"/>
    <n v="0"/>
    <n v="6"/>
    <n v="0"/>
    <n v="0"/>
    <n v="20.43"/>
    <n v="0"/>
    <n v="0"/>
    <n v="17.702312702839738"/>
    <m/>
    <m/>
    <n v="2901.06"/>
    <n v="0"/>
    <n v="0"/>
    <n v="2513.7284038032426"/>
    <n v="0"/>
    <n v="0"/>
  </r>
  <r>
    <s v="Regular"/>
    <x v="0"/>
    <x v="0"/>
    <x v="0"/>
    <x v="0"/>
    <x v="0"/>
    <x v="0"/>
    <x v="1"/>
    <x v="9"/>
    <n v="142"/>
    <n v="142"/>
    <n v="0"/>
    <n v="0"/>
    <n v="0"/>
    <n v="0"/>
    <n v="1"/>
    <x v="0"/>
    <n v="0"/>
    <n v="6"/>
    <n v="0"/>
    <n v="0"/>
    <n v="20.43"/>
    <n v="0"/>
    <n v="0"/>
    <n v="17.702312702839738"/>
    <m/>
    <m/>
    <n v="2901.06"/>
    <n v="0"/>
    <n v="0"/>
    <n v="2513.7284038032426"/>
    <n v="0"/>
    <n v="0"/>
  </r>
  <r>
    <s v="Regular"/>
    <x v="0"/>
    <x v="0"/>
    <x v="0"/>
    <x v="0"/>
    <x v="0"/>
    <x v="0"/>
    <x v="1"/>
    <x v="10"/>
    <n v="172"/>
    <n v="172"/>
    <n v="0"/>
    <n v="0"/>
    <n v="0"/>
    <n v="0"/>
    <n v="1"/>
    <x v="0"/>
    <n v="0"/>
    <n v="6"/>
    <n v="0"/>
    <n v="0"/>
    <n v="20.43"/>
    <n v="0"/>
    <n v="0"/>
    <n v="17.702312702839738"/>
    <m/>
    <m/>
    <n v="3513.96"/>
    <n v="0"/>
    <n v="0"/>
    <n v="3044.7977848884348"/>
    <n v="0"/>
    <n v="0"/>
  </r>
  <r>
    <s v="Regular"/>
    <x v="0"/>
    <x v="0"/>
    <x v="0"/>
    <x v="0"/>
    <x v="0"/>
    <x v="0"/>
    <x v="1"/>
    <x v="11"/>
    <n v="153"/>
    <n v="153"/>
    <n v="0"/>
    <n v="0"/>
    <n v="0"/>
    <n v="0"/>
    <n v="1"/>
    <x v="0"/>
    <n v="0"/>
    <n v="6"/>
    <n v="0"/>
    <n v="0"/>
    <n v="20.43"/>
    <n v="0"/>
    <n v="0"/>
    <n v="17.702312702839738"/>
    <m/>
    <m/>
    <n v="3125.79"/>
    <n v="0"/>
    <n v="0"/>
    <n v="2708.4538435344798"/>
    <n v="0"/>
    <n v="0"/>
  </r>
  <r>
    <s v="Regular"/>
    <x v="0"/>
    <x v="0"/>
    <x v="0"/>
    <x v="0"/>
    <x v="0"/>
    <x v="0"/>
    <x v="2"/>
    <x v="0"/>
    <n v="0"/>
    <n v="0"/>
    <n v="2.5379999999999998"/>
    <n v="2.5379999999999998"/>
    <n v="2.5379999999999998"/>
    <n v="2.5379999999999998"/>
    <n v="0"/>
    <x v="0"/>
    <n v="0"/>
    <n v="0"/>
    <n v="7"/>
    <n v="50"/>
    <n v="0"/>
    <n v="1419.25"/>
    <n v="518.44000000000005"/>
    <m/>
    <n v="1282.8986662326251"/>
    <n v="469.6750309272033"/>
    <n v="0"/>
    <n v="3602.0564999999997"/>
    <n v="1315.80072"/>
    <n v="0"/>
    <n v="3255.9968148984026"/>
    <n v="1192.0352284932419"/>
  </r>
  <r>
    <s v="Regular"/>
    <x v="0"/>
    <x v="0"/>
    <x v="0"/>
    <x v="0"/>
    <x v="0"/>
    <x v="0"/>
    <x v="2"/>
    <x v="1"/>
    <n v="0"/>
    <n v="0"/>
    <n v="2.5840000000000001"/>
    <n v="2.5840000000000001"/>
    <n v="2.5840000000000001"/>
    <n v="2.5840000000000001"/>
    <n v="0"/>
    <x v="0"/>
    <n v="0"/>
    <n v="0"/>
    <n v="7"/>
    <n v="50"/>
    <n v="0"/>
    <n v="1419.25"/>
    <n v="518.44000000000005"/>
    <m/>
    <n v="1282.8986662326251"/>
    <n v="469.6750309272033"/>
    <n v="0"/>
    <n v="3667.3420000000001"/>
    <n v="1339.6489600000002"/>
    <n v="0"/>
    <n v="3315.0101535451035"/>
    <n v="1213.6402799158934"/>
  </r>
  <r>
    <s v="Regular"/>
    <x v="0"/>
    <x v="0"/>
    <x v="0"/>
    <x v="0"/>
    <x v="0"/>
    <x v="0"/>
    <x v="2"/>
    <x v="2"/>
    <n v="0"/>
    <n v="0"/>
    <n v="2.46"/>
    <n v="2.46"/>
    <n v="2.46"/>
    <n v="2.46"/>
    <n v="0"/>
    <x v="0"/>
    <n v="0"/>
    <n v="0"/>
    <n v="7"/>
    <n v="50"/>
    <n v="0"/>
    <n v="1419.25"/>
    <n v="518.44000000000005"/>
    <m/>
    <n v="1282.8986662326251"/>
    <n v="469.6750309272033"/>
    <n v="0"/>
    <n v="3491.355"/>
    <n v="1275.3624000000002"/>
    <n v="0"/>
    <n v="3155.9307189322576"/>
    <n v="1155.40057608092"/>
  </r>
  <r>
    <s v="Regular"/>
    <x v="0"/>
    <x v="0"/>
    <x v="0"/>
    <x v="0"/>
    <x v="0"/>
    <x v="0"/>
    <x v="2"/>
    <x v="3"/>
    <n v="0"/>
    <n v="0"/>
    <n v="2.6739999999999999"/>
    <n v="2.6739999999999999"/>
    <n v="2.6739999999999999"/>
    <n v="2.6739999999999999"/>
    <n v="0"/>
    <x v="0"/>
    <n v="0"/>
    <n v="0"/>
    <n v="7"/>
    <n v="50"/>
    <n v="0"/>
    <n v="1419.25"/>
    <n v="518.44000000000005"/>
    <m/>
    <n v="1282.8986662326251"/>
    <n v="469.6750309272033"/>
    <n v="0"/>
    <n v="3795.0744999999997"/>
    <n v="1386.3085600000002"/>
    <n v="0"/>
    <n v="3430.4710335060395"/>
    <n v="1255.9110326993416"/>
  </r>
  <r>
    <s v="Regular"/>
    <x v="0"/>
    <x v="0"/>
    <x v="0"/>
    <x v="0"/>
    <x v="0"/>
    <x v="0"/>
    <x v="2"/>
    <x v="4"/>
    <n v="0"/>
    <n v="0"/>
    <n v="0.20300000000000001"/>
    <n v="0.20300000000000001"/>
    <n v="0.20300000000000001"/>
    <n v="0.20300000000000001"/>
    <n v="0"/>
    <x v="0"/>
    <n v="0"/>
    <n v="0"/>
    <n v="7"/>
    <n v="50"/>
    <n v="0"/>
    <n v="1419.25"/>
    <n v="518.44000000000005"/>
    <m/>
    <n v="1282.8986662326251"/>
    <n v="469.6750309272033"/>
    <n v="0"/>
    <n v="288.10775000000001"/>
    <n v="105.24332000000001"/>
    <n v="0"/>
    <n v="260.4284292452229"/>
    <n v="95.344031278222275"/>
  </r>
  <r>
    <s v="Regular"/>
    <x v="0"/>
    <x v="0"/>
    <x v="0"/>
    <x v="0"/>
    <x v="0"/>
    <x v="0"/>
    <x v="2"/>
    <x v="5"/>
    <n v="0"/>
    <n v="0"/>
    <n v="0.14000000000000001"/>
    <n v="0.14000000000000001"/>
    <n v="0.14000000000000001"/>
    <n v="0.14000000000000001"/>
    <n v="0"/>
    <x v="0"/>
    <n v="0"/>
    <n v="0"/>
    <n v="7"/>
    <n v="50"/>
    <n v="0"/>
    <n v="1419.25"/>
    <n v="518.44000000000005"/>
    <m/>
    <n v="1282.8986662326251"/>
    <n v="469.6750309272033"/>
    <n v="0"/>
    <n v="198.69500000000002"/>
    <n v="72.581600000000009"/>
    <n v="0"/>
    <n v="179.60581327256753"/>
    <n v="65.754504329808469"/>
  </r>
  <r>
    <s v="Regular"/>
    <x v="0"/>
    <x v="0"/>
    <x v="0"/>
    <x v="0"/>
    <x v="0"/>
    <x v="0"/>
    <x v="2"/>
    <x v="6"/>
    <n v="0"/>
    <n v="0"/>
    <n v="0.114"/>
    <n v="0.114"/>
    <n v="0.114"/>
    <n v="0.114"/>
    <n v="0"/>
    <x v="0"/>
    <n v="0"/>
    <n v="0"/>
    <n v="7"/>
    <n v="50"/>
    <n v="0"/>
    <n v="1419.25"/>
    <n v="518.44000000000005"/>
    <m/>
    <n v="1282.8986662326251"/>
    <n v="469.6750309272033"/>
    <n v="0"/>
    <n v="161.7945"/>
    <n v="59.102160000000005"/>
    <n v="0"/>
    <n v="146.25044795051926"/>
    <n v="53.542953525701179"/>
  </r>
  <r>
    <s v="Regular"/>
    <x v="0"/>
    <x v="0"/>
    <x v="0"/>
    <x v="0"/>
    <x v="0"/>
    <x v="0"/>
    <x v="2"/>
    <x v="7"/>
    <n v="0"/>
    <n v="0"/>
    <n v="0.184"/>
    <n v="0.184"/>
    <n v="0.184"/>
    <n v="0.184"/>
    <n v="0"/>
    <x v="0"/>
    <n v="0"/>
    <n v="0"/>
    <n v="7"/>
    <n v="50"/>
    <n v="0"/>
    <n v="1419.25"/>
    <n v="518.44000000000005"/>
    <m/>
    <n v="1282.8986662326251"/>
    <n v="469.6750309272033"/>
    <n v="0"/>
    <n v="261.142"/>
    <n v="95.392960000000002"/>
    <n v="0"/>
    <n v="236.05335458680301"/>
    <n v="86.4202056906054"/>
  </r>
  <r>
    <s v="Regular"/>
    <x v="0"/>
    <x v="0"/>
    <x v="0"/>
    <x v="0"/>
    <x v="0"/>
    <x v="0"/>
    <x v="2"/>
    <x v="8"/>
    <n v="0"/>
    <n v="0"/>
    <n v="0.17899999999999999"/>
    <n v="0.17899999999999999"/>
    <n v="0.17899999999999999"/>
    <n v="0.17899999999999999"/>
    <n v="0"/>
    <x v="0"/>
    <n v="0"/>
    <n v="0"/>
    <n v="7"/>
    <n v="50"/>
    <n v="0"/>
    <n v="1419.25"/>
    <n v="518.44000000000005"/>
    <m/>
    <n v="1282.8986662326251"/>
    <n v="469.6750309272033"/>
    <n v="0"/>
    <n v="254.04575"/>
    <n v="92.800760000000011"/>
    <n v="0"/>
    <n v="229.63886125563988"/>
    <n v="84.071830535969383"/>
  </r>
  <r>
    <s v="Regular"/>
    <x v="0"/>
    <x v="0"/>
    <x v="0"/>
    <x v="0"/>
    <x v="0"/>
    <x v="0"/>
    <x v="2"/>
    <x v="9"/>
    <n v="0"/>
    <n v="0"/>
    <n v="0.17299999999999999"/>
    <n v="0.17299999999999999"/>
    <n v="0.17299999999999999"/>
    <n v="0.17299999999999999"/>
    <n v="0"/>
    <x v="0"/>
    <n v="0"/>
    <n v="0"/>
    <n v="7"/>
    <n v="50"/>
    <n v="0"/>
    <n v="1419.25"/>
    <n v="518.44000000000005"/>
    <m/>
    <n v="1282.8986662326251"/>
    <n v="469.6750309272033"/>
    <n v="0"/>
    <n v="245.53025"/>
    <n v="89.690120000000007"/>
    <n v="0"/>
    <n v="221.94146925824413"/>
    <n v="81.25378035040616"/>
  </r>
  <r>
    <s v="Regular"/>
    <x v="0"/>
    <x v="0"/>
    <x v="0"/>
    <x v="0"/>
    <x v="0"/>
    <x v="0"/>
    <x v="2"/>
    <x v="10"/>
    <n v="0"/>
    <n v="0"/>
    <n v="0.32100000000000001"/>
    <n v="0.32100000000000001"/>
    <n v="0.32100000000000001"/>
    <n v="0.32100000000000001"/>
    <n v="0"/>
    <x v="0"/>
    <n v="0"/>
    <n v="0"/>
    <n v="7"/>
    <n v="50"/>
    <n v="0"/>
    <n v="1419.25"/>
    <n v="518.44000000000005"/>
    <m/>
    <n v="1282.8986662326251"/>
    <n v="469.6750309272033"/>
    <n v="0"/>
    <n v="455.57925"/>
    <n v="166.41924000000003"/>
    <n v="0"/>
    <n v="411.81047186067269"/>
    <n v="150.76568492763226"/>
  </r>
  <r>
    <s v="Regular"/>
    <x v="0"/>
    <x v="0"/>
    <x v="0"/>
    <x v="0"/>
    <x v="0"/>
    <x v="0"/>
    <x v="2"/>
    <x v="11"/>
    <n v="0"/>
    <n v="0"/>
    <n v="0.45300000000000001"/>
    <n v="0.45300000000000001"/>
    <n v="0.45300000000000001"/>
    <n v="0.45300000000000001"/>
    <n v="0"/>
    <x v="0"/>
    <n v="0"/>
    <n v="0"/>
    <n v="7"/>
    <n v="50"/>
    <n v="0"/>
    <n v="1419.25"/>
    <n v="518.44000000000005"/>
    <m/>
    <n v="1282.8986662326251"/>
    <n v="469.6750309272033"/>
    <n v="0"/>
    <n v="642.92025000000001"/>
    <n v="234.85332000000002"/>
    <n v="0"/>
    <n v="581.15309580337919"/>
    <n v="212.76278901002311"/>
  </r>
  <r>
    <s v="Regular"/>
    <x v="0"/>
    <x v="0"/>
    <x v="1"/>
    <x v="0"/>
    <x v="1"/>
    <x v="0"/>
    <x v="0"/>
    <x v="0"/>
    <n v="0"/>
    <n v="0"/>
    <n v="399.43"/>
    <n v="399.43"/>
    <n v="0"/>
    <n v="0"/>
    <n v="0"/>
    <x v="1"/>
    <n v="0"/>
    <n v="0"/>
    <n v="8"/>
    <n v="0"/>
    <n v="0"/>
    <n v="70.19"/>
    <n v="0"/>
    <m/>
    <n v="108.9218947768087"/>
    <m/>
    <n v="0"/>
    <n v="28035.991699999999"/>
    <n v="0"/>
    <n v="0"/>
    <n v="43506.672430700703"/>
    <n v="0"/>
  </r>
  <r>
    <s v="Regular"/>
    <x v="0"/>
    <x v="0"/>
    <x v="1"/>
    <x v="0"/>
    <x v="1"/>
    <x v="0"/>
    <x v="0"/>
    <x v="1"/>
    <n v="0"/>
    <n v="0"/>
    <n v="374.197"/>
    <n v="374.197"/>
    <n v="0"/>
    <n v="0"/>
    <n v="0"/>
    <x v="1"/>
    <n v="0"/>
    <n v="0"/>
    <n v="8"/>
    <n v="0"/>
    <n v="0"/>
    <n v="70.19"/>
    <n v="0"/>
    <m/>
    <n v="108.9218947768087"/>
    <m/>
    <n v="0"/>
    <n v="26264.887429999999"/>
    <n v="0"/>
    <n v="0"/>
    <n v="40758.246259797488"/>
    <n v="0"/>
  </r>
  <r>
    <s v="Regular"/>
    <x v="0"/>
    <x v="0"/>
    <x v="1"/>
    <x v="0"/>
    <x v="1"/>
    <x v="0"/>
    <x v="0"/>
    <x v="2"/>
    <n v="0"/>
    <n v="0"/>
    <n v="383.92899999999997"/>
    <n v="383.92899999999997"/>
    <n v="0"/>
    <n v="0"/>
    <n v="0"/>
    <x v="1"/>
    <n v="0"/>
    <n v="0"/>
    <n v="8"/>
    <n v="0"/>
    <n v="0"/>
    <n v="70.19"/>
    <n v="0"/>
    <m/>
    <n v="108.9218947768087"/>
    <m/>
    <n v="0"/>
    <n v="26947.976509999997"/>
    <n v="0"/>
    <n v="0"/>
    <n v="41818.274139765381"/>
    <n v="0"/>
  </r>
  <r>
    <s v="Regular"/>
    <x v="0"/>
    <x v="0"/>
    <x v="1"/>
    <x v="0"/>
    <x v="1"/>
    <x v="0"/>
    <x v="0"/>
    <x v="3"/>
    <n v="0"/>
    <n v="0"/>
    <n v="492.41399999999999"/>
    <n v="492.41399999999999"/>
    <n v="0"/>
    <n v="0"/>
    <n v="0"/>
    <x v="1"/>
    <n v="0"/>
    <n v="0"/>
    <n v="8"/>
    <n v="0"/>
    <n v="0"/>
    <n v="70.19"/>
    <n v="0"/>
    <m/>
    <n v="108.9218947768087"/>
    <m/>
    <n v="0"/>
    <n v="34562.538659999998"/>
    <n v="0"/>
    <n v="0"/>
    <n v="53634.665894627477"/>
    <n v="0"/>
  </r>
  <r>
    <s v="Regular"/>
    <x v="0"/>
    <x v="0"/>
    <x v="1"/>
    <x v="0"/>
    <x v="1"/>
    <x v="0"/>
    <x v="0"/>
    <x v="4"/>
    <n v="0"/>
    <n v="0"/>
    <n v="512.43600000000004"/>
    <n v="512.43600000000004"/>
    <n v="0"/>
    <n v="0"/>
    <n v="0"/>
    <x v="1"/>
    <n v="0"/>
    <n v="0"/>
    <n v="8"/>
    <n v="0"/>
    <n v="0"/>
    <n v="70.19"/>
    <n v="0"/>
    <m/>
    <n v="108.9218947768087"/>
    <m/>
    <n v="0"/>
    <n v="35967.882839999998"/>
    <n v="0"/>
    <n v="0"/>
    <n v="55815.50007184875"/>
    <n v="0"/>
  </r>
  <r>
    <s v="Regular"/>
    <x v="0"/>
    <x v="0"/>
    <x v="1"/>
    <x v="0"/>
    <x v="1"/>
    <x v="0"/>
    <x v="0"/>
    <x v="5"/>
    <n v="0"/>
    <n v="0"/>
    <n v="509.79700000000003"/>
    <n v="509.79700000000003"/>
    <n v="0"/>
    <n v="0"/>
    <n v="0"/>
    <x v="1"/>
    <n v="0"/>
    <n v="0"/>
    <n v="8"/>
    <n v="0"/>
    <n v="0"/>
    <n v="70.19"/>
    <n v="0"/>
    <m/>
    <n v="108.9218947768087"/>
    <m/>
    <n v="0"/>
    <n v="35782.651429999998"/>
    <n v="0"/>
    <n v="0"/>
    <n v="55528.055191532745"/>
    <n v="0"/>
  </r>
  <r>
    <s v="Regular"/>
    <x v="0"/>
    <x v="0"/>
    <x v="1"/>
    <x v="0"/>
    <x v="1"/>
    <x v="0"/>
    <x v="0"/>
    <x v="6"/>
    <n v="0"/>
    <n v="0"/>
    <n v="511.16399999999999"/>
    <n v="511.16399999999999"/>
    <n v="0"/>
    <n v="0"/>
    <n v="0"/>
    <x v="1"/>
    <n v="0"/>
    <n v="0"/>
    <n v="8"/>
    <n v="0"/>
    <n v="0"/>
    <n v="70.19"/>
    <n v="0"/>
    <m/>
    <n v="108.9218947768087"/>
    <m/>
    <n v="0"/>
    <n v="35878.601159999998"/>
    <n v="0"/>
    <n v="0"/>
    <n v="55676.95142169264"/>
    <n v="0"/>
  </r>
  <r>
    <s v="Regular"/>
    <x v="0"/>
    <x v="0"/>
    <x v="1"/>
    <x v="0"/>
    <x v="1"/>
    <x v="0"/>
    <x v="0"/>
    <x v="7"/>
    <n v="0"/>
    <n v="0"/>
    <n v="573.44500000000005"/>
    <n v="573.44500000000005"/>
    <n v="0"/>
    <n v="0"/>
    <n v="0"/>
    <x v="1"/>
    <n v="0"/>
    <n v="0"/>
    <n v="8"/>
    <n v="0"/>
    <n v="0"/>
    <n v="70.19"/>
    <n v="0"/>
    <m/>
    <n v="108.9218947768087"/>
    <m/>
    <n v="0"/>
    <n v="40250.104550000004"/>
    <n v="0"/>
    <n v="0"/>
    <n v="62460.715950287071"/>
    <n v="0"/>
  </r>
  <r>
    <s v="Regular"/>
    <x v="0"/>
    <x v="0"/>
    <x v="1"/>
    <x v="0"/>
    <x v="1"/>
    <x v="0"/>
    <x v="0"/>
    <x v="8"/>
    <n v="0"/>
    <n v="0"/>
    <n v="505.69200000000001"/>
    <n v="505.69200000000001"/>
    <n v="0"/>
    <n v="0"/>
    <n v="0"/>
    <x v="1"/>
    <n v="0"/>
    <n v="0"/>
    <n v="8"/>
    <n v="0"/>
    <n v="0"/>
    <n v="70.19"/>
    <n v="0"/>
    <m/>
    <n v="108.9218947768087"/>
    <m/>
    <n v="0"/>
    <n v="35494.521479999996"/>
    <n v="0"/>
    <n v="0"/>
    <n v="55080.930813473948"/>
    <n v="0"/>
  </r>
  <r>
    <s v="Regular"/>
    <x v="0"/>
    <x v="0"/>
    <x v="1"/>
    <x v="0"/>
    <x v="1"/>
    <x v="0"/>
    <x v="0"/>
    <x v="9"/>
    <n v="0"/>
    <n v="0"/>
    <n v="515.16200000000003"/>
    <n v="515.16200000000003"/>
    <n v="0"/>
    <n v="0"/>
    <n v="0"/>
    <x v="1"/>
    <n v="0"/>
    <n v="0"/>
    <n v="8"/>
    <n v="0"/>
    <n v="0"/>
    <n v="70.19"/>
    <n v="0"/>
    <m/>
    <n v="108.9218947768087"/>
    <m/>
    <n v="0"/>
    <n v="36159.220780000003"/>
    <n v="0"/>
    <n v="0"/>
    <n v="56112.421157010329"/>
    <n v="0"/>
  </r>
  <r>
    <s v="Regular"/>
    <x v="0"/>
    <x v="0"/>
    <x v="1"/>
    <x v="0"/>
    <x v="1"/>
    <x v="0"/>
    <x v="0"/>
    <x v="10"/>
    <n v="0"/>
    <n v="0"/>
    <n v="514.71199999999999"/>
    <n v="514.71199999999999"/>
    <n v="0"/>
    <n v="0"/>
    <n v="0"/>
    <x v="1"/>
    <n v="0"/>
    <n v="0"/>
    <n v="8"/>
    <n v="0"/>
    <n v="0"/>
    <n v="70.19"/>
    <n v="0"/>
    <m/>
    <n v="108.9218947768087"/>
    <m/>
    <n v="0"/>
    <n v="36127.635279999995"/>
    <n v="0"/>
    <n v="0"/>
    <n v="56063.40630436076"/>
    <n v="0"/>
  </r>
  <r>
    <s v="Regular"/>
    <x v="0"/>
    <x v="0"/>
    <x v="1"/>
    <x v="0"/>
    <x v="1"/>
    <x v="0"/>
    <x v="0"/>
    <x v="11"/>
    <n v="0"/>
    <n v="0"/>
    <n v="525.48800000000006"/>
    <n v="525.48800000000006"/>
    <n v="0"/>
    <n v="0"/>
    <n v="0"/>
    <x v="1"/>
    <n v="0"/>
    <n v="0"/>
    <n v="8"/>
    <n v="0"/>
    <n v="0"/>
    <n v="70.19"/>
    <n v="0"/>
    <m/>
    <n v="108.9218947768087"/>
    <m/>
    <n v="0"/>
    <n v="36884.002720000004"/>
    <n v="0"/>
    <n v="0"/>
    <n v="57237.148642475659"/>
    <n v="0"/>
  </r>
  <r>
    <s v="Regular"/>
    <x v="0"/>
    <x v="0"/>
    <x v="1"/>
    <x v="0"/>
    <x v="1"/>
    <x v="0"/>
    <x v="1"/>
    <x v="0"/>
    <n v="1300"/>
    <n v="703.09371599999997"/>
    <n v="0"/>
    <n v="0"/>
    <n v="0"/>
    <n v="0"/>
    <n v="2"/>
    <x v="1"/>
    <n v="0"/>
    <n v="6"/>
    <n v="0"/>
    <n v="0"/>
    <n v="20.43"/>
    <n v="0"/>
    <n v="0"/>
    <n v="17.702312702839738"/>
    <m/>
    <m/>
    <n v="14364.204617879999"/>
    <n v="0"/>
    <n v="0"/>
    <n v="12446.384820033594"/>
    <n v="0"/>
    <n v="0"/>
  </r>
  <r>
    <s v="Regular"/>
    <x v="0"/>
    <x v="0"/>
    <x v="1"/>
    <x v="0"/>
    <x v="1"/>
    <x v="0"/>
    <x v="1"/>
    <x v="1"/>
    <n v="1300"/>
    <n v="710.24843499999997"/>
    <n v="0"/>
    <n v="0"/>
    <n v="0"/>
    <n v="0"/>
    <n v="2"/>
    <x v="1"/>
    <n v="0"/>
    <n v="6"/>
    <n v="0"/>
    <n v="0"/>
    <n v="20.43"/>
    <n v="0"/>
    <n v="0"/>
    <n v="17.702312702839738"/>
    <m/>
    <m/>
    <n v="14510.375527049999"/>
    <n v="0"/>
    <n v="0"/>
    <n v="12573.039893072542"/>
    <n v="0"/>
    <n v="0"/>
  </r>
  <r>
    <s v="Regular"/>
    <x v="0"/>
    <x v="0"/>
    <x v="1"/>
    <x v="0"/>
    <x v="1"/>
    <x v="0"/>
    <x v="1"/>
    <x v="2"/>
    <n v="1300"/>
    <n v="713.766482"/>
    <n v="0"/>
    <n v="0"/>
    <n v="0"/>
    <n v="0"/>
    <n v="2"/>
    <x v="1"/>
    <n v="0"/>
    <n v="6"/>
    <n v="0"/>
    <n v="0"/>
    <n v="20.43"/>
    <n v="0"/>
    <n v="0"/>
    <n v="17.702312702839738"/>
    <m/>
    <m/>
    <n v="14582.249227259999"/>
    <n v="0"/>
    <n v="0"/>
    <n v="12635.31746116983"/>
    <n v="0"/>
    <n v="0"/>
  </r>
  <r>
    <s v="Regular"/>
    <x v="0"/>
    <x v="0"/>
    <x v="1"/>
    <x v="0"/>
    <x v="1"/>
    <x v="0"/>
    <x v="1"/>
    <x v="3"/>
    <n v="1387"/>
    <n v="698.92776097000001"/>
    <n v="0"/>
    <n v="0"/>
    <n v="0"/>
    <n v="0"/>
    <n v="2"/>
    <x v="1"/>
    <n v="0"/>
    <n v="6"/>
    <n v="0"/>
    <n v="0"/>
    <n v="20.43"/>
    <n v="0"/>
    <n v="0"/>
    <n v="17.702312702839738"/>
    <m/>
    <m/>
    <n v="14279.0941566171"/>
    <n v="0"/>
    <n v="0"/>
    <n v="12372.637781386567"/>
    <n v="0"/>
    <n v="0"/>
  </r>
  <r>
    <s v="Regular"/>
    <x v="0"/>
    <x v="0"/>
    <x v="1"/>
    <x v="0"/>
    <x v="1"/>
    <x v="0"/>
    <x v="1"/>
    <x v="4"/>
    <n v="1556"/>
    <n v="813.63548088000005"/>
    <n v="0"/>
    <n v="0"/>
    <n v="0"/>
    <n v="0"/>
    <n v="3"/>
    <x v="1"/>
    <n v="0"/>
    <n v="6"/>
    <n v="0"/>
    <n v="0"/>
    <n v="20.43"/>
    <n v="0"/>
    <n v="0"/>
    <n v="17.702312702839738"/>
    <m/>
    <m/>
    <n v="16622.572874378402"/>
    <n v="0"/>
    <n v="0"/>
    <n v="14403.229708663142"/>
    <n v="0"/>
    <n v="0"/>
  </r>
  <r>
    <s v="Regular"/>
    <x v="0"/>
    <x v="0"/>
    <x v="1"/>
    <x v="0"/>
    <x v="1"/>
    <x v="0"/>
    <x v="1"/>
    <x v="5"/>
    <n v="1548"/>
    <n v="802.55984148000005"/>
    <n v="0"/>
    <n v="0"/>
    <n v="0"/>
    <n v="0"/>
    <n v="3"/>
    <x v="1"/>
    <n v="0"/>
    <n v="6"/>
    <n v="0"/>
    <n v="0"/>
    <n v="20.43"/>
    <n v="0"/>
    <n v="0"/>
    <n v="17.702312702839738"/>
    <m/>
    <m/>
    <n v="16396.2975614364"/>
    <n v="0"/>
    <n v="0"/>
    <n v="14207.165276620452"/>
    <n v="0"/>
    <n v="0"/>
  </r>
  <r>
    <s v="Regular"/>
    <x v="0"/>
    <x v="0"/>
    <x v="1"/>
    <x v="0"/>
    <x v="1"/>
    <x v="0"/>
    <x v="1"/>
    <x v="6"/>
    <n v="1538"/>
    <n v="802.99662871999999"/>
    <n v="0"/>
    <n v="0"/>
    <n v="0"/>
    <n v="0"/>
    <n v="3"/>
    <x v="1"/>
    <n v="0"/>
    <n v="6"/>
    <n v="0"/>
    <n v="0"/>
    <n v="20.43"/>
    <n v="0"/>
    <n v="0"/>
    <n v="17.702312702839738"/>
    <m/>
    <m/>
    <n v="16405.221124749598"/>
    <n v="0"/>
    <n v="0"/>
    <n v="14214.89742092754"/>
    <n v="0"/>
    <n v="0"/>
  </r>
  <r>
    <s v="Regular"/>
    <x v="0"/>
    <x v="0"/>
    <x v="1"/>
    <x v="0"/>
    <x v="1"/>
    <x v="0"/>
    <x v="1"/>
    <x v="7"/>
    <n v="1621"/>
    <n v="816.28692136999996"/>
    <n v="0"/>
    <n v="0"/>
    <n v="0"/>
    <n v="0"/>
    <n v="3"/>
    <x v="1"/>
    <n v="0"/>
    <n v="6"/>
    <n v="0"/>
    <n v="0"/>
    <n v="20.43"/>
    <n v="0"/>
    <n v="0"/>
    <n v="17.702312702839738"/>
    <m/>
    <m/>
    <n v="16676.741803589099"/>
    <n v="0"/>
    <n v="0"/>
    <n v="14450.166337330093"/>
    <n v="0"/>
    <n v="0"/>
  </r>
  <r>
    <s v="Regular"/>
    <x v="0"/>
    <x v="0"/>
    <x v="1"/>
    <x v="0"/>
    <x v="1"/>
    <x v="0"/>
    <x v="1"/>
    <x v="8"/>
    <n v="1572"/>
    <n v="822.37163124000006"/>
    <n v="0"/>
    <n v="0"/>
    <n v="0"/>
    <n v="0"/>
    <n v="3"/>
    <x v="1"/>
    <n v="0"/>
    <n v="6"/>
    <n v="0"/>
    <n v="0"/>
    <n v="20.43"/>
    <n v="0"/>
    <n v="0"/>
    <n v="17.702312702839738"/>
    <m/>
    <m/>
    <n v="16801.0524262332"/>
    <n v="0"/>
    <n v="0"/>
    <n v="14557.87977415489"/>
    <n v="0"/>
    <n v="0"/>
  </r>
  <r>
    <s v="Regular"/>
    <x v="0"/>
    <x v="0"/>
    <x v="1"/>
    <x v="0"/>
    <x v="1"/>
    <x v="0"/>
    <x v="1"/>
    <x v="9"/>
    <n v="1602"/>
    <n v="803.84548842000004"/>
    <n v="0"/>
    <n v="0"/>
    <n v="0"/>
    <n v="0"/>
    <n v="3"/>
    <x v="1"/>
    <n v="0"/>
    <n v="6"/>
    <n v="0"/>
    <n v="0"/>
    <n v="20.43"/>
    <n v="0"/>
    <n v="0"/>
    <n v="17.702312702839738"/>
    <m/>
    <m/>
    <n v="16422.563328420601"/>
    <n v="0"/>
    <n v="0"/>
    <n v="14229.924200777779"/>
    <n v="0"/>
    <n v="0"/>
  </r>
  <r>
    <s v="Regular"/>
    <x v="0"/>
    <x v="0"/>
    <x v="1"/>
    <x v="0"/>
    <x v="1"/>
    <x v="0"/>
    <x v="1"/>
    <x v="10"/>
    <n v="1549"/>
    <n v="810.33947633000002"/>
    <n v="0"/>
    <n v="0"/>
    <n v="0"/>
    <n v="0"/>
    <n v="3"/>
    <x v="1"/>
    <n v="0"/>
    <n v="6"/>
    <n v="0"/>
    <n v="0"/>
    <n v="20.43"/>
    <n v="0"/>
    <n v="0"/>
    <n v="17.702312702839738"/>
    <m/>
    <m/>
    <n v="16555.235501421899"/>
    <n v="0"/>
    <n v="0"/>
    <n v="14344.88280544906"/>
    <n v="0"/>
    <n v="0"/>
  </r>
  <r>
    <s v="Regular"/>
    <x v="0"/>
    <x v="0"/>
    <x v="1"/>
    <x v="0"/>
    <x v="1"/>
    <x v="0"/>
    <x v="1"/>
    <x v="11"/>
    <n v="1559"/>
    <n v="782.26911139000003"/>
    <n v="0"/>
    <n v="0"/>
    <n v="0"/>
    <n v="0"/>
    <n v="3"/>
    <x v="1"/>
    <n v="0"/>
    <n v="6"/>
    <n v="0"/>
    <n v="0"/>
    <n v="20.43"/>
    <n v="0"/>
    <n v="0"/>
    <n v="17.702312702839738"/>
    <m/>
    <m/>
    <n v="15981.7579456977"/>
    <n v="0"/>
    <n v="0"/>
    <n v="13847.972427598352"/>
    <n v="0"/>
    <n v="0"/>
  </r>
  <r>
    <s v="Regular"/>
    <x v="0"/>
    <x v="0"/>
    <x v="1"/>
    <x v="0"/>
    <x v="1"/>
    <x v="0"/>
    <x v="2"/>
    <x v="0"/>
    <n v="0"/>
    <n v="0"/>
    <n v="37.838000000000001"/>
    <n v="21.19501094348"/>
    <n v="0"/>
    <n v="0"/>
    <n v="0"/>
    <x v="1"/>
    <n v="0"/>
    <n v="0"/>
    <n v="7"/>
    <n v="0"/>
    <n v="0"/>
    <n v="1419.25"/>
    <n v="0"/>
    <m/>
    <n v="1282.8986662326251"/>
    <m/>
    <n v="0"/>
    <n v="30081.019281533991"/>
    <n v="0"/>
    <n v="0"/>
    <n v="27191.051270176387"/>
    <n v="0"/>
  </r>
  <r>
    <s v="Regular"/>
    <x v="0"/>
    <x v="0"/>
    <x v="1"/>
    <x v="0"/>
    <x v="1"/>
    <x v="0"/>
    <x v="2"/>
    <x v="1"/>
    <n v="0"/>
    <n v="0"/>
    <n v="34.56"/>
    <n v="19.6570637568"/>
    <n v="0"/>
    <n v="0"/>
    <n v="0"/>
    <x v="1"/>
    <n v="0"/>
    <n v="0"/>
    <n v="7"/>
    <n v="0"/>
    <n v="0"/>
    <n v="1419.25"/>
    <n v="0"/>
    <m/>
    <n v="1282.8986662326251"/>
    <m/>
    <n v="0"/>
    <n v="27898.2877368384"/>
    <n v="0"/>
    <n v="0"/>
    <n v="25218.020875648395"/>
    <n v="0"/>
  </r>
  <r>
    <s v="Regular"/>
    <x v="0"/>
    <x v="0"/>
    <x v="1"/>
    <x v="0"/>
    <x v="1"/>
    <x v="0"/>
    <x v="2"/>
    <x v="2"/>
    <n v="0"/>
    <n v="0"/>
    <n v="34.85"/>
    <n v="19.911656580500001"/>
    <n v="0"/>
    <n v="0"/>
    <n v="0"/>
    <x v="1"/>
    <n v="0"/>
    <n v="0"/>
    <n v="7"/>
    <n v="0"/>
    <n v="0"/>
    <n v="1419.25"/>
    <n v="0"/>
    <m/>
    <n v="1282.8986662326251"/>
    <m/>
    <n v="0"/>
    <n v="28259.618601874627"/>
    <n v="0"/>
    <n v="0"/>
    <n v="25544.637669605523"/>
    <n v="0"/>
  </r>
  <r>
    <s v="Regular"/>
    <x v="0"/>
    <x v="0"/>
    <x v="1"/>
    <x v="0"/>
    <x v="1"/>
    <x v="0"/>
    <x v="2"/>
    <x v="3"/>
    <n v="0"/>
    <n v="0"/>
    <n v="45.478000000000002"/>
    <n v="24.032740862360001"/>
    <n v="0"/>
    <n v="0"/>
    <n v="0"/>
    <x v="1"/>
    <n v="0"/>
    <n v="0"/>
    <n v="7"/>
    <n v="0"/>
    <n v="0"/>
    <n v="1419.25"/>
    <n v="0"/>
    <m/>
    <n v="1282.8986662326251"/>
    <m/>
    <n v="0"/>
    <n v="34108.467468904433"/>
    <n v="0"/>
    <n v="0"/>
    <n v="30831.571198235953"/>
    <n v="0"/>
  </r>
  <r>
    <s v="Regular"/>
    <x v="0"/>
    <x v="0"/>
    <x v="1"/>
    <x v="0"/>
    <x v="1"/>
    <x v="0"/>
    <x v="2"/>
    <x v="4"/>
    <n v="0"/>
    <n v="0"/>
    <n v="52.598999999999997"/>
    <n v="28.7452062228"/>
    <n v="0"/>
    <n v="0"/>
    <n v="0"/>
    <x v="1"/>
    <n v="0"/>
    <n v="0"/>
    <n v="7"/>
    <n v="0"/>
    <n v="0"/>
    <n v="1419.25"/>
    <n v="0"/>
    <m/>
    <n v="1282.8986662326251"/>
    <m/>
    <n v="0"/>
    <n v="40796.6339317089"/>
    <n v="0"/>
    <n v="0"/>
    <n v="36877.186723811879"/>
    <n v="0"/>
  </r>
  <r>
    <s v="Regular"/>
    <x v="0"/>
    <x v="0"/>
    <x v="1"/>
    <x v="0"/>
    <x v="1"/>
    <x v="0"/>
    <x v="2"/>
    <x v="5"/>
    <n v="0"/>
    <n v="0"/>
    <n v="51.326999999999998"/>
    <n v="27.832831548840002"/>
    <n v="0"/>
    <n v="0"/>
    <n v="0"/>
    <x v="1"/>
    <n v="0"/>
    <n v="0"/>
    <n v="7"/>
    <n v="0"/>
    <n v="0"/>
    <n v="1419.25"/>
    <n v="0"/>
    <m/>
    <n v="1282.8986662326251"/>
    <m/>
    <n v="0"/>
    <n v="39501.746175691173"/>
    <n v="0"/>
    <n v="0"/>
    <n v="35706.702471484168"/>
    <n v="0"/>
  </r>
  <r>
    <s v="Regular"/>
    <x v="0"/>
    <x v="0"/>
    <x v="1"/>
    <x v="0"/>
    <x v="1"/>
    <x v="0"/>
    <x v="2"/>
    <x v="6"/>
    <n v="0"/>
    <n v="0"/>
    <n v="50.866999999999997"/>
    <n v="27.760110799700001"/>
    <n v="0"/>
    <n v="0"/>
    <n v="0"/>
    <x v="1"/>
    <n v="0"/>
    <n v="0"/>
    <n v="7"/>
    <n v="0"/>
    <n v="0"/>
    <n v="1419.25"/>
    <n v="0"/>
    <m/>
    <n v="1282.8986662326251"/>
    <m/>
    <n v="0"/>
    <n v="39398.537252474227"/>
    <n v="0"/>
    <n v="0"/>
    <n v="35613.409119405027"/>
    <n v="0"/>
  </r>
  <r>
    <s v="Regular"/>
    <x v="0"/>
    <x v="0"/>
    <x v="1"/>
    <x v="0"/>
    <x v="1"/>
    <x v="0"/>
    <x v="2"/>
    <x v="7"/>
    <n v="0"/>
    <n v="0"/>
    <n v="57.411999999999999"/>
    <n v="30.320498353240001"/>
    <n v="0"/>
    <n v="0"/>
    <n v="0"/>
    <x v="1"/>
    <n v="0"/>
    <n v="0"/>
    <n v="7"/>
    <n v="0"/>
    <n v="0"/>
    <n v="1419.25"/>
    <n v="0"/>
    <m/>
    <n v="1282.8986662326251"/>
    <m/>
    <n v="0"/>
    <n v="43032.36728783587"/>
    <n v="0"/>
    <n v="0"/>
    <n v="38898.126896880101"/>
    <n v="0"/>
  </r>
  <r>
    <s v="Regular"/>
    <x v="0"/>
    <x v="0"/>
    <x v="1"/>
    <x v="0"/>
    <x v="1"/>
    <x v="0"/>
    <x v="2"/>
    <x v="8"/>
    <n v="0"/>
    <n v="0"/>
    <n v="46.329000000000001"/>
    <n v="25.329025626749999"/>
    <n v="0"/>
    <n v="0"/>
    <n v="0"/>
    <x v="1"/>
    <n v="0"/>
    <n v="0"/>
    <n v="7"/>
    <n v="0"/>
    <n v="0"/>
    <n v="1419.25"/>
    <n v="0"/>
    <m/>
    <n v="1282.8986662326251"/>
    <m/>
    <n v="0"/>
    <n v="35948.219620764939"/>
    <n v="0"/>
    <n v="0"/>
    <n v="32494.573193529555"/>
    <n v="0"/>
  </r>
  <r>
    <s v="Regular"/>
    <x v="0"/>
    <x v="0"/>
    <x v="1"/>
    <x v="0"/>
    <x v="1"/>
    <x v="0"/>
    <x v="2"/>
    <x v="9"/>
    <n v="0"/>
    <n v="0"/>
    <n v="48.935000000000002"/>
    <n v="25.7601777257"/>
    <n v="0"/>
    <n v="0"/>
    <n v="0"/>
    <x v="1"/>
    <n v="0"/>
    <n v="0"/>
    <n v="7"/>
    <n v="0"/>
    <n v="0"/>
    <n v="1419.25"/>
    <n v="0"/>
    <m/>
    <n v="1282.8986662326251"/>
    <m/>
    <n v="0"/>
    <n v="36560.132237199723"/>
    <n v="0"/>
    <n v="0"/>
    <n v="33047.697646215907"/>
    <n v="0"/>
  </r>
  <r>
    <s v="Regular"/>
    <x v="0"/>
    <x v="0"/>
    <x v="1"/>
    <x v="0"/>
    <x v="1"/>
    <x v="0"/>
    <x v="2"/>
    <x v="10"/>
    <n v="0"/>
    <n v="0"/>
    <n v="49.697000000000003"/>
    <n v="27.17038111275"/>
    <n v="0"/>
    <n v="0"/>
    <n v="0"/>
    <x v="1"/>
    <n v="0"/>
    <n v="0"/>
    <n v="7"/>
    <n v="0"/>
    <n v="0"/>
    <n v="1419.25"/>
    <n v="0"/>
    <m/>
    <n v="1282.8986662326251"/>
    <m/>
    <n v="0"/>
    <n v="38561.563394270437"/>
    <n v="0"/>
    <n v="0"/>
    <n v="34856.845690579088"/>
    <n v="0"/>
  </r>
  <r>
    <s v="Regular"/>
    <x v="0"/>
    <x v="0"/>
    <x v="1"/>
    <x v="0"/>
    <x v="1"/>
    <x v="0"/>
    <x v="2"/>
    <x v="11"/>
    <n v="0"/>
    <n v="0"/>
    <n v="48.795999999999999"/>
    <n v="25.68700587112"/>
    <n v="0"/>
    <n v="0"/>
    <n v="0"/>
    <x v="1"/>
    <n v="0"/>
    <n v="0"/>
    <n v="7"/>
    <n v="0"/>
    <n v="0"/>
    <n v="1419.25"/>
    <n v="0"/>
    <m/>
    <n v="1282.8986662326251"/>
    <m/>
    <n v="0"/>
    <n v="36456.283082587062"/>
    <n v="0"/>
    <n v="0"/>
    <n v="32953.825571569461"/>
    <n v="0"/>
  </r>
  <r>
    <s v="Regular"/>
    <x v="0"/>
    <x v="0"/>
    <x v="1"/>
    <x v="0"/>
    <x v="0"/>
    <x v="0"/>
    <x v="0"/>
    <x v="0"/>
    <n v="0"/>
    <n v="0"/>
    <n v="180.10599999999999"/>
    <n v="180.10599999999999"/>
    <n v="180.10599999999999"/>
    <n v="180.10599999999999"/>
    <n v="0"/>
    <x v="0"/>
    <n v="0"/>
    <n v="0"/>
    <n v="8"/>
    <n v="51"/>
    <n v="0"/>
    <n v="70.19"/>
    <n v="302.62"/>
    <m/>
    <n v="108.9218947768087"/>
    <n v="274.25476998219489"/>
    <n v="0"/>
    <n v="12641.64014"/>
    <n v="54503.67772"/>
    <n v="0"/>
    <n v="19617.486780671908"/>
    <n v="49394.929602413191"/>
  </r>
  <r>
    <s v="Regular"/>
    <x v="0"/>
    <x v="0"/>
    <x v="1"/>
    <x v="0"/>
    <x v="0"/>
    <x v="0"/>
    <x v="0"/>
    <x v="1"/>
    <n v="0"/>
    <n v="0"/>
    <n v="173.40199999999999"/>
    <n v="173.40199999999999"/>
    <n v="173.40199999999999"/>
    <n v="173.40199999999999"/>
    <n v="0"/>
    <x v="0"/>
    <n v="0"/>
    <n v="0"/>
    <n v="8"/>
    <n v="51"/>
    <n v="0"/>
    <n v="70.19"/>
    <n v="302.62"/>
    <m/>
    <n v="108.9218947768087"/>
    <n v="274.25476998219489"/>
    <n v="0"/>
    <n v="12171.086379999999"/>
    <n v="52474.913239999994"/>
    <n v="0"/>
    <n v="18887.274398088182"/>
    <n v="47556.325624452555"/>
  </r>
  <r>
    <s v="Regular"/>
    <x v="0"/>
    <x v="0"/>
    <x v="1"/>
    <x v="0"/>
    <x v="0"/>
    <x v="0"/>
    <x v="0"/>
    <x v="2"/>
    <n v="0"/>
    <n v="0"/>
    <n v="191.13900000000001"/>
    <n v="191.13900000000001"/>
    <n v="191.13900000000001"/>
    <n v="191.13900000000001"/>
    <n v="0"/>
    <x v="0"/>
    <n v="0"/>
    <n v="0"/>
    <n v="8"/>
    <n v="51"/>
    <n v="0"/>
    <n v="70.19"/>
    <n v="302.62"/>
    <m/>
    <n v="108.9218947768087"/>
    <n v="274.25476998219489"/>
    <n v="0"/>
    <n v="13416.046410000001"/>
    <n v="57842.484180000007"/>
    <n v="0"/>
    <n v="20819.222045744438"/>
    <n v="52420.782479626752"/>
  </r>
  <r>
    <s v="Regular"/>
    <x v="0"/>
    <x v="0"/>
    <x v="1"/>
    <x v="0"/>
    <x v="0"/>
    <x v="0"/>
    <x v="0"/>
    <x v="3"/>
    <n v="0"/>
    <n v="0"/>
    <n v="206.661"/>
    <n v="206.661"/>
    <n v="206.661"/>
    <n v="206.661"/>
    <n v="0"/>
    <x v="0"/>
    <n v="0"/>
    <n v="0"/>
    <n v="8"/>
    <n v="51"/>
    <n v="0"/>
    <n v="70.19"/>
    <n v="302.62"/>
    <m/>
    <n v="108.9218947768087"/>
    <n v="274.25476998219489"/>
    <n v="0"/>
    <n v="14505.53559"/>
    <n v="62539.751820000005"/>
    <n v="0"/>
    <n v="22509.907696470062"/>
    <n v="56677.765019290375"/>
  </r>
  <r>
    <s v="Regular"/>
    <x v="0"/>
    <x v="0"/>
    <x v="1"/>
    <x v="0"/>
    <x v="0"/>
    <x v="0"/>
    <x v="0"/>
    <x v="4"/>
    <n v="0"/>
    <n v="0"/>
    <n v="158.70099999999999"/>
    <n v="158.70099999999999"/>
    <n v="158.70099999999999"/>
    <n v="158.70099999999999"/>
    <n v="0"/>
    <x v="0"/>
    <n v="0"/>
    <n v="0"/>
    <n v="8"/>
    <n v="51"/>
    <n v="0"/>
    <n v="70.19"/>
    <n v="302.62"/>
    <m/>
    <n v="108.9218947768087"/>
    <n v="274.25476998219489"/>
    <n v="0"/>
    <n v="11139.223189999999"/>
    <n v="48026.096619999997"/>
    <n v="0"/>
    <n v="17286.013622974318"/>
    <n v="43524.506250944309"/>
  </r>
  <r>
    <s v="Regular"/>
    <x v="0"/>
    <x v="0"/>
    <x v="1"/>
    <x v="0"/>
    <x v="0"/>
    <x v="0"/>
    <x v="0"/>
    <x v="5"/>
    <n v="0"/>
    <n v="0"/>
    <n v="133.976"/>
    <n v="133.976"/>
    <n v="133.976"/>
    <n v="133.976"/>
    <n v="0"/>
    <x v="0"/>
    <n v="0"/>
    <n v="0"/>
    <n v="8"/>
    <n v="51"/>
    <n v="0"/>
    <n v="70.19"/>
    <n v="302.62"/>
    <m/>
    <n v="108.9218947768087"/>
    <n v="274.25476998219489"/>
    <n v="0"/>
    <n v="9403.7754399999994"/>
    <n v="40543.81712"/>
    <n v="0"/>
    <n v="14592.919774617721"/>
    <n v="36743.55706313454"/>
  </r>
  <r>
    <s v="Regular"/>
    <x v="0"/>
    <x v="0"/>
    <x v="1"/>
    <x v="0"/>
    <x v="0"/>
    <x v="0"/>
    <x v="0"/>
    <x v="6"/>
    <n v="0"/>
    <n v="0"/>
    <n v="138.666"/>
    <n v="138.666"/>
    <n v="138.666"/>
    <n v="138.666"/>
    <n v="0"/>
    <x v="0"/>
    <n v="0"/>
    <n v="0"/>
    <n v="8"/>
    <n v="51"/>
    <n v="0"/>
    <n v="70.19"/>
    <n v="302.62"/>
    <m/>
    <n v="108.9218947768087"/>
    <n v="274.25476998219489"/>
    <n v="0"/>
    <n v="9732.9665399999994"/>
    <n v="41963.104919999998"/>
    <n v="0"/>
    <n v="15103.763461120954"/>
    <n v="38029.811934351033"/>
  </r>
  <r>
    <s v="Regular"/>
    <x v="0"/>
    <x v="0"/>
    <x v="1"/>
    <x v="0"/>
    <x v="0"/>
    <x v="0"/>
    <x v="0"/>
    <x v="7"/>
    <n v="0"/>
    <n v="0"/>
    <n v="150.70599999999999"/>
    <n v="150.70599999999999"/>
    <n v="150.70599999999999"/>
    <n v="150.70599999999999"/>
    <n v="0"/>
    <x v="0"/>
    <n v="0"/>
    <n v="0"/>
    <n v="8"/>
    <n v="51"/>
    <n v="0"/>
    <n v="70.19"/>
    <n v="302.62"/>
    <m/>
    <n v="108.9218947768087"/>
    <n v="274.25476998219489"/>
    <n v="0"/>
    <n v="10578.054139999998"/>
    <n v="45606.649719999994"/>
    <n v="0"/>
    <n v="16415.18307423373"/>
    <n v="41331.839364936663"/>
  </r>
  <r>
    <s v="Regular"/>
    <x v="0"/>
    <x v="0"/>
    <x v="1"/>
    <x v="0"/>
    <x v="0"/>
    <x v="0"/>
    <x v="0"/>
    <x v="8"/>
    <n v="0"/>
    <n v="0"/>
    <n v="119.78400000000001"/>
    <n v="119.78400000000001"/>
    <n v="119.78400000000001"/>
    <n v="119.78400000000001"/>
    <n v="0"/>
    <x v="0"/>
    <n v="0"/>
    <n v="0"/>
    <n v="8"/>
    <n v="51"/>
    <n v="0"/>
    <n v="70.19"/>
    <n v="302.62"/>
    <m/>
    <n v="108.9218947768087"/>
    <n v="274.25476998219489"/>
    <n v="0"/>
    <n v="8407.6389600000002"/>
    <n v="36249.034080000005"/>
    <n v="0"/>
    <n v="13047.100243945253"/>
    <n v="32851.333367547231"/>
  </r>
  <r>
    <s v="Regular"/>
    <x v="0"/>
    <x v="0"/>
    <x v="1"/>
    <x v="0"/>
    <x v="0"/>
    <x v="0"/>
    <x v="0"/>
    <x v="9"/>
    <n v="0"/>
    <n v="0"/>
    <n v="148.124"/>
    <n v="148.124"/>
    <n v="148.124"/>
    <n v="148.124"/>
    <n v="0"/>
    <x v="0"/>
    <n v="0"/>
    <n v="0"/>
    <n v="8"/>
    <n v="51"/>
    <n v="0"/>
    <n v="70.19"/>
    <n v="302.62"/>
    <m/>
    <n v="108.9218947768087"/>
    <n v="274.25476998219489"/>
    <n v="0"/>
    <n v="10396.823559999999"/>
    <n v="44825.284879999999"/>
    <n v="0"/>
    <n v="16133.946741920012"/>
    <n v="40623.713548842636"/>
  </r>
  <r>
    <s v="Regular"/>
    <x v="0"/>
    <x v="0"/>
    <x v="1"/>
    <x v="0"/>
    <x v="0"/>
    <x v="0"/>
    <x v="0"/>
    <x v="10"/>
    <n v="0"/>
    <n v="0"/>
    <n v="143.33099999999999"/>
    <n v="143.33099999999999"/>
    <n v="143.33099999999999"/>
    <n v="143.33099999999999"/>
    <n v="0"/>
    <x v="0"/>
    <n v="0"/>
    <n v="0"/>
    <n v="8"/>
    <n v="51"/>
    <n v="0"/>
    <n v="70.19"/>
    <n v="302.62"/>
    <m/>
    <n v="108.9218947768087"/>
    <n v="274.25476998219489"/>
    <n v="0"/>
    <n v="10060.402889999999"/>
    <n v="43374.827219999999"/>
    <n v="0"/>
    <n v="15611.884100254767"/>
    <n v="39309.210436317975"/>
  </r>
  <r>
    <s v="Regular"/>
    <x v="0"/>
    <x v="0"/>
    <x v="1"/>
    <x v="0"/>
    <x v="0"/>
    <x v="0"/>
    <x v="0"/>
    <x v="11"/>
    <n v="0"/>
    <n v="0"/>
    <n v="143.77099999999999"/>
    <n v="143.77099999999999"/>
    <n v="143.77099999999999"/>
    <n v="143.77099999999999"/>
    <n v="0"/>
    <x v="0"/>
    <n v="0"/>
    <n v="0"/>
    <n v="8"/>
    <n v="51"/>
    <n v="0"/>
    <n v="70.19"/>
    <n v="302.62"/>
    <m/>
    <n v="108.9218947768087"/>
    <n v="274.25476998219489"/>
    <n v="0"/>
    <n v="10091.286489999999"/>
    <n v="43507.980019999995"/>
    <n v="0"/>
    <n v="15659.809733956563"/>
    <n v="39429.88253511014"/>
  </r>
  <r>
    <s v="Regular"/>
    <x v="0"/>
    <x v="0"/>
    <x v="1"/>
    <x v="0"/>
    <x v="0"/>
    <x v="0"/>
    <x v="1"/>
    <x v="0"/>
    <n v="1060"/>
    <n v="1060"/>
    <n v="0"/>
    <n v="0"/>
    <n v="0"/>
    <n v="0"/>
    <n v="6"/>
    <x v="0"/>
    <n v="0"/>
    <n v="6"/>
    <n v="0"/>
    <n v="0"/>
    <n v="20.43"/>
    <n v="0"/>
    <n v="0"/>
    <n v="17.702312702839738"/>
    <m/>
    <m/>
    <n v="21655.8"/>
    <n v="0"/>
    <n v="0"/>
    <n v="18764.451465010123"/>
    <n v="0"/>
    <n v="0"/>
  </r>
  <r>
    <s v="Regular"/>
    <x v="0"/>
    <x v="0"/>
    <x v="1"/>
    <x v="0"/>
    <x v="0"/>
    <x v="0"/>
    <x v="1"/>
    <x v="1"/>
    <n v="1057"/>
    <n v="1057"/>
    <n v="0"/>
    <n v="0"/>
    <n v="0"/>
    <n v="0"/>
    <n v="6"/>
    <x v="0"/>
    <n v="0"/>
    <n v="6"/>
    <n v="0"/>
    <n v="0"/>
    <n v="20.43"/>
    <n v="0"/>
    <n v="0"/>
    <n v="17.702312702839738"/>
    <m/>
    <m/>
    <n v="21594.51"/>
    <n v="0"/>
    <n v="0"/>
    <n v="18711.344526901601"/>
    <n v="0"/>
    <n v="0"/>
  </r>
  <r>
    <s v="Regular"/>
    <x v="0"/>
    <x v="0"/>
    <x v="1"/>
    <x v="0"/>
    <x v="0"/>
    <x v="0"/>
    <x v="1"/>
    <x v="2"/>
    <n v="955"/>
    <n v="955"/>
    <n v="0"/>
    <n v="0"/>
    <n v="0"/>
    <n v="0"/>
    <n v="6"/>
    <x v="0"/>
    <n v="0"/>
    <n v="6"/>
    <n v="0"/>
    <n v="0"/>
    <n v="20.43"/>
    <n v="0"/>
    <n v="0"/>
    <n v="17.702312702839738"/>
    <m/>
    <m/>
    <n v="19510.650000000001"/>
    <n v="0"/>
    <n v="0"/>
    <n v="16905.70863121195"/>
    <n v="0"/>
    <n v="0"/>
  </r>
  <r>
    <s v="Regular"/>
    <x v="0"/>
    <x v="0"/>
    <x v="1"/>
    <x v="0"/>
    <x v="0"/>
    <x v="0"/>
    <x v="1"/>
    <x v="3"/>
    <n v="983"/>
    <n v="983"/>
    <n v="0"/>
    <n v="0"/>
    <n v="0"/>
    <n v="0"/>
    <n v="6"/>
    <x v="0"/>
    <n v="0"/>
    <n v="6"/>
    <n v="0"/>
    <n v="0"/>
    <n v="20.43"/>
    <n v="0"/>
    <n v="0"/>
    <n v="17.702312702839738"/>
    <m/>
    <m/>
    <n v="20082.689999999999"/>
    <n v="0"/>
    <n v="0"/>
    <n v="17401.373386891461"/>
    <n v="0"/>
    <n v="0"/>
  </r>
  <r>
    <s v="Regular"/>
    <x v="0"/>
    <x v="0"/>
    <x v="1"/>
    <x v="0"/>
    <x v="0"/>
    <x v="0"/>
    <x v="1"/>
    <x v="4"/>
    <n v="1079"/>
    <n v="1079"/>
    <n v="0"/>
    <n v="0"/>
    <n v="0"/>
    <n v="0"/>
    <n v="6"/>
    <x v="0"/>
    <n v="0"/>
    <n v="6"/>
    <n v="0"/>
    <n v="0"/>
    <n v="20.43"/>
    <n v="0"/>
    <n v="0"/>
    <n v="17.702312702839738"/>
    <m/>
    <m/>
    <n v="22043.97"/>
    <n v="0"/>
    <n v="0"/>
    <n v="19100.795406364075"/>
    <n v="0"/>
    <n v="0"/>
  </r>
  <r>
    <s v="Regular"/>
    <x v="0"/>
    <x v="0"/>
    <x v="1"/>
    <x v="0"/>
    <x v="0"/>
    <x v="0"/>
    <x v="1"/>
    <x v="5"/>
    <n v="874"/>
    <n v="874"/>
    <n v="0"/>
    <n v="0"/>
    <n v="0"/>
    <n v="0"/>
    <n v="6"/>
    <x v="0"/>
    <n v="0"/>
    <n v="6"/>
    <n v="0"/>
    <n v="0"/>
    <n v="20.43"/>
    <n v="0"/>
    <n v="0"/>
    <n v="17.702312702839738"/>
    <m/>
    <m/>
    <n v="17855.82"/>
    <n v="0"/>
    <n v="0"/>
    <n v="15471.821302281931"/>
    <n v="0"/>
    <n v="0"/>
  </r>
  <r>
    <s v="Regular"/>
    <x v="0"/>
    <x v="0"/>
    <x v="1"/>
    <x v="0"/>
    <x v="0"/>
    <x v="0"/>
    <x v="1"/>
    <x v="6"/>
    <n v="936"/>
    <n v="936"/>
    <n v="0"/>
    <n v="0"/>
    <n v="0"/>
    <n v="0"/>
    <n v="7"/>
    <x v="0"/>
    <n v="0"/>
    <n v="6"/>
    <n v="0"/>
    <n v="0"/>
    <n v="20.43"/>
    <n v="0"/>
    <n v="0"/>
    <n v="17.702312702839738"/>
    <m/>
    <m/>
    <n v="19122.48"/>
    <n v="0"/>
    <n v="0"/>
    <n v="16569.364689857994"/>
    <n v="0"/>
    <n v="0"/>
  </r>
  <r>
    <s v="Regular"/>
    <x v="0"/>
    <x v="0"/>
    <x v="1"/>
    <x v="0"/>
    <x v="0"/>
    <x v="0"/>
    <x v="1"/>
    <x v="7"/>
    <n v="887"/>
    <n v="887"/>
    <n v="0"/>
    <n v="0"/>
    <n v="0"/>
    <n v="0"/>
    <n v="6"/>
    <x v="0"/>
    <n v="0"/>
    <n v="6"/>
    <n v="0"/>
    <n v="0"/>
    <n v="20.43"/>
    <n v="0"/>
    <n v="0"/>
    <n v="17.702312702839738"/>
    <m/>
    <m/>
    <n v="18121.41"/>
    <n v="0"/>
    <n v="0"/>
    <n v="15701.951367418847"/>
    <n v="0"/>
    <n v="0"/>
  </r>
  <r>
    <s v="Regular"/>
    <x v="0"/>
    <x v="0"/>
    <x v="1"/>
    <x v="0"/>
    <x v="0"/>
    <x v="0"/>
    <x v="1"/>
    <x v="8"/>
    <n v="923"/>
    <n v="923"/>
    <n v="0"/>
    <n v="0"/>
    <n v="0"/>
    <n v="0"/>
    <n v="6"/>
    <x v="0"/>
    <n v="0"/>
    <n v="6"/>
    <n v="0"/>
    <n v="0"/>
    <n v="20.43"/>
    <n v="0"/>
    <n v="0"/>
    <n v="17.702312702839738"/>
    <m/>
    <m/>
    <n v="18856.89"/>
    <n v="0"/>
    <n v="0"/>
    <n v="16339.234624721077"/>
    <n v="0"/>
    <n v="0"/>
  </r>
  <r>
    <s v="Regular"/>
    <x v="0"/>
    <x v="0"/>
    <x v="1"/>
    <x v="0"/>
    <x v="0"/>
    <x v="0"/>
    <x v="1"/>
    <x v="9"/>
    <n v="902"/>
    <n v="902"/>
    <n v="0"/>
    <n v="0"/>
    <n v="0"/>
    <n v="0"/>
    <n v="6"/>
    <x v="0"/>
    <n v="0"/>
    <n v="6"/>
    <n v="0"/>
    <n v="0"/>
    <n v="20.43"/>
    <n v="0"/>
    <n v="0"/>
    <n v="17.702312702839738"/>
    <m/>
    <m/>
    <n v="18427.86"/>
    <n v="0"/>
    <n v="0"/>
    <n v="15967.486057961443"/>
    <n v="0"/>
    <n v="0"/>
  </r>
  <r>
    <s v="Regular"/>
    <x v="0"/>
    <x v="0"/>
    <x v="1"/>
    <x v="0"/>
    <x v="0"/>
    <x v="0"/>
    <x v="1"/>
    <x v="10"/>
    <n v="931"/>
    <n v="931"/>
    <n v="0"/>
    <n v="0"/>
    <n v="0"/>
    <n v="0"/>
    <n v="6"/>
    <x v="0"/>
    <n v="0"/>
    <n v="6"/>
    <n v="0"/>
    <n v="0"/>
    <n v="20.43"/>
    <n v="0"/>
    <n v="0"/>
    <n v="17.702312702839738"/>
    <m/>
    <m/>
    <n v="19020.329999999998"/>
    <n v="0"/>
    <n v="0"/>
    <n v="16480.853126343794"/>
    <n v="0"/>
    <n v="0"/>
  </r>
  <r>
    <s v="Regular"/>
    <x v="0"/>
    <x v="0"/>
    <x v="1"/>
    <x v="0"/>
    <x v="0"/>
    <x v="0"/>
    <x v="1"/>
    <x v="11"/>
    <n v="930"/>
    <n v="930"/>
    <n v="0"/>
    <n v="0"/>
    <n v="0"/>
    <n v="0"/>
    <n v="6"/>
    <x v="0"/>
    <n v="0"/>
    <n v="6"/>
    <n v="0"/>
    <n v="0"/>
    <n v="20.43"/>
    <n v="0"/>
    <n v="0"/>
    <n v="17.702312702839738"/>
    <m/>
    <m/>
    <n v="18999.900000000001"/>
    <n v="0"/>
    <n v="0"/>
    <n v="16463.150813640957"/>
    <n v="0"/>
    <n v="0"/>
  </r>
  <r>
    <s v="Regular"/>
    <x v="0"/>
    <x v="0"/>
    <x v="1"/>
    <x v="0"/>
    <x v="0"/>
    <x v="0"/>
    <x v="2"/>
    <x v="0"/>
    <n v="0"/>
    <n v="0"/>
    <n v="9.4670000000000005"/>
    <n v="9.4670000000000005"/>
    <n v="9.4670000000000005"/>
    <n v="9.4670000000000005"/>
    <n v="0"/>
    <x v="0"/>
    <n v="0"/>
    <n v="0"/>
    <n v="7"/>
    <n v="50"/>
    <n v="0"/>
    <n v="1419.25"/>
    <n v="518.44000000000005"/>
    <m/>
    <n v="1282.8986662326251"/>
    <n v="469.6750309272033"/>
    <n v="0"/>
    <n v="13436.03975"/>
    <n v="4908.0714800000005"/>
    <n v="0"/>
    <n v="12145.201673224263"/>
    <n v="4446.4135177878343"/>
  </r>
  <r>
    <s v="Regular"/>
    <x v="0"/>
    <x v="0"/>
    <x v="1"/>
    <x v="0"/>
    <x v="0"/>
    <x v="0"/>
    <x v="2"/>
    <x v="1"/>
    <n v="0"/>
    <n v="0"/>
    <n v="8.6820000000000004"/>
    <n v="8.6820000000000004"/>
    <n v="8.6820000000000004"/>
    <n v="8.6820000000000004"/>
    <n v="0"/>
    <x v="0"/>
    <n v="0"/>
    <n v="0"/>
    <n v="7"/>
    <n v="50"/>
    <n v="0"/>
    <n v="1419.25"/>
    <n v="518.44000000000005"/>
    <m/>
    <n v="1282.8986662326251"/>
    <n v="469.6750309272033"/>
    <n v="0"/>
    <n v="12321.9285"/>
    <n v="4501.0960800000003"/>
    <n v="0"/>
    <n v="11138.126220231652"/>
    <n v="4077.718618509979"/>
  </r>
  <r>
    <s v="Regular"/>
    <x v="0"/>
    <x v="0"/>
    <x v="1"/>
    <x v="0"/>
    <x v="0"/>
    <x v="0"/>
    <x v="2"/>
    <x v="2"/>
    <n v="0"/>
    <n v="0"/>
    <n v="7.7679999999999998"/>
    <n v="7.7679999999999998"/>
    <n v="7.7679999999999998"/>
    <n v="7.7679999999999998"/>
    <n v="0"/>
    <x v="0"/>
    <n v="0"/>
    <n v="0"/>
    <n v="7"/>
    <n v="50"/>
    <n v="0"/>
    <n v="1419.25"/>
    <n v="518.44000000000005"/>
    <m/>
    <n v="1282.8986662326251"/>
    <n v="469.6750309272033"/>
    <n v="0"/>
    <n v="11024.734"/>
    <n v="4027.2419200000004"/>
    <n v="0"/>
    <n v="9965.5568392950318"/>
    <n v="3648.4356402425151"/>
  </r>
  <r>
    <s v="Regular"/>
    <x v="0"/>
    <x v="0"/>
    <x v="1"/>
    <x v="0"/>
    <x v="0"/>
    <x v="0"/>
    <x v="2"/>
    <x v="3"/>
    <n v="0"/>
    <n v="0"/>
    <n v="7.8209999999999997"/>
    <n v="7.8209999999999997"/>
    <n v="7.8209999999999997"/>
    <n v="7.8209999999999997"/>
    <n v="0"/>
    <x v="0"/>
    <n v="0"/>
    <n v="0"/>
    <n v="7"/>
    <n v="50"/>
    <n v="0"/>
    <n v="1419.25"/>
    <n v="518.44000000000005"/>
    <m/>
    <n v="1282.8986662326251"/>
    <n v="469.6750309272033"/>
    <n v="0"/>
    <n v="11099.954249999999"/>
    <n v="4054.7192400000004"/>
    <n v="0"/>
    <n v="10033.550468605361"/>
    <n v="3673.3284168816567"/>
  </r>
  <r>
    <s v="Regular"/>
    <x v="0"/>
    <x v="0"/>
    <x v="1"/>
    <x v="0"/>
    <x v="0"/>
    <x v="0"/>
    <x v="2"/>
    <x v="4"/>
    <n v="0"/>
    <n v="0"/>
    <n v="5.6539999999999999"/>
    <n v="5.6539999999999999"/>
    <n v="5.6539999999999999"/>
    <n v="5.6539999999999999"/>
    <n v="0"/>
    <x v="0"/>
    <n v="0"/>
    <n v="0"/>
    <n v="7"/>
    <n v="50"/>
    <n v="0"/>
    <n v="1419.25"/>
    <n v="518.44000000000005"/>
    <m/>
    <n v="1282.8986662326251"/>
    <n v="469.6750309272033"/>
    <n v="0"/>
    <n v="8024.4394999999995"/>
    <n v="2931.2597600000004"/>
    <n v="0"/>
    <n v="7253.5090588792627"/>
    <n v="2655.5426248624076"/>
  </r>
  <r>
    <s v="Regular"/>
    <x v="0"/>
    <x v="0"/>
    <x v="1"/>
    <x v="0"/>
    <x v="0"/>
    <x v="0"/>
    <x v="2"/>
    <x v="5"/>
    <n v="0"/>
    <n v="0"/>
    <n v="4.7830000000000004"/>
    <n v="4.7830000000000004"/>
    <n v="4.7830000000000004"/>
    <n v="4.7830000000000004"/>
    <n v="0"/>
    <x v="0"/>
    <n v="0"/>
    <n v="0"/>
    <n v="7"/>
    <n v="50"/>
    <n v="0"/>
    <n v="1419.25"/>
    <n v="518.44000000000005"/>
    <m/>
    <n v="1282.8986662326251"/>
    <n v="469.6750309272033"/>
    <n v="0"/>
    <n v="6788.2727500000001"/>
    <n v="2479.6985200000004"/>
    <n v="0"/>
    <n v="6136.1043205906462"/>
    <n v="2246.4556729248134"/>
  </r>
  <r>
    <s v="Regular"/>
    <x v="0"/>
    <x v="0"/>
    <x v="1"/>
    <x v="0"/>
    <x v="0"/>
    <x v="0"/>
    <x v="2"/>
    <x v="6"/>
    <n v="0"/>
    <n v="0"/>
    <n v="4.8639999999999999"/>
    <n v="4.8639999999999999"/>
    <n v="4.8639999999999999"/>
    <n v="4.8639999999999999"/>
    <n v="0"/>
    <x v="0"/>
    <n v="0"/>
    <n v="0"/>
    <n v="7"/>
    <n v="50"/>
    <n v="0"/>
    <n v="1419.25"/>
    <n v="518.44000000000005"/>
    <m/>
    <n v="1282.8986662326251"/>
    <n v="469.6750309272033"/>
    <n v="0"/>
    <n v="6903.232"/>
    <n v="2521.6921600000001"/>
    <n v="0"/>
    <n v="6240.0191125554884"/>
    <n v="2284.4993504299168"/>
  </r>
  <r>
    <s v="Regular"/>
    <x v="0"/>
    <x v="0"/>
    <x v="1"/>
    <x v="0"/>
    <x v="0"/>
    <x v="0"/>
    <x v="2"/>
    <x v="7"/>
    <n v="0"/>
    <n v="0"/>
    <n v="5.569"/>
    <n v="5.569"/>
    <n v="5.569"/>
    <n v="5.569"/>
    <n v="0"/>
    <x v="0"/>
    <n v="0"/>
    <n v="0"/>
    <n v="7"/>
    <n v="50"/>
    <n v="0"/>
    <n v="1419.25"/>
    <n v="518.44000000000005"/>
    <m/>
    <n v="1282.8986662326251"/>
    <n v="469.6750309272033"/>
    <n v="0"/>
    <n v="7903.8032499999999"/>
    <n v="2887.1923600000005"/>
    <n v="0"/>
    <n v="7144.4626722494895"/>
    <n v="2615.6202472335949"/>
  </r>
  <r>
    <s v="Regular"/>
    <x v="0"/>
    <x v="0"/>
    <x v="1"/>
    <x v="0"/>
    <x v="0"/>
    <x v="0"/>
    <x v="2"/>
    <x v="8"/>
    <n v="0"/>
    <n v="0"/>
    <n v="3.931"/>
    <n v="3.931"/>
    <n v="3.931"/>
    <n v="3.931"/>
    <n v="0"/>
    <x v="0"/>
    <n v="0"/>
    <n v="0"/>
    <n v="7"/>
    <n v="50"/>
    <n v="0"/>
    <n v="1419.25"/>
    <n v="518.44000000000005"/>
    <m/>
    <n v="1282.8986662326251"/>
    <n v="469.6750309272033"/>
    <n v="0"/>
    <n v="5579.0717500000001"/>
    <n v="2037.9876400000003"/>
    <n v="0"/>
    <n v="5043.0746569604498"/>
    <n v="1846.2925465748363"/>
  </r>
  <r>
    <s v="Regular"/>
    <x v="0"/>
    <x v="0"/>
    <x v="1"/>
    <x v="0"/>
    <x v="0"/>
    <x v="0"/>
    <x v="2"/>
    <x v="9"/>
    <n v="0"/>
    <n v="0"/>
    <n v="5.6840000000000002"/>
    <n v="5.6840000000000002"/>
    <n v="5.6840000000000002"/>
    <n v="5.6840000000000002"/>
    <n v="0"/>
    <x v="0"/>
    <n v="0"/>
    <n v="0"/>
    <n v="7"/>
    <n v="50"/>
    <n v="0"/>
    <n v="1419.25"/>
    <n v="518.44000000000005"/>
    <m/>
    <n v="1282.8986662326251"/>
    <n v="469.6750309272033"/>
    <n v="0"/>
    <n v="8067.0169999999998"/>
    <n v="2946.8129600000002"/>
    <n v="0"/>
    <n v="7291.9960188662417"/>
    <n v="2669.6328757902238"/>
  </r>
  <r>
    <s v="Regular"/>
    <x v="0"/>
    <x v="0"/>
    <x v="1"/>
    <x v="0"/>
    <x v="0"/>
    <x v="0"/>
    <x v="2"/>
    <x v="10"/>
    <n v="0"/>
    <n v="0"/>
    <n v="5.5490000000000004"/>
    <n v="5.5490000000000004"/>
    <n v="5.5490000000000004"/>
    <n v="5.5490000000000004"/>
    <n v="0"/>
    <x v="0"/>
    <n v="0"/>
    <n v="0"/>
    <n v="7"/>
    <n v="50"/>
    <n v="0"/>
    <n v="1419.25"/>
    <n v="518.44000000000005"/>
    <m/>
    <n v="1282.8986662326251"/>
    <n v="469.6750309272033"/>
    <n v="0"/>
    <n v="7875.4182500000006"/>
    <n v="2876.8235600000007"/>
    <n v="0"/>
    <n v="7118.8046989248378"/>
    <n v="2606.2267466150511"/>
  </r>
  <r>
    <s v="Regular"/>
    <x v="0"/>
    <x v="0"/>
    <x v="1"/>
    <x v="0"/>
    <x v="0"/>
    <x v="0"/>
    <x v="2"/>
    <x v="11"/>
    <n v="0"/>
    <n v="0"/>
    <n v="4.47"/>
    <n v="4.47"/>
    <n v="4.47"/>
    <n v="4.47"/>
    <n v="0"/>
    <x v="0"/>
    <n v="0"/>
    <n v="0"/>
    <n v="7"/>
    <n v="50"/>
    <n v="0"/>
    <n v="1419.25"/>
    <n v="518.44000000000005"/>
    <m/>
    <n v="1282.8986662326251"/>
    <n v="469.6750309272033"/>
    <n v="0"/>
    <n v="6344.0474999999997"/>
    <n v="2317.4268000000002"/>
    <n v="0"/>
    <n v="5734.5570380598338"/>
    <n v="2099.4473882445986"/>
  </r>
  <r>
    <s v="Regular"/>
    <x v="1"/>
    <x v="1"/>
    <x v="2"/>
    <x v="1"/>
    <x v="0"/>
    <x v="0"/>
    <x v="1"/>
    <x v="0"/>
    <n v="0"/>
    <n v="0"/>
    <n v="542.63900000000001"/>
    <n v="542.63900000000001"/>
    <n v="542.63900000000001"/>
    <n v="542.63900000000001"/>
    <n v="2963"/>
    <x v="0"/>
    <n v="0"/>
    <n v="0"/>
    <n v="18"/>
    <n v="56"/>
    <n v="0"/>
    <n v="404.34"/>
    <n v="320.60000000000002"/>
    <m/>
    <n v="491.11832478559"/>
    <n v="290.53979172761228"/>
    <n v="0"/>
    <n v="219410.65325999999"/>
    <n v="173970.06340000001"/>
    <n v="0"/>
    <n v="266499.95664332778"/>
    <n v="157658.22204327979"/>
  </r>
  <r>
    <s v="Sistema de Compensação"/>
    <x v="1"/>
    <x v="1"/>
    <x v="2"/>
    <x v="1"/>
    <x v="0"/>
    <x v="0"/>
    <x v="1"/>
    <x v="0"/>
    <n v="0"/>
    <n v="0"/>
    <n v="2.3889999999999998"/>
    <n v="2.3889999999999998"/>
    <n v="2.3889999999999998"/>
    <n v="2.3889999999999998"/>
    <n v="21"/>
    <x v="0"/>
    <n v="0"/>
    <n v="0"/>
    <n v="18"/>
    <n v="56"/>
    <n v="0"/>
    <n v="404.34"/>
    <n v="320.60000000000002"/>
    <m/>
    <n v="491.11832478559"/>
    <n v="290.53979172761228"/>
    <n v="0"/>
    <n v="965.96825999999987"/>
    <n v="765.91340000000002"/>
    <n v="0"/>
    <n v="1173.2816779127745"/>
    <n v="694.09956243726572"/>
  </r>
  <r>
    <s v="Regular"/>
    <x v="1"/>
    <x v="1"/>
    <x v="2"/>
    <x v="1"/>
    <x v="0"/>
    <x v="0"/>
    <x v="1"/>
    <x v="1"/>
    <n v="0"/>
    <n v="0"/>
    <n v="502.65699999999998"/>
    <n v="502.65699999999998"/>
    <n v="502.65699999999998"/>
    <n v="502.65699999999998"/>
    <n v="2965"/>
    <x v="0"/>
    <n v="0"/>
    <n v="0"/>
    <n v="18"/>
    <n v="56"/>
    <n v="0"/>
    <n v="404.34"/>
    <n v="320.60000000000002"/>
    <m/>
    <n v="491.11832478559"/>
    <n v="290.53979172761228"/>
    <n v="0"/>
    <n v="203244.33137999999"/>
    <n v="161151.83420000001"/>
    <n v="0"/>
    <n v="246864.0637817503"/>
    <n v="146041.8600904264"/>
  </r>
  <r>
    <s v="Sistema de Compensação"/>
    <x v="1"/>
    <x v="1"/>
    <x v="2"/>
    <x v="1"/>
    <x v="0"/>
    <x v="0"/>
    <x v="1"/>
    <x v="1"/>
    <n v="0"/>
    <n v="0"/>
    <n v="2.5299999999999998"/>
    <n v="2.5299999999999998"/>
    <n v="2.5299999999999998"/>
    <n v="2.5299999999999998"/>
    <n v="23"/>
    <x v="0"/>
    <n v="0"/>
    <n v="0"/>
    <n v="18"/>
    <n v="56"/>
    <n v="0"/>
    <n v="404.34"/>
    <n v="320.60000000000002"/>
    <m/>
    <n v="491.11832478559"/>
    <n v="290.53979172761228"/>
    <n v="0"/>
    <n v="1022.9801999999999"/>
    <n v="811.11799999999994"/>
    <n v="0"/>
    <n v="1242.5293617075426"/>
    <n v="735.06567307085902"/>
  </r>
  <r>
    <s v="Regular"/>
    <x v="1"/>
    <x v="1"/>
    <x v="2"/>
    <x v="1"/>
    <x v="0"/>
    <x v="0"/>
    <x v="1"/>
    <x v="2"/>
    <n v="0"/>
    <n v="0"/>
    <n v="562.58399999999995"/>
    <n v="562.58399999999995"/>
    <n v="562.58399999999995"/>
    <n v="562.58399999999995"/>
    <n v="2968"/>
    <x v="0"/>
    <n v="0"/>
    <n v="0"/>
    <n v="18"/>
    <n v="56"/>
    <n v="0"/>
    <n v="404.34"/>
    <n v="320.60000000000002"/>
    <m/>
    <n v="491.11832478559"/>
    <n v="290.53979172761228"/>
    <n v="0"/>
    <n v="227475.21455999996"/>
    <n v="180364.43039999998"/>
    <n v="0"/>
    <n v="276295.31163117633"/>
    <n v="163453.03818928701"/>
  </r>
  <r>
    <s v="Sistema de Compensação"/>
    <x v="1"/>
    <x v="1"/>
    <x v="2"/>
    <x v="1"/>
    <x v="0"/>
    <x v="0"/>
    <x v="1"/>
    <x v="2"/>
    <n v="0"/>
    <n v="0"/>
    <n v="2.69"/>
    <n v="2.69"/>
    <n v="2.69"/>
    <n v="2.69"/>
    <n v="24"/>
    <x v="0"/>
    <n v="0"/>
    <n v="0"/>
    <n v="18"/>
    <n v="56"/>
    <n v="0"/>
    <n v="404.34"/>
    <n v="320.60000000000002"/>
    <m/>
    <n v="491.11832478559"/>
    <n v="290.53979172761228"/>
    <n v="0"/>
    <n v="1087.6745999999998"/>
    <n v="862.41399999999999"/>
    <n v="0"/>
    <n v="1321.1082936732371"/>
    <n v="781.55203974727704"/>
  </r>
  <r>
    <s v="Regular"/>
    <x v="1"/>
    <x v="1"/>
    <x v="2"/>
    <x v="1"/>
    <x v="0"/>
    <x v="0"/>
    <x v="1"/>
    <x v="3"/>
    <n v="0"/>
    <n v="0"/>
    <n v="559.34100000000001"/>
    <n v="559.34100000000001"/>
    <n v="559.34100000000001"/>
    <n v="559.34100000000001"/>
    <n v="2956"/>
    <x v="0"/>
    <n v="0"/>
    <n v="0"/>
    <n v="18"/>
    <n v="56"/>
    <n v="0"/>
    <n v="404.34"/>
    <n v="320.60000000000002"/>
    <m/>
    <n v="491.11832478559"/>
    <n v="290.53979172761228"/>
    <n v="0"/>
    <n v="226163.93993999998"/>
    <n v="179324.72460000002"/>
    <n v="0"/>
    <n v="274702.6149038967"/>
    <n v="162510.81764471438"/>
  </r>
  <r>
    <s v="Sistema de Compensação"/>
    <x v="1"/>
    <x v="1"/>
    <x v="2"/>
    <x v="1"/>
    <x v="0"/>
    <x v="0"/>
    <x v="1"/>
    <x v="3"/>
    <n v="0"/>
    <n v="0"/>
    <n v="2.0569999999999999"/>
    <n v="2.0569999999999999"/>
    <n v="2.0569999999999999"/>
    <n v="2.0569999999999999"/>
    <n v="24"/>
    <x v="0"/>
    <n v="0"/>
    <n v="0"/>
    <n v="18"/>
    <n v="56"/>
    <n v="0"/>
    <n v="404.34"/>
    <n v="320.60000000000002"/>
    <m/>
    <n v="491.11832478559"/>
    <n v="290.53979172761228"/>
    <n v="0"/>
    <n v="831.72737999999993"/>
    <n v="659.4742"/>
    <n v="0"/>
    <n v="1010.2303940839586"/>
    <n v="597.64035158369848"/>
  </r>
  <r>
    <s v="Regular"/>
    <x v="1"/>
    <x v="1"/>
    <x v="2"/>
    <x v="1"/>
    <x v="0"/>
    <x v="0"/>
    <x v="1"/>
    <x v="4"/>
    <n v="0"/>
    <n v="0"/>
    <n v="530.17100000000005"/>
    <n v="530.17100000000005"/>
    <n v="530.17100000000005"/>
    <n v="530.17100000000005"/>
    <n v="2952"/>
    <x v="0"/>
    <n v="0"/>
    <n v="0"/>
    <n v="18"/>
    <n v="56"/>
    <n v="0"/>
    <n v="404.34"/>
    <n v="320.60000000000002"/>
    <m/>
    <n v="491.11832478559"/>
    <n v="290.53979172761228"/>
    <n v="0"/>
    <n v="214369.34213999999"/>
    <n v="169972.82260000001"/>
    <n v="0"/>
    <n v="260376.69336990107"/>
    <n v="154035.77192001994"/>
  </r>
  <r>
    <s v="Sistema de Compensação"/>
    <x v="1"/>
    <x v="1"/>
    <x v="2"/>
    <x v="1"/>
    <x v="0"/>
    <x v="0"/>
    <x v="1"/>
    <x v="4"/>
    <n v="0"/>
    <n v="0"/>
    <n v="2.0190000000000001"/>
    <n v="2.0190000000000001"/>
    <n v="2.0190000000000001"/>
    <n v="2.0190000000000001"/>
    <n v="27"/>
    <x v="0"/>
    <n v="0"/>
    <n v="0"/>
    <n v="18"/>
    <n v="56"/>
    <n v="0"/>
    <n v="404.34"/>
    <n v="320.60000000000002"/>
    <m/>
    <n v="491.11832478559"/>
    <n v="290.53979172761228"/>
    <n v="0"/>
    <n v="816.36246000000006"/>
    <n v="647.29140000000007"/>
    <n v="0"/>
    <n v="991.56789774210631"/>
    <n v="586.59983949804928"/>
  </r>
  <r>
    <s v="Regular"/>
    <x v="1"/>
    <x v="1"/>
    <x v="2"/>
    <x v="1"/>
    <x v="0"/>
    <x v="0"/>
    <x v="1"/>
    <x v="5"/>
    <n v="0"/>
    <n v="0"/>
    <n v="510.87900000000002"/>
    <n v="510.87900000000002"/>
    <n v="510.87900000000002"/>
    <n v="510.87900000000002"/>
    <n v="2977"/>
    <x v="0"/>
    <n v="0"/>
    <n v="0"/>
    <n v="18"/>
    <n v="56"/>
    <n v="0"/>
    <n v="404.34"/>
    <n v="320.60000000000002"/>
    <m/>
    <n v="491.11832478559"/>
    <n v="290.53979172761228"/>
    <n v="0"/>
    <n v="206568.81485999998"/>
    <n v="163787.80740000002"/>
    <n v="0"/>
    <n v="250902.03864813744"/>
    <n v="148430.67825801083"/>
  </r>
  <r>
    <s v="Sistema de Compensação"/>
    <x v="1"/>
    <x v="1"/>
    <x v="2"/>
    <x v="1"/>
    <x v="0"/>
    <x v="0"/>
    <x v="1"/>
    <x v="5"/>
    <n v="0"/>
    <n v="0"/>
    <n v="3.1949999999999998"/>
    <n v="3.1949999999999998"/>
    <n v="3.1949999999999998"/>
    <n v="3.1949999999999998"/>
    <n v="38"/>
    <x v="0"/>
    <n v="0"/>
    <n v="0"/>
    <n v="18"/>
    <n v="56"/>
    <n v="0"/>
    <n v="404.34"/>
    <n v="320.60000000000002"/>
    <m/>
    <n v="491.11832478559"/>
    <n v="290.53979172761228"/>
    <n v="0"/>
    <n v="1291.8662999999999"/>
    <n v="1024.317"/>
    <n v="0"/>
    <n v="1569.12304768996"/>
    <n v="928.27463456972123"/>
  </r>
  <r>
    <s v="Regular"/>
    <x v="1"/>
    <x v="1"/>
    <x v="2"/>
    <x v="1"/>
    <x v="0"/>
    <x v="0"/>
    <x v="1"/>
    <x v="6"/>
    <n v="0"/>
    <n v="0"/>
    <n v="683.03399999999999"/>
    <n v="683.03399999999999"/>
    <n v="683.03399999999999"/>
    <n v="683.03399999999999"/>
    <n v="2972"/>
    <x v="0"/>
    <n v="0"/>
    <n v="0"/>
    <n v="18"/>
    <n v="56"/>
    <n v="0"/>
    <n v="404.34"/>
    <n v="320.60000000000002"/>
    <m/>
    <n v="491.11832478559"/>
    <n v="290.53979172761228"/>
    <n v="0"/>
    <n v="276177.96755999996"/>
    <n v="218980.7004"/>
    <n v="0"/>
    <n v="335450.5138516007"/>
    <n v="198448.55610287792"/>
  </r>
  <r>
    <s v="Sistema de Compensação"/>
    <x v="1"/>
    <x v="1"/>
    <x v="2"/>
    <x v="1"/>
    <x v="0"/>
    <x v="0"/>
    <x v="1"/>
    <x v="6"/>
    <n v="0"/>
    <n v="0"/>
    <n v="4.5869999999999997"/>
    <n v="4.5869999999999997"/>
    <n v="4.5869999999999997"/>
    <n v="4.5869999999999997"/>
    <n v="44"/>
    <x v="0"/>
    <n v="0"/>
    <n v="0"/>
    <n v="18"/>
    <n v="56"/>
    <n v="0"/>
    <n v="404.34"/>
    <n v="320.60000000000002"/>
    <m/>
    <n v="491.11832478559"/>
    <n v="290.53979172761228"/>
    <n v="0"/>
    <n v="1854.7075799999998"/>
    <n v="1470.5922"/>
    <n v="0"/>
    <n v="2252.7597557915014"/>
    <n v="1332.7060246545575"/>
  </r>
  <r>
    <s v="Regular"/>
    <x v="1"/>
    <x v="1"/>
    <x v="2"/>
    <x v="1"/>
    <x v="0"/>
    <x v="0"/>
    <x v="1"/>
    <x v="7"/>
    <n v="0"/>
    <n v="0"/>
    <n v="543.96900000000005"/>
    <n v="543.96900000000005"/>
    <n v="543.96900000000005"/>
    <n v="543.96900000000005"/>
    <n v="2975"/>
    <x v="0"/>
    <n v="0"/>
    <n v="0"/>
    <n v="18"/>
    <n v="56"/>
    <n v="0"/>
    <n v="404.34"/>
    <n v="320.60000000000002"/>
    <m/>
    <n v="491.11832478559"/>
    <n v="290.53979172761228"/>
    <n v="0"/>
    <n v="219948.42546"/>
    <n v="174396.46140000003"/>
    <n v="0"/>
    <n v="267153.14401529264"/>
    <n v="158044.63996627755"/>
  </r>
  <r>
    <s v="Sistema de Compensação"/>
    <x v="1"/>
    <x v="1"/>
    <x v="2"/>
    <x v="1"/>
    <x v="0"/>
    <x v="0"/>
    <x v="1"/>
    <x v="7"/>
    <n v="0"/>
    <n v="0"/>
    <n v="3.645"/>
    <n v="3.645"/>
    <n v="3.645"/>
    <n v="3.645"/>
    <n v="48"/>
    <x v="0"/>
    <n v="0"/>
    <n v="0"/>
    <n v="18"/>
    <n v="56"/>
    <n v="0"/>
    <n v="404.34"/>
    <n v="320.60000000000002"/>
    <m/>
    <n v="491.11832478559"/>
    <n v="290.53979172761228"/>
    <n v="0"/>
    <n v="1473.8192999999999"/>
    <n v="1168.587"/>
    <n v="0"/>
    <n v="1790.1262938434757"/>
    <n v="1059.0175408471468"/>
  </r>
  <r>
    <s v="Regular"/>
    <x v="1"/>
    <x v="1"/>
    <x v="2"/>
    <x v="1"/>
    <x v="0"/>
    <x v="0"/>
    <x v="1"/>
    <x v="8"/>
    <n v="0"/>
    <n v="0"/>
    <n v="587.64499999999998"/>
    <n v="587.64499999999998"/>
    <n v="587.64499999999998"/>
    <n v="587.64499999999998"/>
    <n v="2968"/>
    <x v="0"/>
    <n v="0"/>
    <n v="0"/>
    <n v="18"/>
    <n v="56"/>
    <n v="0"/>
    <n v="404.34"/>
    <n v="320.60000000000002"/>
    <m/>
    <n v="491.11832478559"/>
    <n v="290.53979172761228"/>
    <n v="0"/>
    <n v="237608.37929999997"/>
    <n v="188398.98699999999"/>
    <n v="0"/>
    <n v="288603.22796862805"/>
    <n v="170734.25590977271"/>
  </r>
  <r>
    <s v="Sistema de Compensação"/>
    <x v="1"/>
    <x v="1"/>
    <x v="2"/>
    <x v="1"/>
    <x v="0"/>
    <x v="0"/>
    <x v="1"/>
    <x v="8"/>
    <n v="0"/>
    <n v="0"/>
    <n v="6.05"/>
    <n v="6.05"/>
    <n v="6.05"/>
    <n v="6.05"/>
    <n v="56"/>
    <x v="0"/>
    <n v="0"/>
    <n v="0"/>
    <n v="18"/>
    <n v="56"/>
    <n v="0"/>
    <n v="404.34"/>
    <n v="320.60000000000002"/>
    <m/>
    <n v="491.11832478559"/>
    <n v="290.53979172761228"/>
    <n v="0"/>
    <n v="2446.2569999999996"/>
    <n v="1939.63"/>
    <n v="0"/>
    <n v="2971.2658649528194"/>
    <n v="1757.7657399520542"/>
  </r>
  <r>
    <s v="Regular"/>
    <x v="1"/>
    <x v="1"/>
    <x v="2"/>
    <x v="1"/>
    <x v="0"/>
    <x v="0"/>
    <x v="1"/>
    <x v="9"/>
    <n v="0"/>
    <n v="0"/>
    <n v="522.48199999999997"/>
    <n v="522.48199999999997"/>
    <n v="522.48199999999997"/>
    <n v="522.48199999999997"/>
    <n v="2948"/>
    <x v="0"/>
    <n v="0"/>
    <n v="0"/>
    <n v="18"/>
    <n v="56"/>
    <n v="0"/>
    <n v="404.34"/>
    <n v="320.60000000000002"/>
    <m/>
    <n v="491.11832478559"/>
    <n v="290.53979172761228"/>
    <n v="0"/>
    <n v="211260.37187999996"/>
    <n v="167507.7292"/>
    <n v="0"/>
    <n v="256600.48457062463"/>
    <n v="151801.81146142632"/>
  </r>
  <r>
    <s v="Sistema de Compensação"/>
    <x v="1"/>
    <x v="1"/>
    <x v="2"/>
    <x v="1"/>
    <x v="0"/>
    <x v="0"/>
    <x v="1"/>
    <x v="9"/>
    <n v="0"/>
    <n v="0"/>
    <n v="5.3959999999999999"/>
    <n v="5.3959999999999999"/>
    <n v="5.3959999999999999"/>
    <n v="5.3959999999999999"/>
    <n v="58"/>
    <x v="0"/>
    <n v="0"/>
    <n v="0"/>
    <n v="18"/>
    <n v="56"/>
    <n v="0"/>
    <n v="404.34"/>
    <n v="320.60000000000002"/>
    <m/>
    <n v="491.11832478559"/>
    <n v="290.53979172761228"/>
    <n v="0"/>
    <n v="2181.81864"/>
    <n v="1729.9576000000002"/>
    <n v="0"/>
    <n v="2650.0744805430436"/>
    <n v="1567.7527161621958"/>
  </r>
  <r>
    <s v="Regular"/>
    <x v="1"/>
    <x v="1"/>
    <x v="2"/>
    <x v="1"/>
    <x v="0"/>
    <x v="0"/>
    <x v="1"/>
    <x v="10"/>
    <n v="0"/>
    <n v="0"/>
    <n v="504.49299999999999"/>
    <n v="504.49299999999999"/>
    <n v="504.49299999999999"/>
    <n v="504.49299999999999"/>
    <n v="2998"/>
    <x v="0"/>
    <n v="0"/>
    <n v="0"/>
    <n v="18"/>
    <n v="56"/>
    <n v="0"/>
    <n v="404.34"/>
    <n v="320.60000000000002"/>
    <m/>
    <n v="491.11832478559"/>
    <n v="290.53979172761228"/>
    <n v="0"/>
    <n v="203986.69962"/>
    <n v="161740.4558"/>
    <n v="0"/>
    <n v="247765.75702605664"/>
    <n v="146575.29114803829"/>
  </r>
  <r>
    <s v="Sistema de Compensação"/>
    <x v="1"/>
    <x v="1"/>
    <x v="2"/>
    <x v="1"/>
    <x v="0"/>
    <x v="0"/>
    <x v="1"/>
    <x v="10"/>
    <n v="0"/>
    <n v="0"/>
    <n v="4.7649999999999997"/>
    <n v="4.7649999999999997"/>
    <n v="4.7649999999999997"/>
    <n v="4.7649999999999997"/>
    <n v="58"/>
    <x v="0"/>
    <n v="0"/>
    <n v="0"/>
    <n v="18"/>
    <n v="56"/>
    <n v="0"/>
    <n v="404.34"/>
    <n v="320.60000000000002"/>
    <m/>
    <n v="491.11832478559"/>
    <n v="290.53979172761228"/>
    <n v="0"/>
    <n v="1926.6800999999998"/>
    <n v="1527.6590000000001"/>
    <n v="0"/>
    <n v="2340.178817603336"/>
    <n v="1384.4221075820724"/>
  </r>
  <r>
    <s v="Regular"/>
    <x v="1"/>
    <x v="1"/>
    <x v="2"/>
    <x v="1"/>
    <x v="0"/>
    <x v="0"/>
    <x v="1"/>
    <x v="11"/>
    <n v="0"/>
    <n v="0"/>
    <n v="570.91700000000003"/>
    <n v="570.91700000000003"/>
    <n v="570.91700000000003"/>
    <n v="570.91700000000003"/>
    <n v="3004"/>
    <x v="0"/>
    <n v="0"/>
    <n v="0"/>
    <n v="18"/>
    <n v="56"/>
    <n v="0"/>
    <n v="404.34"/>
    <n v="320.60000000000002"/>
    <m/>
    <n v="491.11832478559"/>
    <n v="290.53979172761228"/>
    <n v="0"/>
    <n v="230844.57978"/>
    <n v="183035.99020000003"/>
    <n v="0"/>
    <n v="280387.80063161469"/>
    <n v="165874.10627375322"/>
  </r>
  <r>
    <s v="Sistema de Compensação"/>
    <x v="1"/>
    <x v="1"/>
    <x v="2"/>
    <x v="1"/>
    <x v="0"/>
    <x v="0"/>
    <x v="1"/>
    <x v="11"/>
    <n v="0"/>
    <n v="0"/>
    <n v="9.89"/>
    <n v="9.89"/>
    <n v="9.89"/>
    <n v="9.89"/>
    <n v="62"/>
    <x v="0"/>
    <n v="0"/>
    <n v="0"/>
    <n v="18"/>
    <n v="56"/>
    <n v="0"/>
    <n v="404.34"/>
    <n v="320.60000000000002"/>
    <m/>
    <n v="491.11832478559"/>
    <n v="290.53979172761228"/>
    <n v="0"/>
    <n v="3998.9225999999999"/>
    <n v="3170.7340000000004"/>
    <n v="0"/>
    <n v="4857.1602321294858"/>
    <n v="2873.4385401860854"/>
  </r>
  <r>
    <s v="Regular"/>
    <x v="1"/>
    <x v="1"/>
    <x v="2"/>
    <x v="2"/>
    <x v="0"/>
    <x v="0"/>
    <x v="1"/>
    <x v="0"/>
    <n v="0"/>
    <n v="0"/>
    <n v="10.5"/>
    <n v="10.5"/>
    <n v="10.5"/>
    <n v="10.5"/>
    <n v="12"/>
    <x v="0"/>
    <n v="0"/>
    <n v="0"/>
    <n v="19"/>
    <n v="57"/>
    <n v="0"/>
    <n v="115.28"/>
    <n v="112.21"/>
    <m/>
    <n v="128.54125815028493"/>
    <n v="101.68892710466429"/>
    <n v="0"/>
    <n v="1210.44"/>
    <n v="1178.2049999999999"/>
    <n v="0"/>
    <n v="1349.6832105779918"/>
    <n v="1067.7337345989749"/>
  </r>
  <r>
    <s v="Regular"/>
    <x v="1"/>
    <x v="1"/>
    <x v="2"/>
    <x v="2"/>
    <x v="0"/>
    <x v="0"/>
    <x v="1"/>
    <x v="1"/>
    <n v="0"/>
    <n v="0"/>
    <n v="10.35"/>
    <n v="10.35"/>
    <n v="10.35"/>
    <n v="10.35"/>
    <n v="12"/>
    <x v="0"/>
    <n v="0"/>
    <n v="0"/>
    <n v="19"/>
    <n v="57"/>
    <n v="0"/>
    <n v="115.28"/>
    <n v="112.21"/>
    <m/>
    <n v="128.54125815028493"/>
    <n v="101.68892710466429"/>
    <n v="0"/>
    <n v="1193.1479999999999"/>
    <n v="1161.3734999999999"/>
    <n v="0"/>
    <n v="1330.402021855449"/>
    <n v="1052.4803955332754"/>
  </r>
  <r>
    <s v="Regular"/>
    <x v="1"/>
    <x v="1"/>
    <x v="2"/>
    <x v="2"/>
    <x v="0"/>
    <x v="0"/>
    <x v="1"/>
    <x v="2"/>
    <n v="0"/>
    <n v="0"/>
    <n v="10.38"/>
    <n v="10.38"/>
    <n v="10.38"/>
    <n v="10.38"/>
    <n v="10"/>
    <x v="0"/>
    <n v="0"/>
    <n v="0"/>
    <n v="19"/>
    <n v="57"/>
    <n v="0"/>
    <n v="115.28"/>
    <n v="112.21"/>
    <m/>
    <n v="128.54125815028493"/>
    <n v="101.68892710466429"/>
    <n v="0"/>
    <n v="1196.6064000000001"/>
    <n v="1164.7398000000001"/>
    <n v="0"/>
    <n v="1334.2582595999577"/>
    <n v="1055.5310633464153"/>
  </r>
  <r>
    <s v="Regular"/>
    <x v="1"/>
    <x v="1"/>
    <x v="2"/>
    <x v="2"/>
    <x v="0"/>
    <x v="0"/>
    <x v="1"/>
    <x v="3"/>
    <n v="0"/>
    <n v="0"/>
    <n v="10.59"/>
    <n v="10.59"/>
    <n v="10.59"/>
    <n v="10.59"/>
    <n v="10"/>
    <x v="0"/>
    <n v="0"/>
    <n v="0"/>
    <n v="19"/>
    <n v="57"/>
    <n v="0"/>
    <n v="115.28"/>
    <n v="112.21"/>
    <m/>
    <n v="128.54125815028493"/>
    <n v="101.68892710466429"/>
    <n v="0"/>
    <n v="1220.8152"/>
    <n v="1188.3038999999999"/>
    <n v="0"/>
    <n v="1361.2519238115174"/>
    <n v="1076.8857380383947"/>
  </r>
  <r>
    <s v="Regular"/>
    <x v="1"/>
    <x v="1"/>
    <x v="2"/>
    <x v="2"/>
    <x v="0"/>
    <x v="0"/>
    <x v="1"/>
    <x v="4"/>
    <n v="0"/>
    <n v="0"/>
    <n v="10.74"/>
    <n v="10.74"/>
    <n v="10.74"/>
    <n v="10.74"/>
    <n v="6"/>
    <x v="0"/>
    <n v="0"/>
    <n v="0"/>
    <n v="19"/>
    <n v="57"/>
    <n v="0"/>
    <n v="115.28"/>
    <n v="112.21"/>
    <m/>
    <n v="128.54125815028493"/>
    <n v="101.68892710466429"/>
    <n v="0"/>
    <n v="1238.1072000000001"/>
    <n v="1205.1353999999999"/>
    <n v="0"/>
    <n v="1380.5331125340601"/>
    <n v="1092.1390771040944"/>
  </r>
  <r>
    <s v="Regular"/>
    <x v="1"/>
    <x v="1"/>
    <x v="2"/>
    <x v="2"/>
    <x v="0"/>
    <x v="0"/>
    <x v="1"/>
    <x v="5"/>
    <n v="0"/>
    <n v="0"/>
    <n v="10.8"/>
    <n v="10.8"/>
    <n v="10.8"/>
    <n v="10.8"/>
    <n v="9"/>
    <x v="0"/>
    <n v="0"/>
    <n v="0"/>
    <n v="19"/>
    <n v="57"/>
    <n v="0"/>
    <n v="115.28"/>
    <n v="112.21"/>
    <m/>
    <n v="128.54125815028493"/>
    <n v="101.68892710466429"/>
    <n v="0"/>
    <n v="1245.0240000000001"/>
    <n v="1211.8679999999999"/>
    <n v="0"/>
    <n v="1388.2455880230773"/>
    <n v="1098.2404127303744"/>
  </r>
  <r>
    <s v="Regular"/>
    <x v="1"/>
    <x v="1"/>
    <x v="2"/>
    <x v="2"/>
    <x v="0"/>
    <x v="0"/>
    <x v="1"/>
    <x v="6"/>
    <n v="0"/>
    <n v="0"/>
    <n v="10.8"/>
    <n v="10.8"/>
    <n v="10.8"/>
    <n v="10.8"/>
    <n v="7"/>
    <x v="0"/>
    <n v="0"/>
    <n v="0"/>
    <n v="19"/>
    <n v="57"/>
    <n v="0"/>
    <n v="115.28"/>
    <n v="112.21"/>
    <m/>
    <n v="128.54125815028493"/>
    <n v="101.68892710466429"/>
    <n v="0"/>
    <n v="1245.0240000000001"/>
    <n v="1211.8679999999999"/>
    <n v="0"/>
    <n v="1388.2455880230773"/>
    <n v="1098.2404127303744"/>
  </r>
  <r>
    <s v="Regular"/>
    <x v="1"/>
    <x v="1"/>
    <x v="2"/>
    <x v="2"/>
    <x v="0"/>
    <x v="0"/>
    <x v="1"/>
    <x v="7"/>
    <n v="0"/>
    <n v="0"/>
    <n v="10.92"/>
    <n v="10.92"/>
    <n v="10.92"/>
    <n v="10.92"/>
    <n v="8"/>
    <x v="0"/>
    <n v="0"/>
    <n v="0"/>
    <n v="19"/>
    <n v="57"/>
    <n v="0"/>
    <n v="115.28"/>
    <n v="112.21"/>
    <m/>
    <n v="128.54125815028493"/>
    <n v="101.68892710466429"/>
    <n v="0"/>
    <n v="1258.8576"/>
    <n v="1225.3332"/>
    <n v="0"/>
    <n v="1403.6705390011114"/>
    <n v="1110.443083982934"/>
  </r>
  <r>
    <s v="Regular"/>
    <x v="1"/>
    <x v="1"/>
    <x v="2"/>
    <x v="2"/>
    <x v="0"/>
    <x v="0"/>
    <x v="1"/>
    <x v="8"/>
    <n v="0"/>
    <n v="0"/>
    <n v="11.13"/>
    <n v="11.13"/>
    <n v="11.13"/>
    <n v="11.13"/>
    <n v="9"/>
    <x v="0"/>
    <n v="0"/>
    <n v="0"/>
    <n v="19"/>
    <n v="57"/>
    <n v="0"/>
    <n v="115.28"/>
    <n v="112.21"/>
    <m/>
    <n v="128.54125815028493"/>
    <n v="101.68892710466429"/>
    <n v="0"/>
    <n v="1283.0664000000002"/>
    <n v="1248.8973000000001"/>
    <n v="0"/>
    <n v="1430.6642032126713"/>
    <n v="1131.7977586749137"/>
  </r>
  <r>
    <s v="Regular"/>
    <x v="1"/>
    <x v="1"/>
    <x v="2"/>
    <x v="2"/>
    <x v="0"/>
    <x v="0"/>
    <x v="1"/>
    <x v="9"/>
    <n v="0"/>
    <n v="0"/>
    <n v="11.34"/>
    <n v="11.34"/>
    <n v="11.34"/>
    <n v="11.34"/>
    <n v="10"/>
    <x v="0"/>
    <n v="0"/>
    <n v="0"/>
    <n v="19"/>
    <n v="57"/>
    <n v="0"/>
    <n v="115.28"/>
    <n v="112.21"/>
    <m/>
    <n v="128.54125815028493"/>
    <n v="101.68892710466429"/>
    <n v="0"/>
    <n v="1307.2752"/>
    <n v="1272.4613999999999"/>
    <n v="0"/>
    <n v="1457.6578674242312"/>
    <n v="1153.1524333668931"/>
  </r>
  <r>
    <s v="Regular"/>
    <x v="1"/>
    <x v="1"/>
    <x v="2"/>
    <x v="2"/>
    <x v="0"/>
    <x v="0"/>
    <x v="1"/>
    <x v="10"/>
    <n v="0"/>
    <n v="0"/>
    <n v="9.99"/>
    <n v="9.99"/>
    <n v="9.99"/>
    <n v="9.99"/>
    <n v="5"/>
    <x v="0"/>
    <n v="0"/>
    <n v="0"/>
    <n v="19"/>
    <n v="57"/>
    <n v="0"/>
    <n v="115.28"/>
    <n v="112.21"/>
    <m/>
    <n v="128.54125815028493"/>
    <n v="101.68892710466429"/>
    <n v="0"/>
    <n v="1151.6472000000001"/>
    <n v="1120.9778999999999"/>
    <n v="0"/>
    <n v="1284.1271689213465"/>
    <n v="1015.8723817755963"/>
  </r>
  <r>
    <s v="Regular"/>
    <x v="1"/>
    <x v="1"/>
    <x v="2"/>
    <x v="2"/>
    <x v="0"/>
    <x v="0"/>
    <x v="1"/>
    <x v="11"/>
    <n v="0"/>
    <n v="0"/>
    <n v="9.8699999999999992"/>
    <n v="9.8699999999999992"/>
    <n v="9.8699999999999992"/>
    <n v="9.8699999999999992"/>
    <n v="7"/>
    <x v="0"/>
    <n v="0"/>
    <n v="0"/>
    <n v="19"/>
    <n v="57"/>
    <n v="0"/>
    <n v="115.28"/>
    <n v="112.21"/>
    <m/>
    <n v="128.54125815028493"/>
    <n v="101.68892710466429"/>
    <n v="0"/>
    <n v="1137.8136"/>
    <n v="1107.5126999999998"/>
    <n v="0"/>
    <n v="1268.7022179433122"/>
    <n v="1003.6697105230364"/>
  </r>
  <r>
    <s v="Regular"/>
    <x v="1"/>
    <x v="1"/>
    <x v="2"/>
    <x v="3"/>
    <x v="0"/>
    <x v="0"/>
    <x v="1"/>
    <x v="0"/>
    <n v="0"/>
    <n v="0"/>
    <n v="21.623999999999999"/>
    <n v="21.623999999999999"/>
    <n v="21.623999999999999"/>
    <n v="21.623999999999999"/>
    <n v="60"/>
    <x v="0"/>
    <n v="0"/>
    <n v="0"/>
    <n v="20"/>
    <n v="58"/>
    <n v="0"/>
    <n v="197.62"/>
    <n v="192.36"/>
    <m/>
    <n v="220.35644254334562"/>
    <n v="174.32387503656736"/>
    <n v="0"/>
    <n v="4273.3348799999994"/>
    <n v="4159.5926399999998"/>
    <n v="0"/>
    <n v="4764.9877135573051"/>
    <n v="3769.5794737907322"/>
  </r>
  <r>
    <s v="Regular"/>
    <x v="1"/>
    <x v="1"/>
    <x v="2"/>
    <x v="3"/>
    <x v="0"/>
    <x v="0"/>
    <x v="1"/>
    <x v="1"/>
    <n v="0"/>
    <n v="0"/>
    <n v="21.747"/>
    <n v="21.747"/>
    <n v="21.747"/>
    <n v="21.747"/>
    <n v="56"/>
    <x v="0"/>
    <n v="0"/>
    <n v="0"/>
    <n v="20"/>
    <n v="58"/>
    <n v="0"/>
    <n v="197.62"/>
    <n v="192.36"/>
    <m/>
    <n v="220.35644254334562"/>
    <n v="174.32387503656736"/>
    <n v="0"/>
    <n v="4297.6421399999999"/>
    <n v="4183.2529199999999"/>
    <n v="0"/>
    <n v="4792.0915559901368"/>
    <n v="3791.0213104202303"/>
  </r>
  <r>
    <s v="Regular"/>
    <x v="1"/>
    <x v="1"/>
    <x v="2"/>
    <x v="3"/>
    <x v="0"/>
    <x v="0"/>
    <x v="1"/>
    <x v="2"/>
    <n v="0"/>
    <n v="0"/>
    <n v="22.292000000000002"/>
    <n v="22.292000000000002"/>
    <n v="22.292000000000002"/>
    <n v="22.292000000000002"/>
    <n v="46"/>
    <x v="0"/>
    <n v="0"/>
    <n v="0"/>
    <n v="20"/>
    <n v="58"/>
    <n v="0"/>
    <n v="197.62"/>
    <n v="192.36"/>
    <m/>
    <n v="220.35644254334562"/>
    <n v="174.32387503656736"/>
    <n v="0"/>
    <n v="4405.3450400000002"/>
    <n v="4288.0891200000005"/>
    <n v="0"/>
    <n v="4912.1858171762606"/>
    <n v="3886.0278223151599"/>
  </r>
  <r>
    <s v="Regular"/>
    <x v="1"/>
    <x v="1"/>
    <x v="2"/>
    <x v="3"/>
    <x v="0"/>
    <x v="0"/>
    <x v="1"/>
    <x v="3"/>
    <n v="0"/>
    <n v="0"/>
    <n v="22.673999999999999"/>
    <n v="22.673999999999999"/>
    <n v="22.673999999999999"/>
    <n v="22.673999999999999"/>
    <n v="52"/>
    <x v="0"/>
    <n v="0"/>
    <n v="0"/>
    <n v="20"/>
    <n v="58"/>
    <n v="0"/>
    <n v="197.62"/>
    <n v="192.36"/>
    <m/>
    <n v="220.35644254334562"/>
    <n v="174.32387503656736"/>
    <n v="0"/>
    <n v="4480.8358799999996"/>
    <n v="4361.5706399999999"/>
    <n v="0"/>
    <n v="4996.3619782278183"/>
    <n v="3952.6195425791284"/>
  </r>
  <r>
    <s v="Regular"/>
    <x v="1"/>
    <x v="1"/>
    <x v="2"/>
    <x v="3"/>
    <x v="0"/>
    <x v="0"/>
    <x v="1"/>
    <x v="4"/>
    <n v="0"/>
    <n v="0"/>
    <n v="23.405999999999999"/>
    <n v="23.405999999999999"/>
    <n v="23.405999999999999"/>
    <n v="23.405999999999999"/>
    <n v="44"/>
    <x v="0"/>
    <n v="0"/>
    <n v="0"/>
    <n v="20"/>
    <n v="58"/>
    <n v="0"/>
    <n v="197.62"/>
    <n v="192.36"/>
    <m/>
    <n v="220.35644254334562"/>
    <n v="174.32387503656736"/>
    <n v="0"/>
    <n v="4625.4937199999995"/>
    <n v="4502.3781600000002"/>
    <n v="0"/>
    <n v="5157.6628941695471"/>
    <n v="4080.2246191058953"/>
  </r>
  <r>
    <s v="Regular"/>
    <x v="1"/>
    <x v="1"/>
    <x v="2"/>
    <x v="3"/>
    <x v="0"/>
    <x v="0"/>
    <x v="1"/>
    <x v="5"/>
    <n v="0"/>
    <n v="0"/>
    <n v="23.407"/>
    <n v="23.407"/>
    <n v="23.407"/>
    <n v="23.407"/>
    <n v="45"/>
    <x v="0"/>
    <n v="0"/>
    <n v="0"/>
    <n v="20"/>
    <n v="58"/>
    <n v="0"/>
    <n v="197.62"/>
    <n v="192.36"/>
    <m/>
    <n v="220.35644254334562"/>
    <n v="174.32387503656736"/>
    <n v="0"/>
    <n v="4625.6913400000003"/>
    <n v="4502.5705200000002"/>
    <n v="0"/>
    <n v="5157.8832506120907"/>
    <n v="4080.3989429809321"/>
  </r>
  <r>
    <s v="Regular"/>
    <x v="1"/>
    <x v="1"/>
    <x v="2"/>
    <x v="3"/>
    <x v="0"/>
    <x v="0"/>
    <x v="1"/>
    <x v="6"/>
    <n v="0"/>
    <n v="0"/>
    <n v="24.22"/>
    <n v="24.22"/>
    <n v="24.22"/>
    <n v="24.22"/>
    <n v="21"/>
    <x v="0"/>
    <n v="0"/>
    <n v="0"/>
    <n v="20"/>
    <n v="58"/>
    <n v="0"/>
    <n v="197.62"/>
    <n v="192.36"/>
    <m/>
    <n v="220.35644254334562"/>
    <n v="174.32387503656736"/>
    <n v="0"/>
    <n v="4786.3563999999997"/>
    <n v="4658.9592000000002"/>
    <n v="0"/>
    <n v="5337.0330383998307"/>
    <n v="4222.1242533856612"/>
  </r>
  <r>
    <s v="Regular"/>
    <x v="1"/>
    <x v="1"/>
    <x v="2"/>
    <x v="3"/>
    <x v="0"/>
    <x v="0"/>
    <x v="1"/>
    <x v="7"/>
    <n v="0"/>
    <n v="0"/>
    <n v="24.114000000000001"/>
    <n v="24.114000000000001"/>
    <n v="24.114000000000001"/>
    <n v="24.114000000000001"/>
    <n v="43"/>
    <x v="0"/>
    <n v="0"/>
    <n v="0"/>
    <n v="20"/>
    <n v="58"/>
    <n v="0"/>
    <n v="197.62"/>
    <n v="192.36"/>
    <m/>
    <n v="220.35644254334562"/>
    <n v="174.32387503656736"/>
    <n v="0"/>
    <n v="4765.4086800000005"/>
    <n v="4638.5690400000003"/>
    <n v="0"/>
    <n v="5313.6752554902369"/>
    <n v="4203.6459226317857"/>
  </r>
  <r>
    <s v="Regular"/>
    <x v="1"/>
    <x v="1"/>
    <x v="2"/>
    <x v="3"/>
    <x v="0"/>
    <x v="0"/>
    <x v="1"/>
    <x v="8"/>
    <n v="0"/>
    <n v="0"/>
    <n v="24.617999999999999"/>
    <n v="24.617999999999999"/>
    <n v="24.617999999999999"/>
    <n v="24.617999999999999"/>
    <n v="35"/>
    <x v="0"/>
    <n v="0"/>
    <n v="0"/>
    <n v="20"/>
    <n v="58"/>
    <n v="0"/>
    <n v="197.62"/>
    <n v="192.36"/>
    <m/>
    <n v="220.35644254334562"/>
    <n v="174.32387503656736"/>
    <n v="0"/>
    <n v="4865.0091599999996"/>
    <n v="4735.5184799999997"/>
    <n v="0"/>
    <n v="5424.7349025320818"/>
    <n v="4291.5051556502149"/>
  </r>
  <r>
    <s v="Regular"/>
    <x v="1"/>
    <x v="1"/>
    <x v="2"/>
    <x v="3"/>
    <x v="0"/>
    <x v="0"/>
    <x v="1"/>
    <x v="9"/>
    <n v="0"/>
    <n v="0"/>
    <n v="24.742000000000001"/>
    <n v="24.742000000000001"/>
    <n v="24.742000000000001"/>
    <n v="24.742000000000001"/>
    <n v="45"/>
    <x v="0"/>
    <n v="0"/>
    <n v="0"/>
    <n v="20"/>
    <n v="58"/>
    <n v="0"/>
    <n v="197.62"/>
    <n v="192.36"/>
    <m/>
    <n v="220.35644254334562"/>
    <n v="174.32387503656736"/>
    <n v="0"/>
    <n v="4889.51404"/>
    <n v="4759.3711200000007"/>
    <n v="0"/>
    <n v="5452.059101407458"/>
    <n v="4313.1213161547494"/>
  </r>
  <r>
    <s v="Regular"/>
    <x v="1"/>
    <x v="1"/>
    <x v="2"/>
    <x v="3"/>
    <x v="0"/>
    <x v="0"/>
    <x v="1"/>
    <x v="10"/>
    <n v="0"/>
    <n v="0"/>
    <n v="21.544"/>
    <n v="21.544"/>
    <n v="21.544"/>
    <n v="21.544"/>
    <n v="54"/>
    <x v="0"/>
    <n v="0"/>
    <n v="0"/>
    <n v="20"/>
    <n v="58"/>
    <n v="0"/>
    <n v="197.62"/>
    <n v="192.36"/>
    <m/>
    <n v="220.35644254334562"/>
    <n v="174.32387503656736"/>
    <n v="0"/>
    <n v="4257.5252799999998"/>
    <n v="4144.2038400000001"/>
    <n v="0"/>
    <n v="4747.3591981538384"/>
    <n v="3755.6335637878074"/>
  </r>
  <r>
    <s v="Regular"/>
    <x v="1"/>
    <x v="1"/>
    <x v="2"/>
    <x v="3"/>
    <x v="0"/>
    <x v="0"/>
    <x v="1"/>
    <x v="11"/>
    <n v="0"/>
    <n v="0"/>
    <n v="21.042999999999999"/>
    <n v="21.042999999999999"/>
    <n v="21.042999999999999"/>
    <n v="21.042999999999999"/>
    <n v="57"/>
    <x v="0"/>
    <n v="0"/>
    <n v="0"/>
    <n v="20"/>
    <n v="58"/>
    <n v="0"/>
    <n v="197.62"/>
    <n v="192.36"/>
    <m/>
    <n v="220.35644254334562"/>
    <n v="174.32387503656736"/>
    <n v="0"/>
    <n v="4158.5176599999995"/>
    <n v="4047.8314800000003"/>
    <n v="0"/>
    <n v="4636.9606204396214"/>
    <n v="3668.2973023944869"/>
  </r>
  <r>
    <s v="Regular"/>
    <x v="1"/>
    <x v="1"/>
    <x v="2"/>
    <x v="4"/>
    <x v="0"/>
    <x v="0"/>
    <x v="1"/>
    <x v="0"/>
    <n v="0"/>
    <n v="0"/>
    <n v="23.725999999999999"/>
    <n v="23.725999999999999"/>
    <n v="23.725999999999999"/>
    <n v="23.725999999999999"/>
    <n v="169"/>
    <x v="0"/>
    <n v="0"/>
    <n v="0"/>
    <n v="21"/>
    <n v="59"/>
    <n v="0"/>
    <n v="296.43"/>
    <n v="288.54000000000002"/>
    <m/>
    <n v="330.53466381501846"/>
    <n v="261.48581255485107"/>
    <n v="0"/>
    <n v="7033.09818"/>
    <n v="6845.9000400000004"/>
    <n v="0"/>
    <n v="7842.2654336751275"/>
    <n v="6204.0123886763959"/>
  </r>
  <r>
    <s v="Regular"/>
    <x v="1"/>
    <x v="1"/>
    <x v="2"/>
    <x v="4"/>
    <x v="0"/>
    <x v="0"/>
    <x v="1"/>
    <x v="1"/>
    <n v="0"/>
    <n v="0"/>
    <n v="21.268999999999998"/>
    <n v="21.268999999999998"/>
    <n v="21.268999999999998"/>
    <n v="21.268999999999998"/>
    <n v="196"/>
    <x v="0"/>
    <n v="0"/>
    <n v="0"/>
    <n v="21"/>
    <n v="59"/>
    <n v="0"/>
    <n v="296.43"/>
    <n v="288.54000000000002"/>
    <m/>
    <n v="330.53466381501846"/>
    <n v="261.48581255485107"/>
    <n v="0"/>
    <n v="6304.7696699999997"/>
    <n v="6136.9572600000001"/>
    <n v="0"/>
    <n v="7030.1417646816271"/>
    <n v="5561.5417472291265"/>
  </r>
  <r>
    <s v="Regular"/>
    <x v="1"/>
    <x v="1"/>
    <x v="2"/>
    <x v="4"/>
    <x v="0"/>
    <x v="0"/>
    <x v="1"/>
    <x v="2"/>
    <n v="0"/>
    <n v="0"/>
    <n v="26.408000000000001"/>
    <n v="26.408000000000001"/>
    <n v="26.408000000000001"/>
    <n v="26.408000000000001"/>
    <n v="164"/>
    <x v="0"/>
    <n v="0"/>
    <n v="0"/>
    <n v="21"/>
    <n v="59"/>
    <n v="0"/>
    <n v="296.43"/>
    <n v="288.54000000000002"/>
    <m/>
    <n v="330.53466381501846"/>
    <n v="261.48581255485107"/>
    <n v="0"/>
    <n v="7828.1234400000003"/>
    <n v="7619.7643200000011"/>
    <n v="0"/>
    <n v="8728.759402027008"/>
    <n v="6905.317337948507"/>
  </r>
  <r>
    <s v="Regular"/>
    <x v="1"/>
    <x v="1"/>
    <x v="2"/>
    <x v="4"/>
    <x v="0"/>
    <x v="0"/>
    <x v="1"/>
    <x v="3"/>
    <n v="0"/>
    <n v="0"/>
    <n v="22.603999999999999"/>
    <n v="22.603999999999999"/>
    <n v="22.603999999999999"/>
    <n v="22.603999999999999"/>
    <n v="207"/>
    <x v="0"/>
    <n v="0"/>
    <n v="0"/>
    <n v="21"/>
    <n v="59"/>
    <n v="0"/>
    <n v="296.43"/>
    <n v="288.54000000000002"/>
    <m/>
    <n v="330.53466381501846"/>
    <n v="261.48581255485107"/>
    <n v="0"/>
    <n v="6700.5037199999997"/>
    <n v="6522.15816"/>
    <n v="0"/>
    <n v="7471.4055408746772"/>
    <n v="5910.625306989853"/>
  </r>
  <r>
    <s v="Regular"/>
    <x v="1"/>
    <x v="1"/>
    <x v="2"/>
    <x v="4"/>
    <x v="0"/>
    <x v="0"/>
    <x v="1"/>
    <x v="4"/>
    <n v="0"/>
    <n v="0"/>
    <n v="25.882999999999999"/>
    <n v="25.882999999999999"/>
    <n v="25.882999999999999"/>
    <n v="25.882999999999999"/>
    <n v="196"/>
    <x v="0"/>
    <n v="0"/>
    <n v="0"/>
    <n v="21"/>
    <n v="59"/>
    <n v="0"/>
    <n v="296.43"/>
    <n v="288.54000000000002"/>
    <m/>
    <n v="330.53466381501846"/>
    <n v="261.48581255485107"/>
    <n v="0"/>
    <n v="7672.4976900000001"/>
    <n v="7468.2808199999999"/>
    <n v="0"/>
    <n v="8555.2287035241225"/>
    <n v="6768.0372863572102"/>
  </r>
  <r>
    <s v="Regular"/>
    <x v="1"/>
    <x v="1"/>
    <x v="2"/>
    <x v="4"/>
    <x v="0"/>
    <x v="0"/>
    <x v="1"/>
    <x v="5"/>
    <n v="0"/>
    <n v="0"/>
    <n v="24.427"/>
    <n v="24.427"/>
    <n v="24.427"/>
    <n v="24.427"/>
    <n v="208"/>
    <x v="0"/>
    <n v="0"/>
    <n v="0"/>
    <n v="21"/>
    <n v="59"/>
    <n v="0"/>
    <n v="296.43"/>
    <n v="288.54000000000002"/>
    <m/>
    <n v="330.53466381501846"/>
    <n v="261.48581255485107"/>
    <n v="0"/>
    <n v="7240.8956100000005"/>
    <n v="7048.1665800000001"/>
    <n v="0"/>
    <n v="8073.970233009456"/>
    <n v="6387.3139432773469"/>
  </r>
  <r>
    <s v="Regular"/>
    <x v="1"/>
    <x v="1"/>
    <x v="2"/>
    <x v="4"/>
    <x v="0"/>
    <x v="0"/>
    <x v="1"/>
    <x v="6"/>
    <n v="0"/>
    <n v="0"/>
    <n v="31.364000000000001"/>
    <n v="31.364000000000001"/>
    <n v="31.364000000000001"/>
    <n v="31.364000000000001"/>
    <n v="152"/>
    <x v="0"/>
    <n v="0"/>
    <n v="0"/>
    <n v="21"/>
    <n v="59"/>
    <n v="0"/>
    <n v="296.43"/>
    <n v="288.54000000000002"/>
    <m/>
    <n v="330.53466381501846"/>
    <n v="261.48581255485107"/>
    <n v="0"/>
    <n v="9297.230520000001"/>
    <n v="9049.7685600000004"/>
    <n v="0"/>
    <n v="10366.889195894239"/>
    <n v="8201.2410249703498"/>
  </r>
  <r>
    <s v="Regular"/>
    <x v="1"/>
    <x v="1"/>
    <x v="2"/>
    <x v="4"/>
    <x v="0"/>
    <x v="0"/>
    <x v="1"/>
    <x v="7"/>
    <n v="0"/>
    <n v="0"/>
    <n v="26.513999999999999"/>
    <n v="26.513999999999999"/>
    <n v="26.513999999999999"/>
    <n v="26.513999999999999"/>
    <n v="192"/>
    <x v="0"/>
    <n v="0"/>
    <n v="0"/>
    <n v="21"/>
    <n v="59"/>
    <n v="0"/>
    <n v="296.43"/>
    <n v="288.54000000000002"/>
    <m/>
    <n v="330.53466381501846"/>
    <n v="261.48581255485107"/>
    <n v="0"/>
    <n v="7859.5450199999996"/>
    <n v="7650.3495600000006"/>
    <n v="0"/>
    <n v="8763.7960763913998"/>
    <n v="6933.0348340793207"/>
  </r>
  <r>
    <s v="Regular"/>
    <x v="1"/>
    <x v="1"/>
    <x v="2"/>
    <x v="4"/>
    <x v="0"/>
    <x v="0"/>
    <x v="1"/>
    <x v="8"/>
    <n v="0"/>
    <n v="0"/>
    <n v="29.779"/>
    <n v="29.779"/>
    <n v="29.779"/>
    <n v="29.779"/>
    <n v="175"/>
    <x v="0"/>
    <n v="0"/>
    <n v="0"/>
    <n v="21"/>
    <n v="59"/>
    <n v="0"/>
    <n v="296.43"/>
    <n v="288.54000000000002"/>
    <m/>
    <n v="330.53466381501846"/>
    <n v="261.48581255485107"/>
    <n v="0"/>
    <n v="8827.38897"/>
    <n v="8592.4326600000004"/>
    <n v="0"/>
    <n v="9842.9917537474339"/>
    <n v="7786.7860120709101"/>
  </r>
  <r>
    <s v="Regular"/>
    <x v="1"/>
    <x v="1"/>
    <x v="2"/>
    <x v="4"/>
    <x v="0"/>
    <x v="0"/>
    <x v="1"/>
    <x v="9"/>
    <n v="0"/>
    <n v="0"/>
    <n v="28.013000000000002"/>
    <n v="28.013000000000002"/>
    <n v="28.013000000000002"/>
    <n v="28.013000000000002"/>
    <n v="201"/>
    <x v="0"/>
    <n v="0"/>
    <n v="0"/>
    <n v="21"/>
    <n v="59"/>
    <n v="0"/>
    <n v="296.43"/>
    <n v="288.54000000000002"/>
    <m/>
    <n v="330.53466381501846"/>
    <n v="261.48581255485107"/>
    <n v="0"/>
    <n v="8303.8935900000015"/>
    <n v="8082.8710200000014"/>
    <n v="0"/>
    <n v="9259.2675374501123"/>
    <n v="7325.0020670990434"/>
  </r>
  <r>
    <s v="Regular"/>
    <x v="1"/>
    <x v="1"/>
    <x v="2"/>
    <x v="4"/>
    <x v="0"/>
    <x v="0"/>
    <x v="1"/>
    <x v="10"/>
    <n v="0"/>
    <n v="0"/>
    <n v="22.375"/>
    <n v="22.375"/>
    <n v="22.375"/>
    <n v="22.375"/>
    <n v="181"/>
    <x v="0"/>
    <n v="0"/>
    <n v="0"/>
    <n v="21"/>
    <n v="59"/>
    <n v="0"/>
    <n v="296.43"/>
    <n v="288.54000000000002"/>
    <m/>
    <n v="330.53466381501846"/>
    <n v="261.48581255485107"/>
    <n v="0"/>
    <n v="6632.6212500000001"/>
    <n v="6456.0825000000004"/>
    <n v="0"/>
    <n v="7395.7131028610384"/>
    <n v="5850.7450559147928"/>
  </r>
  <r>
    <s v="Regular"/>
    <x v="1"/>
    <x v="1"/>
    <x v="2"/>
    <x v="4"/>
    <x v="0"/>
    <x v="0"/>
    <x v="1"/>
    <x v="11"/>
    <n v="0"/>
    <n v="0"/>
    <n v="22.675000000000001"/>
    <n v="22.675000000000001"/>
    <n v="22.675000000000001"/>
    <n v="22.675000000000001"/>
    <n v="157"/>
    <x v="0"/>
    <n v="0"/>
    <n v="0"/>
    <n v="21"/>
    <n v="59"/>
    <n v="0"/>
    <n v="296.43"/>
    <n v="288.54000000000002"/>
    <m/>
    <n v="330.53466381501846"/>
    <n v="261.48581255485107"/>
    <n v="0"/>
    <n v="6721.5502500000002"/>
    <n v="6542.6445000000003"/>
    <n v="0"/>
    <n v="7494.8735020055437"/>
    <n v="5929.1907996812479"/>
  </r>
  <r>
    <s v="Regular"/>
    <x v="1"/>
    <x v="1"/>
    <x v="2"/>
    <x v="5"/>
    <x v="0"/>
    <x v="0"/>
    <x v="1"/>
    <x v="0"/>
    <n v="0"/>
    <n v="0"/>
    <n v="7.9669999999999996"/>
    <n v="7.9669999999999996"/>
    <n v="7.9669999999999996"/>
    <n v="7.9669999999999996"/>
    <n v="109"/>
    <x v="0"/>
    <n v="0"/>
    <n v="0"/>
    <n v="22"/>
    <n v="60"/>
    <n v="0"/>
    <n v="329.37"/>
    <n v="320.60000000000002"/>
    <m/>
    <n v="367.2607375722427"/>
    <n v="290.53979172761228"/>
    <n v="0"/>
    <n v="2624.0907899999997"/>
    <n v="2554.2202000000002"/>
    <n v="0"/>
    <n v="2925.9662962380576"/>
    <n v="2314.7305206938868"/>
  </r>
  <r>
    <s v="Regular"/>
    <x v="1"/>
    <x v="1"/>
    <x v="2"/>
    <x v="5"/>
    <x v="0"/>
    <x v="0"/>
    <x v="1"/>
    <x v="1"/>
    <n v="0"/>
    <n v="0"/>
    <n v="5.3879999999999999"/>
    <n v="5.3879999999999999"/>
    <n v="5.3879999999999999"/>
    <n v="5.3879999999999999"/>
    <n v="81"/>
    <x v="0"/>
    <n v="0"/>
    <n v="0"/>
    <n v="22"/>
    <n v="60"/>
    <n v="0"/>
    <n v="329.37"/>
    <n v="320.60000000000002"/>
    <m/>
    <n v="367.2607375722427"/>
    <n v="290.53979172761228"/>
    <n v="0"/>
    <n v="1774.6455599999999"/>
    <n v="1727.3928000000001"/>
    <n v="0"/>
    <n v="1978.8008540392436"/>
    <n v="1565.428397828375"/>
  </r>
  <r>
    <s v="Regular"/>
    <x v="1"/>
    <x v="1"/>
    <x v="2"/>
    <x v="5"/>
    <x v="0"/>
    <x v="0"/>
    <x v="1"/>
    <x v="2"/>
    <n v="0"/>
    <n v="0"/>
    <n v="9.2989999999999995"/>
    <n v="9.2989999999999995"/>
    <n v="9.2989999999999995"/>
    <n v="9.2989999999999995"/>
    <n v="126"/>
    <x v="0"/>
    <n v="0"/>
    <n v="0"/>
    <n v="22"/>
    <n v="60"/>
    <n v="0"/>
    <n v="329.37"/>
    <n v="320.60000000000002"/>
    <m/>
    <n v="367.2607375722427"/>
    <n v="290.53979172761228"/>
    <n v="0"/>
    <n v="3062.8116299999997"/>
    <n v="2981.2593999999999"/>
    <n v="0"/>
    <n v="3415.1575986842845"/>
    <n v="2701.7295232750666"/>
  </r>
  <r>
    <s v="Regular"/>
    <x v="1"/>
    <x v="1"/>
    <x v="2"/>
    <x v="5"/>
    <x v="0"/>
    <x v="0"/>
    <x v="1"/>
    <x v="3"/>
    <n v="0"/>
    <n v="0"/>
    <n v="5.3890000000000002"/>
    <n v="5.3890000000000002"/>
    <n v="5.3890000000000002"/>
    <n v="5.3890000000000002"/>
    <n v="84"/>
    <x v="0"/>
    <n v="0"/>
    <n v="0"/>
    <n v="22"/>
    <n v="60"/>
    <n v="0"/>
    <n v="329.37"/>
    <n v="320.60000000000002"/>
    <m/>
    <n v="367.2607375722427"/>
    <n v="290.53979172761228"/>
    <n v="0"/>
    <n v="1774.9749300000001"/>
    <n v="1727.7134000000001"/>
    <n v="0"/>
    <n v="1979.1681147768161"/>
    <n v="1565.7189376201027"/>
  </r>
  <r>
    <s v="Regular"/>
    <x v="1"/>
    <x v="1"/>
    <x v="2"/>
    <x v="5"/>
    <x v="0"/>
    <x v="0"/>
    <x v="1"/>
    <x v="4"/>
    <n v="0"/>
    <n v="0"/>
    <n v="8.0939999999999994"/>
    <n v="8.0939999999999994"/>
    <n v="8.0939999999999994"/>
    <n v="8.0939999999999994"/>
    <n v="112"/>
    <x v="0"/>
    <n v="0"/>
    <n v="0"/>
    <n v="22"/>
    <n v="60"/>
    <n v="0"/>
    <n v="329.37"/>
    <n v="320.60000000000002"/>
    <m/>
    <n v="367.2607375722427"/>
    <n v="290.53979172761228"/>
    <n v="0"/>
    <n v="2665.9207799999999"/>
    <n v="2594.9364"/>
    <n v="0"/>
    <n v="2972.608409909732"/>
    <n v="2351.6290742432939"/>
  </r>
  <r>
    <s v="Regular"/>
    <x v="1"/>
    <x v="1"/>
    <x v="2"/>
    <x v="5"/>
    <x v="0"/>
    <x v="0"/>
    <x v="1"/>
    <x v="5"/>
    <n v="0"/>
    <n v="0"/>
    <n v="6.9139999999999997"/>
    <n v="6.9139999999999997"/>
    <n v="6.9139999999999997"/>
    <n v="6.9139999999999997"/>
    <n v="98"/>
    <x v="0"/>
    <n v="0"/>
    <n v="0"/>
    <n v="22"/>
    <n v="60"/>
    <n v="0"/>
    <n v="329.37"/>
    <n v="320.60000000000002"/>
    <m/>
    <n v="367.2607375722427"/>
    <n v="290.53979172761228"/>
    <n v="0"/>
    <n v="2277.2641800000001"/>
    <n v="2216.6284000000001"/>
    <n v="0"/>
    <n v="2539.2407395744858"/>
    <n v="2008.7921200047113"/>
  </r>
  <r>
    <s v="Regular"/>
    <x v="1"/>
    <x v="1"/>
    <x v="2"/>
    <x v="5"/>
    <x v="0"/>
    <x v="0"/>
    <x v="1"/>
    <x v="6"/>
    <n v="0"/>
    <n v="0"/>
    <n v="18.236999999999998"/>
    <n v="18.236999999999998"/>
    <n v="18.236999999999998"/>
    <n v="18.236999999999998"/>
    <n v="180"/>
    <x v="0"/>
    <n v="0"/>
    <n v="0"/>
    <n v="22"/>
    <n v="60"/>
    <n v="0"/>
    <n v="329.37"/>
    <n v="320.60000000000002"/>
    <m/>
    <n v="367.2607375722427"/>
    <n v="290.53979172761228"/>
    <n v="0"/>
    <n v="6006.7206899999992"/>
    <n v="5846.7821999999996"/>
    <n v="0"/>
    <n v="6697.7340711049892"/>
    <n v="5298.5741817364651"/>
  </r>
  <r>
    <s v="Regular"/>
    <x v="1"/>
    <x v="1"/>
    <x v="2"/>
    <x v="5"/>
    <x v="0"/>
    <x v="0"/>
    <x v="1"/>
    <x v="7"/>
    <n v="0"/>
    <n v="0"/>
    <n v="9.5129999999999999"/>
    <n v="9.5129999999999999"/>
    <n v="9.5129999999999999"/>
    <n v="9.5129999999999999"/>
    <n v="121"/>
    <x v="0"/>
    <n v="0"/>
    <n v="0"/>
    <n v="22"/>
    <n v="60"/>
    <n v="0"/>
    <n v="329.37"/>
    <n v="320.60000000000002"/>
    <m/>
    <n v="367.2607375722427"/>
    <n v="290.53979172761228"/>
    <n v="0"/>
    <n v="3133.2968099999998"/>
    <n v="3049.8678"/>
    <n v="0"/>
    <n v="3493.7513965247449"/>
    <n v="2763.9050387047755"/>
  </r>
  <r>
    <s v="Regular"/>
    <x v="1"/>
    <x v="1"/>
    <x v="2"/>
    <x v="5"/>
    <x v="0"/>
    <x v="0"/>
    <x v="1"/>
    <x v="8"/>
    <n v="0"/>
    <n v="0"/>
    <n v="13.606999999999999"/>
    <n v="13.606999999999999"/>
    <n v="13.606999999999999"/>
    <n v="13.606999999999999"/>
    <n v="152"/>
    <x v="0"/>
    <n v="0"/>
    <n v="0"/>
    <n v="22"/>
    <n v="60"/>
    <n v="0"/>
    <n v="329.37"/>
    <n v="320.60000000000002"/>
    <m/>
    <n v="367.2607375722427"/>
    <n v="290.53979172761228"/>
    <n v="0"/>
    <n v="4481.7375899999997"/>
    <n v="4362.4041999999999"/>
    <n v="0"/>
    <n v="4997.3168561455059"/>
    <n v="3953.3749460376202"/>
  </r>
  <r>
    <s v="Regular"/>
    <x v="1"/>
    <x v="1"/>
    <x v="2"/>
    <x v="5"/>
    <x v="0"/>
    <x v="0"/>
    <x v="1"/>
    <x v="9"/>
    <n v="0"/>
    <n v="0"/>
    <n v="8.8539999999999992"/>
    <n v="8.8539999999999992"/>
    <n v="8.8539999999999992"/>
    <n v="8.8539999999999992"/>
    <n v="122"/>
    <x v="0"/>
    <n v="0"/>
    <n v="0"/>
    <n v="22"/>
    <n v="60"/>
    <n v="0"/>
    <n v="329.37"/>
    <n v="320.60000000000002"/>
    <m/>
    <n v="367.2607375722427"/>
    <n v="290.53979172761228"/>
    <n v="0"/>
    <n v="2916.2419799999998"/>
    <n v="2838.5924"/>
    <n v="0"/>
    <n v="3251.7265704646366"/>
    <n v="2572.4393159562787"/>
  </r>
  <r>
    <s v="Regular"/>
    <x v="1"/>
    <x v="1"/>
    <x v="2"/>
    <x v="5"/>
    <x v="0"/>
    <x v="0"/>
    <x v="1"/>
    <x v="10"/>
    <n v="0"/>
    <n v="0"/>
    <n v="5.9820000000000002"/>
    <n v="5.9820000000000002"/>
    <n v="5.9820000000000002"/>
    <n v="5.9820000000000002"/>
    <n v="93"/>
    <x v="0"/>
    <n v="0"/>
    <n v="0"/>
    <n v="22"/>
    <n v="60"/>
    <n v="0"/>
    <n v="329.37"/>
    <n v="320.60000000000002"/>
    <m/>
    <n v="367.2607375722427"/>
    <n v="290.53979172761228"/>
    <n v="0"/>
    <n v="1970.29134"/>
    <n v="1917.8292000000001"/>
    <n v="0"/>
    <n v="2196.9537321571561"/>
    <n v="1738.0090341145767"/>
  </r>
  <r>
    <s v="Regular"/>
    <x v="1"/>
    <x v="1"/>
    <x v="2"/>
    <x v="5"/>
    <x v="0"/>
    <x v="0"/>
    <x v="1"/>
    <x v="11"/>
    <n v="0"/>
    <n v="0"/>
    <n v="10.238"/>
    <n v="10.238"/>
    <n v="10.238"/>
    <n v="10.238"/>
    <n v="108"/>
    <x v="0"/>
    <n v="0"/>
    <n v="0"/>
    <n v="22"/>
    <n v="60"/>
    <n v="0"/>
    <n v="329.37"/>
    <n v="320.60000000000002"/>
    <m/>
    <n v="367.2607375722427"/>
    <n v="290.53979172761228"/>
    <n v="0"/>
    <n v="3372.09006"/>
    <n v="3282.3027999999999"/>
    <n v="0"/>
    <n v="3760.0154312646205"/>
    <n v="2974.5463877072943"/>
  </r>
  <r>
    <s v="Regular"/>
    <x v="2"/>
    <x v="1"/>
    <x v="3"/>
    <x v="0"/>
    <x v="0"/>
    <x v="0"/>
    <x v="1"/>
    <x v="0"/>
    <n v="0"/>
    <n v="0"/>
    <n v="0.85299999999999998"/>
    <n v="0.85299999999999998"/>
    <n v="0.85299999999999998"/>
    <n v="0.85299999999999998"/>
    <n v="4"/>
    <x v="0"/>
    <n v="0"/>
    <n v="0"/>
    <n v="31"/>
    <n v="69"/>
    <n v="0"/>
    <n v="355.82"/>
    <n v="282.13"/>
    <m/>
    <n v="461.65122529845456"/>
    <n v="273.10740422395554"/>
    <n v="0"/>
    <n v="303.51445999999999"/>
    <n v="240.65689"/>
    <n v="0"/>
    <n v="393.78849517958173"/>
    <n v="232.96061580303407"/>
  </r>
  <r>
    <s v="Regular"/>
    <x v="2"/>
    <x v="1"/>
    <x v="3"/>
    <x v="0"/>
    <x v="0"/>
    <x v="0"/>
    <x v="1"/>
    <x v="1"/>
    <n v="0"/>
    <n v="0"/>
    <n v="0.92300000000000004"/>
    <n v="0.92300000000000004"/>
    <n v="0.92300000000000004"/>
    <n v="0.92300000000000004"/>
    <n v="4"/>
    <x v="0"/>
    <n v="0"/>
    <n v="0"/>
    <n v="31"/>
    <n v="69"/>
    <n v="0"/>
    <n v="355.82"/>
    <n v="282.13"/>
    <m/>
    <n v="461.65122529845456"/>
    <n v="273.10740422395554"/>
    <n v="0"/>
    <n v="328.42185999999998"/>
    <n v="260.40599000000003"/>
    <n v="0"/>
    <n v="426.10408095047359"/>
    <n v="252.07813409871099"/>
  </r>
  <r>
    <s v="Regular"/>
    <x v="2"/>
    <x v="1"/>
    <x v="3"/>
    <x v="0"/>
    <x v="0"/>
    <x v="0"/>
    <x v="1"/>
    <x v="2"/>
    <n v="0"/>
    <n v="0"/>
    <n v="1.0189999999999999"/>
    <n v="1.0189999999999999"/>
    <n v="1.0189999999999999"/>
    <n v="1.0189999999999999"/>
    <n v="4"/>
    <x v="0"/>
    <n v="0"/>
    <n v="0"/>
    <n v="31"/>
    <n v="69"/>
    <n v="0"/>
    <n v="355.82"/>
    <n v="282.13"/>
    <m/>
    <n v="461.65122529845456"/>
    <n v="273.10740422395554"/>
    <n v="0"/>
    <n v="362.58057999999994"/>
    <n v="287.49046999999996"/>
    <n v="0"/>
    <n v="470.42259857912518"/>
    <n v="278.29644490421066"/>
  </r>
  <r>
    <s v="Regular"/>
    <x v="2"/>
    <x v="1"/>
    <x v="3"/>
    <x v="0"/>
    <x v="0"/>
    <x v="0"/>
    <x v="1"/>
    <x v="3"/>
    <n v="0"/>
    <n v="0"/>
    <n v="0.93100000000000005"/>
    <n v="0.93100000000000005"/>
    <n v="0.93100000000000005"/>
    <n v="0.93100000000000005"/>
    <n v="4"/>
    <x v="0"/>
    <n v="0"/>
    <n v="0"/>
    <n v="31"/>
    <n v="69"/>
    <n v="0"/>
    <n v="355.82"/>
    <n v="282.13"/>
    <m/>
    <n v="461.65122529845456"/>
    <n v="273.10740422395554"/>
    <n v="0"/>
    <n v="331.26841999999999"/>
    <n v="262.66302999999999"/>
    <n v="0"/>
    <n v="429.79729075286122"/>
    <n v="254.26299333250262"/>
  </r>
  <r>
    <s v="Regular"/>
    <x v="2"/>
    <x v="1"/>
    <x v="3"/>
    <x v="0"/>
    <x v="0"/>
    <x v="0"/>
    <x v="1"/>
    <x v="4"/>
    <n v="0"/>
    <n v="0"/>
    <n v="1.1719999999999999"/>
    <n v="1.1719999999999999"/>
    <n v="1.1719999999999999"/>
    <n v="1.1719999999999999"/>
    <n v="4"/>
    <x v="0"/>
    <n v="0"/>
    <n v="0"/>
    <n v="31"/>
    <n v="69"/>
    <n v="0"/>
    <n v="355.82"/>
    <n v="282.13"/>
    <m/>
    <n v="461.65122529845456"/>
    <n v="273.10740422395554"/>
    <n v="0"/>
    <n v="417.02103999999997"/>
    <n v="330.65635999999995"/>
    <n v="0"/>
    <n v="541.05523604978873"/>
    <n v="320.08187775047588"/>
  </r>
  <r>
    <s v="Regular"/>
    <x v="2"/>
    <x v="1"/>
    <x v="3"/>
    <x v="0"/>
    <x v="0"/>
    <x v="0"/>
    <x v="1"/>
    <x v="5"/>
    <n v="0"/>
    <n v="0"/>
    <n v="1.1339999999999999"/>
    <n v="1.1339999999999999"/>
    <n v="1.1339999999999999"/>
    <n v="1.1339999999999999"/>
    <n v="4"/>
    <x v="0"/>
    <n v="0"/>
    <n v="0"/>
    <n v="31"/>
    <n v="69"/>
    <n v="0"/>
    <n v="355.82"/>
    <n v="282.13"/>
    <m/>
    <n v="461.65122529845456"/>
    <n v="273.10740422395554"/>
    <n v="0"/>
    <n v="403.49987999999996"/>
    <n v="319.93541999999997"/>
    <n v="0"/>
    <n v="523.51248948844739"/>
    <n v="309.70379638996553"/>
  </r>
  <r>
    <s v="Regular"/>
    <x v="2"/>
    <x v="1"/>
    <x v="3"/>
    <x v="0"/>
    <x v="0"/>
    <x v="0"/>
    <x v="1"/>
    <x v="6"/>
    <n v="0"/>
    <n v="0"/>
    <n v="1.478"/>
    <n v="1.478"/>
    <n v="1.478"/>
    <n v="1.478"/>
    <n v="4"/>
    <x v="0"/>
    <n v="0"/>
    <n v="0"/>
    <n v="31"/>
    <n v="69"/>
    <n v="0"/>
    <n v="355.82"/>
    <n v="282.13"/>
    <m/>
    <n v="461.65122529845456"/>
    <n v="273.10740422395554"/>
    <n v="0"/>
    <n v="525.90196000000003"/>
    <n v="416.98813999999999"/>
    <n v="0"/>
    <n v="682.32051099111584"/>
    <n v="403.65274344300627"/>
  </r>
  <r>
    <s v="Regular"/>
    <x v="2"/>
    <x v="1"/>
    <x v="3"/>
    <x v="0"/>
    <x v="0"/>
    <x v="0"/>
    <x v="1"/>
    <x v="7"/>
    <n v="0"/>
    <n v="0"/>
    <n v="1.0720000000000001"/>
    <n v="1.0720000000000001"/>
    <n v="1.0720000000000001"/>
    <n v="1.0720000000000001"/>
    <n v="4"/>
    <x v="0"/>
    <n v="0"/>
    <n v="0"/>
    <n v="31"/>
    <n v="69"/>
    <n v="0"/>
    <n v="355.82"/>
    <n v="282.13"/>
    <m/>
    <n v="461.65122529845456"/>
    <n v="273.10740422395554"/>
    <n v="0"/>
    <n v="381.43904000000003"/>
    <n v="302.44336000000004"/>
    <n v="0"/>
    <n v="494.89011351994333"/>
    <n v="292.77113732808039"/>
  </r>
  <r>
    <s v="Regular"/>
    <x v="2"/>
    <x v="1"/>
    <x v="3"/>
    <x v="0"/>
    <x v="0"/>
    <x v="0"/>
    <x v="1"/>
    <x v="8"/>
    <n v="0"/>
    <n v="0"/>
    <n v="1.143"/>
    <n v="1.143"/>
    <n v="1.143"/>
    <n v="1.143"/>
    <n v="4"/>
    <x v="0"/>
    <n v="0"/>
    <n v="0"/>
    <n v="31"/>
    <n v="69"/>
    <n v="0"/>
    <n v="355.82"/>
    <n v="282.13"/>
    <m/>
    <n v="461.65122529845456"/>
    <n v="273.10740422395554"/>
    <n v="0"/>
    <n v="406.70226000000002"/>
    <n v="322.47458999999998"/>
    <n v="0"/>
    <n v="527.66735051613352"/>
    <n v="312.16176302798118"/>
  </r>
  <r>
    <s v="Regular"/>
    <x v="2"/>
    <x v="1"/>
    <x v="3"/>
    <x v="0"/>
    <x v="0"/>
    <x v="0"/>
    <x v="1"/>
    <x v="9"/>
    <n v="0"/>
    <n v="0"/>
    <n v="0.77100000000000002"/>
    <n v="0.77100000000000002"/>
    <n v="0.77100000000000002"/>
    <n v="0.77100000000000002"/>
    <n v="4"/>
    <x v="0"/>
    <n v="0"/>
    <n v="0"/>
    <n v="31"/>
    <n v="69"/>
    <n v="0"/>
    <n v="355.82"/>
    <n v="282.13"/>
    <m/>
    <n v="461.65122529845456"/>
    <n v="273.10740422395554"/>
    <n v="0"/>
    <n v="274.33722"/>
    <n v="217.52223000000001"/>
    <n v="0"/>
    <n v="355.93309470510849"/>
    <n v="210.56580865666973"/>
  </r>
  <r>
    <s v="Regular"/>
    <x v="2"/>
    <x v="1"/>
    <x v="3"/>
    <x v="0"/>
    <x v="0"/>
    <x v="0"/>
    <x v="1"/>
    <x v="10"/>
    <n v="0"/>
    <n v="0"/>
    <n v="0.69299999999999995"/>
    <n v="0.69299999999999995"/>
    <n v="0.69299999999999995"/>
    <n v="0.69299999999999995"/>
    <n v="4"/>
    <x v="0"/>
    <n v="0"/>
    <n v="0"/>
    <n v="31"/>
    <n v="69"/>
    <n v="0"/>
    <n v="355.82"/>
    <n v="282.13"/>
    <m/>
    <n v="461.65122529845456"/>
    <n v="273.10740422395554"/>
    <n v="0"/>
    <n v="246.58325999999997"/>
    <n v="195.51608999999999"/>
    <n v="0"/>
    <n v="319.924299131829"/>
    <n v="189.26343112720119"/>
  </r>
  <r>
    <s v="Regular"/>
    <x v="2"/>
    <x v="1"/>
    <x v="3"/>
    <x v="0"/>
    <x v="0"/>
    <x v="0"/>
    <x v="1"/>
    <x v="11"/>
    <n v="0"/>
    <n v="0"/>
    <n v="0.65100000000000002"/>
    <n v="0.65100000000000002"/>
    <n v="0.65100000000000002"/>
    <n v="0.65100000000000002"/>
    <n v="4"/>
    <x v="0"/>
    <n v="0"/>
    <n v="0"/>
    <n v="31"/>
    <n v="69"/>
    <n v="0"/>
    <n v="355.82"/>
    <n v="282.13"/>
    <m/>
    <n v="461.65122529845456"/>
    <n v="273.10740422395554"/>
    <n v="0"/>
    <n v="231.63882000000001"/>
    <n v="183.66663"/>
    <n v="0"/>
    <n v="300.53494766929396"/>
    <n v="177.79292014979507"/>
  </r>
  <r>
    <s v="Regular"/>
    <x v="3"/>
    <x v="2"/>
    <x v="0"/>
    <x v="0"/>
    <x v="0"/>
    <x v="0"/>
    <x v="0"/>
    <x v="0"/>
    <n v="0"/>
    <n v="0"/>
    <n v="8.2989999999999995"/>
    <n v="8.2989999999999995"/>
    <n v="8.2989999999999995"/>
    <n v="8.2989999999999995"/>
    <n v="0"/>
    <x v="0"/>
    <n v="0"/>
    <n v="0"/>
    <n v="45"/>
    <n v="83"/>
    <n v="0"/>
    <n v="325.17"/>
    <n v="302.62"/>
    <m/>
    <n v="401.10668165804543"/>
    <n v="274.25476998219489"/>
    <n v="0"/>
    <n v="2698.58583"/>
    <n v="2511.4433799999997"/>
    <n v="0"/>
    <n v="3328.784351080119"/>
    <n v="2276.0403360822352"/>
  </r>
  <r>
    <s v="Regular"/>
    <x v="3"/>
    <x v="2"/>
    <x v="0"/>
    <x v="0"/>
    <x v="0"/>
    <x v="0"/>
    <x v="0"/>
    <x v="1"/>
    <n v="0"/>
    <n v="0"/>
    <n v="8.4309999999999992"/>
    <n v="8.4309999999999992"/>
    <n v="8.4309999999999992"/>
    <n v="8.4309999999999992"/>
    <n v="0"/>
    <x v="0"/>
    <n v="0"/>
    <n v="0"/>
    <n v="45"/>
    <n v="83"/>
    <n v="0"/>
    <n v="325.17"/>
    <n v="302.62"/>
    <m/>
    <n v="401.10668165804543"/>
    <n v="274.25476998219489"/>
    <n v="0"/>
    <n v="2741.5082699999998"/>
    <n v="2551.3892199999996"/>
    <n v="0"/>
    <n v="3381.7304330589809"/>
    <n v="2312.2419657198848"/>
  </r>
  <r>
    <s v="Regular"/>
    <x v="3"/>
    <x v="2"/>
    <x v="0"/>
    <x v="0"/>
    <x v="0"/>
    <x v="0"/>
    <x v="0"/>
    <x v="2"/>
    <n v="0"/>
    <n v="0"/>
    <n v="7.63"/>
    <n v="7.63"/>
    <n v="7.63"/>
    <n v="7.63"/>
    <n v="0"/>
    <x v="0"/>
    <n v="0"/>
    <n v="0"/>
    <n v="45"/>
    <n v="83"/>
    <n v="0"/>
    <n v="325.17"/>
    <n v="302.62"/>
    <m/>
    <n v="401.10668165804543"/>
    <n v="274.25476998219489"/>
    <n v="0"/>
    <n v="2481.0471000000002"/>
    <n v="2308.9906000000001"/>
    <n v="0"/>
    <n v="3060.4439810508866"/>
    <n v="2092.563894964147"/>
  </r>
  <r>
    <s v="Regular"/>
    <x v="3"/>
    <x v="2"/>
    <x v="0"/>
    <x v="0"/>
    <x v="0"/>
    <x v="0"/>
    <x v="0"/>
    <x v="3"/>
    <n v="0"/>
    <n v="0"/>
    <n v="7.742"/>
    <n v="7.742"/>
    <n v="7.742"/>
    <n v="7.742"/>
    <n v="0"/>
    <x v="0"/>
    <n v="0"/>
    <n v="0"/>
    <n v="45"/>
    <n v="83"/>
    <n v="0"/>
    <n v="325.17"/>
    <n v="302.62"/>
    <m/>
    <n v="401.10668165804543"/>
    <n v="274.25476998219489"/>
    <n v="0"/>
    <n v="2517.46614"/>
    <n v="2342.8840399999999"/>
    <n v="0"/>
    <n v="3105.3679293965879"/>
    <n v="2123.2804292021528"/>
  </r>
  <r>
    <s v="Regular"/>
    <x v="3"/>
    <x v="2"/>
    <x v="0"/>
    <x v="0"/>
    <x v="0"/>
    <x v="0"/>
    <x v="0"/>
    <x v="4"/>
    <n v="0"/>
    <n v="0"/>
    <n v="8.7270000000000003"/>
    <n v="8.7270000000000003"/>
    <n v="8.7270000000000003"/>
    <n v="8.7270000000000003"/>
    <n v="0"/>
    <x v="0"/>
    <n v="0"/>
    <n v="0"/>
    <n v="45"/>
    <n v="83"/>
    <n v="0"/>
    <n v="325.17"/>
    <n v="302.62"/>
    <m/>
    <n v="401.10668165804543"/>
    <n v="274.25476998219489"/>
    <n v="0"/>
    <n v="2837.7585900000004"/>
    <n v="2640.9647400000003"/>
    <n v="0"/>
    <n v="3500.4580108297628"/>
    <n v="2393.4213776346151"/>
  </r>
  <r>
    <s v="Regular"/>
    <x v="3"/>
    <x v="2"/>
    <x v="0"/>
    <x v="0"/>
    <x v="0"/>
    <x v="0"/>
    <x v="0"/>
    <x v="5"/>
    <n v="0"/>
    <n v="0"/>
    <n v="7.1580000000000004"/>
    <n v="7.1580000000000004"/>
    <n v="7.1580000000000004"/>
    <n v="7.1580000000000004"/>
    <n v="0"/>
    <x v="0"/>
    <n v="0"/>
    <n v="0"/>
    <n v="45"/>
    <n v="83"/>
    <n v="0"/>
    <n v="325.17"/>
    <n v="302.62"/>
    <m/>
    <n v="401.10668165804543"/>
    <n v="274.25476998219489"/>
    <n v="0"/>
    <n v="2327.5668600000004"/>
    <n v="2166.1539600000001"/>
    <n v="0"/>
    <n v="2871.1216273082891"/>
    <n v="1963.1156435325511"/>
  </r>
  <r>
    <s v="Regular"/>
    <x v="3"/>
    <x v="2"/>
    <x v="0"/>
    <x v="0"/>
    <x v="0"/>
    <x v="0"/>
    <x v="0"/>
    <x v="6"/>
    <n v="0"/>
    <n v="0"/>
    <n v="9.8309999999999995"/>
    <n v="9.8309999999999995"/>
    <n v="9.8309999999999995"/>
    <n v="9.8309999999999995"/>
    <n v="0"/>
    <x v="0"/>
    <n v="0"/>
    <n v="0"/>
    <n v="45"/>
    <n v="83"/>
    <n v="0"/>
    <n v="325.17"/>
    <n v="302.62"/>
    <m/>
    <n v="401.10668165804543"/>
    <n v="274.25476998219489"/>
    <n v="0"/>
    <n v="3196.7462700000001"/>
    <n v="2975.0572199999997"/>
    <n v="0"/>
    <n v="3943.2797873802447"/>
    <n v="2696.1986436949578"/>
  </r>
  <r>
    <s v="Regular"/>
    <x v="3"/>
    <x v="2"/>
    <x v="0"/>
    <x v="0"/>
    <x v="0"/>
    <x v="0"/>
    <x v="0"/>
    <x v="7"/>
    <n v="0"/>
    <n v="0"/>
    <n v="10.012"/>
    <n v="10.012"/>
    <n v="10.012"/>
    <n v="10.012"/>
    <n v="0"/>
    <x v="0"/>
    <n v="0"/>
    <n v="0"/>
    <n v="45"/>
    <n v="83"/>
    <n v="0"/>
    <n v="325.17"/>
    <n v="302.62"/>
    <m/>
    <n v="401.10668165804543"/>
    <n v="274.25476998219489"/>
    <n v="0"/>
    <n v="3255.6020400000002"/>
    <n v="3029.8314400000004"/>
    <n v="0"/>
    <n v="4015.8800967603511"/>
    <n v="2745.8387570617351"/>
  </r>
  <r>
    <s v="Regular"/>
    <x v="3"/>
    <x v="2"/>
    <x v="0"/>
    <x v="0"/>
    <x v="0"/>
    <x v="0"/>
    <x v="0"/>
    <x v="8"/>
    <n v="0"/>
    <n v="0"/>
    <n v="10.441000000000001"/>
    <n v="10.441000000000001"/>
    <n v="10.441000000000001"/>
    <n v="10.441000000000001"/>
    <n v="0"/>
    <x v="0"/>
    <n v="0"/>
    <n v="0"/>
    <n v="45"/>
    <n v="83"/>
    <n v="0"/>
    <n v="325.17"/>
    <n v="302.62"/>
    <m/>
    <n v="401.10668165804543"/>
    <n v="274.25476998219489"/>
    <n v="0"/>
    <n v="3395.0999700000002"/>
    <n v="3159.65542"/>
    <n v="0"/>
    <n v="4187.9548631916523"/>
    <n v="2863.4940533840968"/>
  </r>
  <r>
    <s v="Regular"/>
    <x v="3"/>
    <x v="2"/>
    <x v="0"/>
    <x v="0"/>
    <x v="0"/>
    <x v="0"/>
    <x v="0"/>
    <x v="9"/>
    <n v="0"/>
    <n v="0"/>
    <n v="7.8769999999999998"/>
    <n v="7.8769999999999998"/>
    <n v="7.8769999999999998"/>
    <n v="7.8769999999999998"/>
    <n v="0"/>
    <x v="0"/>
    <n v="0"/>
    <n v="0"/>
    <n v="45"/>
    <n v="83"/>
    <n v="0"/>
    <n v="325.17"/>
    <n v="302.62"/>
    <m/>
    <n v="401.10668165804543"/>
    <n v="274.25476998219489"/>
    <n v="0"/>
    <n v="2561.36409"/>
    <n v="2383.73774"/>
    <n v="0"/>
    <n v="3159.5173314204239"/>
    <n v="2160.3048231497492"/>
  </r>
  <r>
    <s v="Regular"/>
    <x v="3"/>
    <x v="2"/>
    <x v="0"/>
    <x v="0"/>
    <x v="0"/>
    <x v="0"/>
    <x v="0"/>
    <x v="10"/>
    <n v="0"/>
    <n v="0"/>
    <n v="7.9480000000000004"/>
    <n v="7.9480000000000004"/>
    <n v="7.9480000000000004"/>
    <n v="7.9480000000000004"/>
    <n v="0"/>
    <x v="0"/>
    <n v="0"/>
    <n v="0"/>
    <n v="45"/>
    <n v="83"/>
    <n v="0"/>
    <n v="325.17"/>
    <n v="302.62"/>
    <m/>
    <n v="401.10668165804543"/>
    <n v="274.25476998219489"/>
    <n v="0"/>
    <n v="2584.4511600000001"/>
    <n v="2405.2237600000003"/>
    <n v="0"/>
    <n v="3187.9959058181453"/>
    <n v="2179.7769118184851"/>
  </r>
  <r>
    <s v="Regular"/>
    <x v="3"/>
    <x v="2"/>
    <x v="0"/>
    <x v="0"/>
    <x v="0"/>
    <x v="0"/>
    <x v="0"/>
    <x v="11"/>
    <n v="0"/>
    <n v="0"/>
    <n v="7.3920000000000003"/>
    <n v="7.3920000000000003"/>
    <n v="7.3920000000000003"/>
    <n v="7.3920000000000003"/>
    <n v="0"/>
    <x v="0"/>
    <n v="0"/>
    <n v="0"/>
    <n v="45"/>
    <n v="83"/>
    <n v="0"/>
    <n v="325.17"/>
    <n v="302.62"/>
    <m/>
    <n v="401.10668165804543"/>
    <n v="274.25476998219489"/>
    <n v="0"/>
    <n v="2403.6566400000002"/>
    <n v="2236.96704"/>
    <n v="0"/>
    <n v="2964.9805908162721"/>
    <n v="2027.2912597083846"/>
  </r>
  <r>
    <s v="Regular"/>
    <x v="3"/>
    <x v="2"/>
    <x v="0"/>
    <x v="0"/>
    <x v="0"/>
    <x v="0"/>
    <x v="3"/>
    <x v="0"/>
    <n v="0"/>
    <n v="0"/>
    <n v="0.38200000000000001"/>
    <n v="0.38200000000000001"/>
    <n v="0.38200000000000001"/>
    <n v="0.38200000000000001"/>
    <n v="0"/>
    <x v="0"/>
    <n v="0"/>
    <n v="0"/>
    <n v="44"/>
    <n v="82"/>
    <n v="0"/>
    <n v="775.82"/>
    <n v="302.62"/>
    <m/>
    <n v="913.48044743214962"/>
    <n v="274.25476998219489"/>
    <n v="0"/>
    <n v="296.36324000000002"/>
    <n v="115.60084000000001"/>
    <n v="0"/>
    <n v="348.94953091908116"/>
    <n v="104.76532213319845"/>
  </r>
  <r>
    <s v="Regular"/>
    <x v="3"/>
    <x v="2"/>
    <x v="0"/>
    <x v="0"/>
    <x v="0"/>
    <x v="0"/>
    <x v="3"/>
    <x v="1"/>
    <n v="0"/>
    <n v="0"/>
    <n v="0.318"/>
    <n v="0.318"/>
    <n v="0.318"/>
    <n v="0.318"/>
    <n v="0"/>
    <x v="0"/>
    <n v="0"/>
    <n v="0"/>
    <n v="44"/>
    <n v="82"/>
    <n v="0"/>
    <n v="775.82"/>
    <n v="302.62"/>
    <m/>
    <n v="913.48044743214962"/>
    <n v="274.25476998219489"/>
    <n v="0"/>
    <n v="246.71076000000002"/>
    <n v="96.233159999999998"/>
    <n v="0"/>
    <n v="290.48678228342357"/>
    <n v="87.21301685433798"/>
  </r>
  <r>
    <s v="Regular"/>
    <x v="3"/>
    <x v="2"/>
    <x v="0"/>
    <x v="0"/>
    <x v="0"/>
    <x v="0"/>
    <x v="3"/>
    <x v="2"/>
    <n v="0"/>
    <n v="0"/>
    <n v="0.28100000000000003"/>
    <n v="0.28100000000000003"/>
    <n v="0.28100000000000003"/>
    <n v="0.28100000000000003"/>
    <n v="0"/>
    <x v="0"/>
    <n v="0"/>
    <n v="0"/>
    <n v="44"/>
    <n v="82"/>
    <n v="0"/>
    <n v="775.82"/>
    <n v="302.62"/>
    <m/>
    <n v="913.48044743214962"/>
    <n v="274.25476998219489"/>
    <n v="0"/>
    <n v="218.00542000000004"/>
    <n v="85.036220000000014"/>
    <n v="0"/>
    <n v="256.68800572843406"/>
    <n v="77.065590364996766"/>
  </r>
  <r>
    <s v="Regular"/>
    <x v="3"/>
    <x v="2"/>
    <x v="0"/>
    <x v="0"/>
    <x v="0"/>
    <x v="0"/>
    <x v="3"/>
    <x v="3"/>
    <n v="0"/>
    <n v="0"/>
    <n v="0.29799999999999999"/>
    <n v="0.29799999999999999"/>
    <n v="0.29799999999999999"/>
    <n v="0.29799999999999999"/>
    <n v="0"/>
    <x v="0"/>
    <n v="0"/>
    <n v="0"/>
    <n v="44"/>
    <n v="82"/>
    <n v="0"/>
    <n v="775.82"/>
    <n v="302.62"/>
    <m/>
    <n v="913.48044743214962"/>
    <n v="274.25476998219489"/>
    <n v="0"/>
    <n v="231.19436000000002"/>
    <n v="90.180759999999992"/>
    <n v="0"/>
    <n v="272.21717333478057"/>
    <n v="81.727921454694069"/>
  </r>
  <r>
    <s v="Regular"/>
    <x v="3"/>
    <x v="2"/>
    <x v="0"/>
    <x v="0"/>
    <x v="0"/>
    <x v="0"/>
    <x v="3"/>
    <x v="4"/>
    <n v="0"/>
    <n v="0"/>
    <n v="0.375"/>
    <n v="0.375"/>
    <n v="0.375"/>
    <n v="0.375"/>
    <n v="0"/>
    <x v="0"/>
    <n v="0"/>
    <n v="0"/>
    <n v="44"/>
    <n v="82"/>
    <n v="0"/>
    <n v="775.82"/>
    <n v="302.62"/>
    <m/>
    <n v="913.48044743214962"/>
    <n v="274.25476998219489"/>
    <n v="0"/>
    <n v="290.9325"/>
    <n v="113.4825"/>
    <n v="0"/>
    <n v="342.55516778705612"/>
    <n v="102.84553874332309"/>
  </r>
  <r>
    <s v="Regular"/>
    <x v="3"/>
    <x v="2"/>
    <x v="0"/>
    <x v="0"/>
    <x v="0"/>
    <x v="0"/>
    <x v="3"/>
    <x v="5"/>
    <n v="0"/>
    <n v="0"/>
    <n v="0.34100000000000003"/>
    <n v="0.34100000000000003"/>
    <n v="0.34100000000000003"/>
    <n v="0.34100000000000003"/>
    <n v="0"/>
    <x v="0"/>
    <n v="0"/>
    <n v="0"/>
    <n v="44"/>
    <n v="82"/>
    <n v="0"/>
    <n v="775.82"/>
    <n v="302.62"/>
    <m/>
    <n v="913.48044743214962"/>
    <n v="274.25476998219489"/>
    <n v="0"/>
    <n v="264.55462000000006"/>
    <n v="103.19342"/>
    <n v="0"/>
    <n v="311.49683257436305"/>
    <n v="93.520876563928468"/>
  </r>
  <r>
    <s v="Regular"/>
    <x v="3"/>
    <x v="2"/>
    <x v="0"/>
    <x v="0"/>
    <x v="0"/>
    <x v="0"/>
    <x v="3"/>
    <x v="6"/>
    <n v="0"/>
    <n v="0"/>
    <n v="0.36"/>
    <n v="0.36"/>
    <n v="0.36"/>
    <n v="0.36"/>
    <n v="0"/>
    <x v="0"/>
    <n v="0"/>
    <n v="0"/>
    <n v="44"/>
    <n v="82"/>
    <n v="0"/>
    <n v="775.82"/>
    <n v="302.62"/>
    <m/>
    <n v="913.48044743214962"/>
    <n v="274.25476998219489"/>
    <n v="0"/>
    <n v="279.29520000000002"/>
    <n v="108.9432"/>
    <n v="0"/>
    <n v="328.85296107557383"/>
    <n v="98.731717193590157"/>
  </r>
  <r>
    <s v="Regular"/>
    <x v="3"/>
    <x v="2"/>
    <x v="0"/>
    <x v="0"/>
    <x v="0"/>
    <x v="0"/>
    <x v="3"/>
    <x v="7"/>
    <n v="0"/>
    <n v="0"/>
    <n v="0.32100000000000001"/>
    <n v="0.32100000000000001"/>
    <n v="0.32100000000000001"/>
    <n v="0.32100000000000001"/>
    <n v="0"/>
    <x v="0"/>
    <n v="0"/>
    <n v="0"/>
    <n v="44"/>
    <n v="82"/>
    <n v="0"/>
    <n v="775.82"/>
    <n v="302.62"/>
    <m/>
    <n v="913.48044743214962"/>
    <n v="274.25476998219489"/>
    <n v="0"/>
    <n v="249.03822000000002"/>
    <n v="97.141019999999997"/>
    <n v="0"/>
    <n v="293.22722362572006"/>
    <n v="88.035781164284558"/>
  </r>
  <r>
    <s v="Regular"/>
    <x v="3"/>
    <x v="2"/>
    <x v="0"/>
    <x v="0"/>
    <x v="0"/>
    <x v="0"/>
    <x v="3"/>
    <x v="8"/>
    <n v="0"/>
    <n v="0"/>
    <n v="0.26300000000000001"/>
    <n v="0.26300000000000001"/>
    <n v="0.26300000000000001"/>
    <n v="0.26300000000000001"/>
    <n v="0"/>
    <x v="0"/>
    <n v="0"/>
    <n v="0"/>
    <n v="44"/>
    <n v="82"/>
    <n v="0"/>
    <n v="775.82"/>
    <n v="302.62"/>
    <m/>
    <n v="913.48044743214962"/>
    <n v="274.25476998219489"/>
    <n v="0"/>
    <n v="204.04066000000003"/>
    <n v="79.589060000000003"/>
    <n v="0"/>
    <n v="240.24535767465537"/>
    <n v="72.129004505317255"/>
  </r>
  <r>
    <s v="Regular"/>
    <x v="3"/>
    <x v="2"/>
    <x v="0"/>
    <x v="0"/>
    <x v="0"/>
    <x v="0"/>
    <x v="3"/>
    <x v="9"/>
    <n v="0"/>
    <n v="0"/>
    <n v="0.19600000000000001"/>
    <n v="0.19600000000000001"/>
    <n v="0.19600000000000001"/>
    <n v="0.19600000000000001"/>
    <n v="0"/>
    <x v="0"/>
    <n v="0"/>
    <n v="0"/>
    <n v="44"/>
    <n v="82"/>
    <n v="0"/>
    <n v="775.82"/>
    <n v="302.62"/>
    <m/>
    <n v="913.48044743214962"/>
    <n v="274.25476998219489"/>
    <n v="0"/>
    <n v="152.06072"/>
    <n v="59.313520000000004"/>
    <n v="0"/>
    <n v="179.04216769670134"/>
    <n v="53.753934916510197"/>
  </r>
  <r>
    <s v="Regular"/>
    <x v="3"/>
    <x v="2"/>
    <x v="0"/>
    <x v="0"/>
    <x v="0"/>
    <x v="0"/>
    <x v="3"/>
    <x v="10"/>
    <n v="0"/>
    <n v="0"/>
    <n v="0.17599999999999999"/>
    <n v="0.17599999999999999"/>
    <n v="0.17599999999999999"/>
    <n v="0.17599999999999999"/>
    <n v="0"/>
    <x v="0"/>
    <n v="0"/>
    <n v="0"/>
    <n v="44"/>
    <n v="82"/>
    <n v="0"/>
    <n v="775.82"/>
    <n v="302.62"/>
    <m/>
    <n v="913.48044743214962"/>
    <n v="274.25476998219489"/>
    <n v="0"/>
    <n v="136.54432"/>
    <n v="53.261119999999998"/>
    <n v="0"/>
    <n v="160.77255874805832"/>
    <n v="48.268839516866301"/>
  </r>
  <r>
    <s v="Regular"/>
    <x v="3"/>
    <x v="2"/>
    <x v="0"/>
    <x v="0"/>
    <x v="0"/>
    <x v="0"/>
    <x v="3"/>
    <x v="11"/>
    <n v="0"/>
    <n v="0"/>
    <n v="0.183"/>
    <n v="0.183"/>
    <n v="0.183"/>
    <n v="0.183"/>
    <n v="0"/>
    <x v="0"/>
    <n v="0"/>
    <n v="0"/>
    <n v="44"/>
    <n v="82"/>
    <n v="0"/>
    <n v="775.82"/>
    <n v="302.62"/>
    <m/>
    <n v="913.48044743214962"/>
    <n v="274.25476998219489"/>
    <n v="0"/>
    <n v="141.97506000000001"/>
    <n v="55.379460000000002"/>
    <n v="0"/>
    <n v="167.16692188008338"/>
    <n v="50.188622906741664"/>
  </r>
  <r>
    <s v="Regular"/>
    <x v="3"/>
    <x v="2"/>
    <x v="0"/>
    <x v="0"/>
    <x v="0"/>
    <x v="0"/>
    <x v="2"/>
    <x v="0"/>
    <n v="0"/>
    <n v="0"/>
    <n v="0.73499999999999999"/>
    <n v="0.73499999999999999"/>
    <n v="0.73499999999999999"/>
    <n v="0.73499999999999999"/>
    <n v="0"/>
    <x v="0"/>
    <n v="0"/>
    <n v="0"/>
    <n v="43"/>
    <n v="81"/>
    <n v="0"/>
    <n v="1226.48"/>
    <n v="518.44000000000005"/>
    <m/>
    <n v="1425.8542132062535"/>
    <n v="469.6750309272033"/>
    <n v="0"/>
    <n v="901.46280000000002"/>
    <n v="381.05340000000001"/>
    <n v="0"/>
    <n v="1048.0028467065963"/>
    <n v="345.21114773149441"/>
  </r>
  <r>
    <s v="Regular"/>
    <x v="3"/>
    <x v="2"/>
    <x v="0"/>
    <x v="0"/>
    <x v="0"/>
    <x v="0"/>
    <x v="2"/>
    <x v="1"/>
    <n v="0"/>
    <n v="0"/>
    <n v="0.53100000000000003"/>
    <n v="0.53100000000000003"/>
    <n v="0.53100000000000003"/>
    <n v="0.53100000000000003"/>
    <n v="0"/>
    <x v="0"/>
    <n v="0"/>
    <n v="0"/>
    <n v="43"/>
    <n v="81"/>
    <n v="0"/>
    <n v="1226.48"/>
    <n v="518.44000000000005"/>
    <m/>
    <n v="1425.8542132062535"/>
    <n v="469.6750309272033"/>
    <n v="0"/>
    <n v="651.26088000000004"/>
    <n v="275.29164000000003"/>
    <n v="0"/>
    <n v="757.12858721252064"/>
    <n v="249.39744142234497"/>
  </r>
  <r>
    <s v="Regular"/>
    <x v="3"/>
    <x v="2"/>
    <x v="0"/>
    <x v="0"/>
    <x v="0"/>
    <x v="0"/>
    <x v="2"/>
    <x v="2"/>
    <n v="0"/>
    <n v="0"/>
    <n v="0.46300000000000002"/>
    <n v="0.46300000000000002"/>
    <n v="0.46300000000000002"/>
    <n v="0.46300000000000002"/>
    <n v="0"/>
    <x v="0"/>
    <n v="0"/>
    <n v="0"/>
    <n v="43"/>
    <n v="81"/>
    <n v="0"/>
    <n v="1226.48"/>
    <n v="518.44000000000005"/>
    <m/>
    <n v="1425.8542132062535"/>
    <n v="469.6750309272033"/>
    <n v="0"/>
    <n v="567.86024000000009"/>
    <n v="240.03772000000004"/>
    <n v="0"/>
    <n v="660.17050071449535"/>
    <n v="217.45953931929515"/>
  </r>
  <r>
    <s v="Regular"/>
    <x v="3"/>
    <x v="2"/>
    <x v="0"/>
    <x v="0"/>
    <x v="0"/>
    <x v="0"/>
    <x v="2"/>
    <x v="3"/>
    <n v="0"/>
    <n v="0"/>
    <n v="0.51600000000000001"/>
    <n v="0.51600000000000001"/>
    <n v="0.51600000000000001"/>
    <n v="0.51600000000000001"/>
    <n v="0"/>
    <x v="0"/>
    <n v="0"/>
    <n v="0"/>
    <n v="43"/>
    <n v="81"/>
    <n v="0"/>
    <n v="1226.48"/>
    <n v="518.44000000000005"/>
    <m/>
    <n v="1425.8542132062535"/>
    <n v="469.6750309272033"/>
    <n v="0"/>
    <n v="632.86368000000004"/>
    <n v="267.51504000000006"/>
    <n v="0"/>
    <n v="735.74077401442685"/>
    <n v="242.35231595843692"/>
  </r>
  <r>
    <s v="Regular"/>
    <x v="3"/>
    <x v="2"/>
    <x v="0"/>
    <x v="0"/>
    <x v="0"/>
    <x v="0"/>
    <x v="2"/>
    <x v="4"/>
    <n v="0"/>
    <n v="0"/>
    <n v="0.61199999999999999"/>
    <n v="0.61199999999999999"/>
    <n v="0.61199999999999999"/>
    <n v="0.61199999999999999"/>
    <n v="0"/>
    <x v="0"/>
    <n v="0"/>
    <n v="0"/>
    <n v="43"/>
    <n v="81"/>
    <n v="0"/>
    <n v="1226.48"/>
    <n v="518.44000000000005"/>
    <m/>
    <n v="1425.8542132062535"/>
    <n v="469.6750309272033"/>
    <n v="0"/>
    <n v="750.60576000000003"/>
    <n v="317.28528"/>
    <n v="0"/>
    <n v="872.62277848222709"/>
    <n v="287.44111892744843"/>
  </r>
  <r>
    <s v="Regular"/>
    <x v="3"/>
    <x v="2"/>
    <x v="0"/>
    <x v="0"/>
    <x v="0"/>
    <x v="0"/>
    <x v="2"/>
    <x v="5"/>
    <n v="0"/>
    <n v="0"/>
    <n v="0.60899999999999999"/>
    <n v="0.60899999999999999"/>
    <n v="0.60899999999999999"/>
    <n v="0.60899999999999999"/>
    <n v="0"/>
    <x v="0"/>
    <n v="0"/>
    <n v="0"/>
    <n v="43"/>
    <n v="81"/>
    <n v="0"/>
    <n v="1226.48"/>
    <n v="518.44000000000005"/>
    <m/>
    <n v="1425.8542132062535"/>
    <n v="469.6750309272033"/>
    <n v="0"/>
    <n v="746.92632000000003"/>
    <n v="315.72996000000001"/>
    <n v="0"/>
    <n v="868.34521584260835"/>
    <n v="286.0320938346668"/>
  </r>
  <r>
    <s v="Regular"/>
    <x v="3"/>
    <x v="2"/>
    <x v="0"/>
    <x v="0"/>
    <x v="0"/>
    <x v="0"/>
    <x v="2"/>
    <x v="6"/>
    <n v="0"/>
    <n v="0"/>
    <n v="0.30199999999999999"/>
    <n v="0.30199999999999999"/>
    <n v="0.30199999999999999"/>
    <n v="0.30199999999999999"/>
    <n v="0"/>
    <x v="0"/>
    <n v="0"/>
    <n v="0"/>
    <n v="43"/>
    <n v="81"/>
    <n v="0"/>
    <n v="1226.48"/>
    <n v="518.44000000000005"/>
    <m/>
    <n v="1425.8542132062535"/>
    <n v="469.6750309272033"/>
    <n v="0"/>
    <n v="370.39695999999998"/>
    <n v="156.56888000000001"/>
    <n v="0"/>
    <n v="430.60797238828854"/>
    <n v="141.84185934001539"/>
  </r>
  <r>
    <s v="Regular"/>
    <x v="3"/>
    <x v="2"/>
    <x v="0"/>
    <x v="0"/>
    <x v="0"/>
    <x v="0"/>
    <x v="2"/>
    <x v="7"/>
    <n v="0"/>
    <n v="0"/>
    <n v="0.21199999999999999"/>
    <n v="0.21199999999999999"/>
    <n v="0.21199999999999999"/>
    <n v="0.21199999999999999"/>
    <n v="0"/>
    <x v="0"/>
    <n v="0"/>
    <n v="0"/>
    <n v="43"/>
    <n v="81"/>
    <n v="0"/>
    <n v="1226.48"/>
    <n v="518.44000000000005"/>
    <m/>
    <n v="1425.8542132062535"/>
    <n v="469.6750309272033"/>
    <n v="0"/>
    <n v="260.01375999999999"/>
    <n v="109.90928000000001"/>
    <n v="0"/>
    <n v="302.28109319972572"/>
    <n v="99.571106556567102"/>
  </r>
  <r>
    <s v="Regular"/>
    <x v="3"/>
    <x v="2"/>
    <x v="0"/>
    <x v="0"/>
    <x v="0"/>
    <x v="0"/>
    <x v="2"/>
    <x v="8"/>
    <n v="0"/>
    <n v="0"/>
    <n v="0.17599999999999999"/>
    <n v="0.17599999999999999"/>
    <n v="0.17599999999999999"/>
    <n v="0.17599999999999999"/>
    <n v="0"/>
    <x v="0"/>
    <n v="0"/>
    <n v="0"/>
    <n v="43"/>
    <n v="81"/>
    <n v="0"/>
    <n v="1226.48"/>
    <n v="518.44000000000005"/>
    <m/>
    <n v="1425.8542132062535"/>
    <n v="469.6750309272033"/>
    <n v="0"/>
    <n v="215.86048"/>
    <n v="91.245440000000002"/>
    <n v="0"/>
    <n v="250.9503415243006"/>
    <n v="82.662805443187779"/>
  </r>
  <r>
    <s v="Regular"/>
    <x v="3"/>
    <x v="2"/>
    <x v="0"/>
    <x v="0"/>
    <x v="0"/>
    <x v="0"/>
    <x v="2"/>
    <x v="9"/>
    <n v="0"/>
    <n v="0"/>
    <n v="0.13900000000000001"/>
    <n v="0.13900000000000001"/>
    <n v="0.13900000000000001"/>
    <n v="0.13900000000000001"/>
    <n v="0"/>
    <x v="0"/>
    <n v="0"/>
    <n v="0"/>
    <n v="43"/>
    <n v="81"/>
    <n v="0"/>
    <n v="1226.48"/>
    <n v="518.44000000000005"/>
    <m/>
    <n v="1425.8542132062535"/>
    <n v="469.6750309272033"/>
    <n v="0"/>
    <n v="170.48072000000002"/>
    <n v="72.063160000000011"/>
    <n v="0"/>
    <n v="198.19373563566924"/>
    <n v="65.284829298881263"/>
  </r>
  <r>
    <s v="Regular"/>
    <x v="3"/>
    <x v="2"/>
    <x v="0"/>
    <x v="0"/>
    <x v="0"/>
    <x v="0"/>
    <x v="2"/>
    <x v="10"/>
    <n v="0"/>
    <n v="0"/>
    <n v="0.14699999999999999"/>
    <n v="0.14699999999999999"/>
    <n v="0.14699999999999999"/>
    <n v="0.14699999999999999"/>
    <n v="0"/>
    <x v="0"/>
    <n v="0"/>
    <n v="0"/>
    <n v="43"/>
    <n v="81"/>
    <n v="0"/>
    <n v="1226.48"/>
    <n v="518.44000000000005"/>
    <m/>
    <n v="1425.8542132062535"/>
    <n v="469.6750309272033"/>
    <n v="0"/>
    <n v="180.29255999999998"/>
    <n v="76.210680000000011"/>
    <n v="0"/>
    <n v="209.60056934131924"/>
    <n v="69.042229546298884"/>
  </r>
  <r>
    <s v="Regular"/>
    <x v="3"/>
    <x v="2"/>
    <x v="0"/>
    <x v="0"/>
    <x v="0"/>
    <x v="0"/>
    <x v="2"/>
    <x v="11"/>
    <n v="0"/>
    <n v="0"/>
    <n v="0.14499999999999999"/>
    <n v="0.14499999999999999"/>
    <n v="0.14499999999999999"/>
    <n v="0.14499999999999999"/>
    <n v="0"/>
    <x v="0"/>
    <n v="0"/>
    <n v="0"/>
    <n v="43"/>
    <n v="81"/>
    <n v="0"/>
    <n v="1226.48"/>
    <n v="518.44000000000005"/>
    <m/>
    <n v="1425.8542132062535"/>
    <n v="469.6750309272033"/>
    <n v="0"/>
    <n v="177.83959999999999"/>
    <n v="75.1738"/>
    <n v="0"/>
    <n v="206.74886091490674"/>
    <n v="68.102879484444472"/>
  </r>
  <r>
    <s v="Regular"/>
    <x v="3"/>
    <x v="2"/>
    <x v="1"/>
    <x v="0"/>
    <x v="0"/>
    <x v="0"/>
    <x v="0"/>
    <x v="0"/>
    <n v="0"/>
    <n v="0"/>
    <n v="2.0550000000000002"/>
    <n v="2.0550000000000002"/>
    <n v="2.0550000000000002"/>
    <n v="2.0550000000000002"/>
    <n v="0"/>
    <x v="0"/>
    <n v="0"/>
    <n v="0"/>
    <n v="45"/>
    <n v="83"/>
    <n v="0"/>
    <n v="325.17"/>
    <n v="302.62"/>
    <m/>
    <n v="401.10668165804543"/>
    <n v="274.25476998219489"/>
    <n v="0"/>
    <n v="668.22435000000007"/>
    <n v="621.8841000000001"/>
    <n v="0"/>
    <n v="824.2742308072834"/>
    <n v="563.59355231341056"/>
  </r>
  <r>
    <s v="Regular"/>
    <x v="3"/>
    <x v="2"/>
    <x v="1"/>
    <x v="0"/>
    <x v="0"/>
    <x v="0"/>
    <x v="0"/>
    <x v="1"/>
    <n v="0"/>
    <n v="0"/>
    <n v="2.2200000000000002"/>
    <n v="2.2200000000000002"/>
    <n v="2.2200000000000002"/>
    <n v="2.2200000000000002"/>
    <n v="0"/>
    <x v="0"/>
    <n v="0"/>
    <n v="0"/>
    <n v="45"/>
    <n v="83"/>
    <n v="0"/>
    <n v="325.17"/>
    <n v="302.62"/>
    <m/>
    <n v="401.10668165804543"/>
    <n v="274.25476998219489"/>
    <n v="0"/>
    <n v="721.87740000000008"/>
    <n v="671.81640000000004"/>
    <n v="0"/>
    <n v="890.45683328086091"/>
    <n v="608.84558936047267"/>
  </r>
  <r>
    <s v="Regular"/>
    <x v="3"/>
    <x v="2"/>
    <x v="1"/>
    <x v="0"/>
    <x v="0"/>
    <x v="0"/>
    <x v="0"/>
    <x v="2"/>
    <n v="0"/>
    <n v="0"/>
    <n v="3.2949999999999999"/>
    <n v="3.2949999999999999"/>
    <n v="3.2949999999999999"/>
    <n v="3.2949999999999999"/>
    <n v="0"/>
    <x v="0"/>
    <n v="0"/>
    <n v="0"/>
    <n v="45"/>
    <n v="83"/>
    <n v="0"/>
    <n v="325.17"/>
    <n v="302.62"/>
    <m/>
    <n v="401.10668165804543"/>
    <n v="274.25476998219489"/>
    <n v="0"/>
    <n v="1071.43515"/>
    <n v="997.13289999999995"/>
    <n v="0"/>
    <n v="1321.6465160632597"/>
    <n v="903.66946709133208"/>
  </r>
  <r>
    <s v="Regular"/>
    <x v="3"/>
    <x v="2"/>
    <x v="1"/>
    <x v="0"/>
    <x v="0"/>
    <x v="0"/>
    <x v="0"/>
    <x v="3"/>
    <n v="0"/>
    <n v="0"/>
    <n v="2.5990000000000002"/>
    <n v="2.5990000000000002"/>
    <n v="2.5990000000000002"/>
    <n v="2.5990000000000002"/>
    <n v="0"/>
    <x v="0"/>
    <n v="0"/>
    <n v="0"/>
    <n v="45"/>
    <n v="83"/>
    <n v="0"/>
    <n v="325.17"/>
    <n v="302.62"/>
    <m/>
    <n v="401.10668165804543"/>
    <n v="274.25476998219489"/>
    <n v="0"/>
    <n v="845.11683000000005"/>
    <n v="786.50938000000008"/>
    <n v="0"/>
    <n v="1042.4762656292601"/>
    <n v="712.78814718372462"/>
  </r>
  <r>
    <s v="Regular"/>
    <x v="3"/>
    <x v="2"/>
    <x v="1"/>
    <x v="0"/>
    <x v="0"/>
    <x v="0"/>
    <x v="0"/>
    <x v="4"/>
    <n v="0"/>
    <n v="0"/>
    <n v="3.3460000000000001"/>
    <n v="3.3460000000000001"/>
    <n v="3.3460000000000001"/>
    <n v="3.3460000000000001"/>
    <n v="0"/>
    <x v="0"/>
    <n v="0"/>
    <n v="0"/>
    <n v="45"/>
    <n v="83"/>
    <n v="0"/>
    <n v="325.17"/>
    <n v="302.62"/>
    <m/>
    <n v="401.10668165804543"/>
    <n v="274.25476998219489"/>
    <n v="0"/>
    <n v="1088.01882"/>
    <n v="1012.5665200000001"/>
    <n v="0"/>
    <n v="1342.10295682782"/>
    <n v="917.65646036042415"/>
  </r>
  <r>
    <s v="Regular"/>
    <x v="3"/>
    <x v="2"/>
    <x v="1"/>
    <x v="0"/>
    <x v="0"/>
    <x v="0"/>
    <x v="0"/>
    <x v="5"/>
    <n v="0"/>
    <n v="0"/>
    <n v="1.5740000000000001"/>
    <n v="1.5740000000000001"/>
    <n v="1.5740000000000001"/>
    <n v="1.5740000000000001"/>
    <n v="0"/>
    <x v="0"/>
    <n v="0"/>
    <n v="0"/>
    <n v="45"/>
    <n v="83"/>
    <n v="0"/>
    <n v="325.17"/>
    <n v="302.62"/>
    <m/>
    <n v="401.10668165804543"/>
    <n v="274.25476998219489"/>
    <n v="0"/>
    <n v="511.81758000000002"/>
    <n v="476.32388000000003"/>
    <n v="0"/>
    <n v="631.34191692976356"/>
    <n v="431.67700795197476"/>
  </r>
  <r>
    <s v="Regular"/>
    <x v="3"/>
    <x v="2"/>
    <x v="1"/>
    <x v="0"/>
    <x v="0"/>
    <x v="0"/>
    <x v="3"/>
    <x v="0"/>
    <n v="0"/>
    <n v="0"/>
    <n v="2E-3"/>
    <n v="2E-3"/>
    <n v="2E-3"/>
    <n v="2E-3"/>
    <n v="0"/>
    <x v="0"/>
    <n v="0"/>
    <n v="0"/>
    <n v="44"/>
    <n v="82"/>
    <n v="0"/>
    <n v="775.82"/>
    <n v="302.62"/>
    <m/>
    <n v="913.48044743214962"/>
    <n v="274.25476998219489"/>
    <n v="0"/>
    <n v="1.5516400000000001"/>
    <n v="0.60524"/>
    <n v="0"/>
    <n v="1.8269608948642992"/>
    <n v="0.54850953996438978"/>
  </r>
  <r>
    <s v="Regular"/>
    <x v="3"/>
    <x v="2"/>
    <x v="1"/>
    <x v="0"/>
    <x v="0"/>
    <x v="0"/>
    <x v="3"/>
    <x v="1"/>
    <n v="0"/>
    <n v="0"/>
    <n v="3.0000000000000001E-3"/>
    <n v="3.0000000000000001E-3"/>
    <n v="3.0000000000000001E-3"/>
    <n v="3.0000000000000001E-3"/>
    <n v="0"/>
    <x v="0"/>
    <n v="0"/>
    <n v="0"/>
    <n v="44"/>
    <n v="82"/>
    <n v="0"/>
    <n v="775.82"/>
    <n v="302.62"/>
    <m/>
    <n v="913.48044743214962"/>
    <n v="274.25476998219489"/>
    <n v="0"/>
    <n v="2.3274600000000003"/>
    <n v="0.90786"/>
    <n v="0"/>
    <n v="2.7404413422964491"/>
    <n v="0.82276430994658467"/>
  </r>
  <r>
    <s v="Regular"/>
    <x v="3"/>
    <x v="2"/>
    <x v="1"/>
    <x v="0"/>
    <x v="0"/>
    <x v="0"/>
    <x v="3"/>
    <x v="2"/>
    <n v="0"/>
    <n v="0"/>
    <n v="1E-3"/>
    <n v="1E-3"/>
    <n v="1E-3"/>
    <n v="1E-3"/>
    <n v="0"/>
    <x v="0"/>
    <n v="0"/>
    <n v="0"/>
    <n v="44"/>
    <n v="82"/>
    <n v="0"/>
    <n v="775.82"/>
    <n v="302.62"/>
    <m/>
    <n v="913.48044743214962"/>
    <n v="274.25476998219489"/>
    <n v="0"/>
    <n v="0.77582000000000007"/>
    <n v="0.30262"/>
    <n v="0"/>
    <n v="0.91348044743214962"/>
    <n v="0.27425476998219489"/>
  </r>
  <r>
    <s v="Regular"/>
    <x v="3"/>
    <x v="2"/>
    <x v="1"/>
    <x v="0"/>
    <x v="0"/>
    <x v="0"/>
    <x v="3"/>
    <x v="3"/>
    <n v="0"/>
    <n v="0"/>
    <n v="1E-3"/>
    <n v="1E-3"/>
    <n v="1E-3"/>
    <n v="1E-3"/>
    <n v="0"/>
    <x v="0"/>
    <n v="0"/>
    <n v="0"/>
    <n v="44"/>
    <n v="82"/>
    <n v="0"/>
    <n v="775.82"/>
    <n v="302.62"/>
    <m/>
    <n v="913.48044743214962"/>
    <n v="274.25476998219489"/>
    <n v="0"/>
    <n v="0.77582000000000007"/>
    <n v="0.30262"/>
    <n v="0"/>
    <n v="0.91348044743214962"/>
    <n v="0.27425476998219489"/>
  </r>
  <r>
    <s v="Regular"/>
    <x v="3"/>
    <x v="2"/>
    <x v="1"/>
    <x v="0"/>
    <x v="0"/>
    <x v="0"/>
    <x v="3"/>
    <x v="4"/>
    <n v="0"/>
    <n v="0"/>
    <n v="2E-3"/>
    <n v="2E-3"/>
    <n v="2E-3"/>
    <n v="2E-3"/>
    <n v="0"/>
    <x v="0"/>
    <n v="0"/>
    <n v="0"/>
    <n v="44"/>
    <n v="82"/>
    <n v="0"/>
    <n v="775.82"/>
    <n v="302.62"/>
    <m/>
    <n v="913.48044743214962"/>
    <n v="274.25476998219489"/>
    <n v="0"/>
    <n v="1.5516400000000001"/>
    <n v="0.60524"/>
    <n v="0"/>
    <n v="1.8269608948642992"/>
    <n v="0.54850953996438978"/>
  </r>
  <r>
    <s v="Regular"/>
    <x v="3"/>
    <x v="2"/>
    <x v="1"/>
    <x v="0"/>
    <x v="0"/>
    <x v="0"/>
    <x v="3"/>
    <x v="5"/>
    <n v="0"/>
    <n v="0"/>
    <n v="1E-3"/>
    <n v="1E-3"/>
    <n v="1E-3"/>
    <n v="1E-3"/>
    <n v="0"/>
    <x v="0"/>
    <n v="0"/>
    <n v="0"/>
    <n v="44"/>
    <n v="82"/>
    <n v="0"/>
    <n v="775.82"/>
    <n v="302.62"/>
    <m/>
    <n v="913.48044743214962"/>
    <n v="274.25476998219489"/>
    <n v="0"/>
    <n v="0.77582000000000007"/>
    <n v="0.30262"/>
    <n v="0"/>
    <n v="0.91348044743214962"/>
    <n v="0.27425476998219489"/>
  </r>
  <r>
    <s v="Regular"/>
    <x v="3"/>
    <x v="2"/>
    <x v="1"/>
    <x v="0"/>
    <x v="0"/>
    <x v="0"/>
    <x v="2"/>
    <x v="0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5.8542132062535"/>
    <n v="469.6750309272033"/>
    <n v="0"/>
    <n v="1.22648"/>
    <n v="0.51844000000000001"/>
    <n v="0"/>
    <n v="1.4258542132062535"/>
    <n v="0.46967503092720331"/>
  </r>
  <r>
    <s v="Regular"/>
    <x v="3"/>
    <x v="2"/>
    <x v="1"/>
    <x v="0"/>
    <x v="0"/>
    <x v="0"/>
    <x v="2"/>
    <x v="1"/>
    <n v="0"/>
    <n v="0"/>
    <n v="3.0000000000000001E-3"/>
    <n v="3.0000000000000001E-3"/>
    <n v="3.0000000000000001E-3"/>
    <n v="3.0000000000000001E-3"/>
    <n v="0"/>
    <x v="0"/>
    <n v="0"/>
    <n v="0"/>
    <n v="43"/>
    <n v="81"/>
    <n v="0"/>
    <n v="1226.48"/>
    <n v="518.44000000000005"/>
    <m/>
    <n v="1425.8542132062535"/>
    <n v="469.6750309272033"/>
    <n v="0"/>
    <n v="3.67944"/>
    <n v="1.5553200000000003"/>
    <n v="0"/>
    <n v="4.2775626396187603"/>
    <n v="1.4090250927816099"/>
  </r>
  <r>
    <s v="Regular"/>
    <x v="3"/>
    <x v="2"/>
    <x v="1"/>
    <x v="0"/>
    <x v="0"/>
    <x v="0"/>
    <x v="2"/>
    <x v="2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5.8542132062535"/>
    <n v="469.6750309272033"/>
    <n v="0"/>
    <n v="1.22648"/>
    <n v="0.51844000000000001"/>
    <n v="0"/>
    <n v="1.4258542132062535"/>
    <n v="0.46967503092720331"/>
  </r>
  <r>
    <s v="Regular"/>
    <x v="3"/>
    <x v="2"/>
    <x v="1"/>
    <x v="0"/>
    <x v="0"/>
    <x v="0"/>
    <x v="2"/>
    <x v="3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5.8542132062535"/>
    <n v="469.6750309272033"/>
    <n v="0"/>
    <n v="1.22648"/>
    <n v="0.51844000000000001"/>
    <n v="0"/>
    <n v="1.4258542132062535"/>
    <n v="0.46967503092720331"/>
  </r>
  <r>
    <s v="Regular"/>
    <x v="3"/>
    <x v="2"/>
    <x v="1"/>
    <x v="0"/>
    <x v="0"/>
    <x v="0"/>
    <x v="2"/>
    <x v="4"/>
    <n v="0"/>
    <n v="0"/>
    <n v="8.0000000000000002E-3"/>
    <n v="8.0000000000000002E-3"/>
    <n v="8.0000000000000002E-3"/>
    <n v="8.0000000000000002E-3"/>
    <n v="0"/>
    <x v="0"/>
    <n v="0"/>
    <n v="0"/>
    <n v="43"/>
    <n v="81"/>
    <n v="0"/>
    <n v="1226.48"/>
    <n v="518.44000000000005"/>
    <m/>
    <n v="1425.8542132062535"/>
    <n v="469.6750309272033"/>
    <n v="0"/>
    <n v="9.8118400000000001"/>
    <n v="4.1475200000000001"/>
    <n v="0"/>
    <n v="11.406833705650028"/>
    <n v="3.7574002474176265"/>
  </r>
  <r>
    <s v="Regular"/>
    <x v="3"/>
    <x v="2"/>
    <x v="1"/>
    <x v="0"/>
    <x v="0"/>
    <x v="0"/>
    <x v="2"/>
    <x v="5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5.8542132062535"/>
    <n v="469.6750309272033"/>
    <n v="0"/>
    <n v="1.22648"/>
    <n v="0.51844000000000001"/>
    <n v="0"/>
    <n v="1.4258542132062535"/>
    <n v="0.46967503092720331"/>
  </r>
  <r>
    <s v="Regular"/>
    <x v="3"/>
    <x v="2"/>
    <x v="4"/>
    <x v="0"/>
    <x v="0"/>
    <x v="0"/>
    <x v="0"/>
    <x v="0"/>
    <n v="0"/>
    <n v="0"/>
    <n v="4.6429999999999998"/>
    <n v="4.6429999999999998"/>
    <n v="4.6429999999999998"/>
    <n v="4.6429999999999998"/>
    <n v="0"/>
    <x v="0"/>
    <n v="0"/>
    <n v="0"/>
    <n v="45"/>
    <n v="83"/>
    <n v="0"/>
    <n v="325.17"/>
    <n v="302.62"/>
    <m/>
    <n v="401.10668165804543"/>
    <n v="274.25476998219489"/>
    <n v="0"/>
    <n v="1509.76431"/>
    <n v="1405.06466"/>
    <n v="0"/>
    <n v="1862.3383229383048"/>
    <n v="1273.3648970273307"/>
  </r>
  <r>
    <s v="Regular"/>
    <x v="3"/>
    <x v="2"/>
    <x v="4"/>
    <x v="0"/>
    <x v="0"/>
    <x v="0"/>
    <x v="0"/>
    <x v="1"/>
    <n v="0"/>
    <n v="0"/>
    <n v="4.452"/>
    <n v="4.452"/>
    <n v="4.452"/>
    <n v="4.452"/>
    <n v="0"/>
    <x v="0"/>
    <n v="0"/>
    <n v="0"/>
    <n v="45"/>
    <n v="83"/>
    <n v="0"/>
    <n v="325.17"/>
    <n v="302.62"/>
    <m/>
    <n v="401.10668165804543"/>
    <n v="274.25476998219489"/>
    <n v="0"/>
    <n v="1447.6568400000001"/>
    <n v="1347.26424"/>
    <n v="0"/>
    <n v="1785.7269467416183"/>
    <n v="1220.9822359607317"/>
  </r>
  <r>
    <s v="Regular"/>
    <x v="3"/>
    <x v="2"/>
    <x v="4"/>
    <x v="0"/>
    <x v="0"/>
    <x v="0"/>
    <x v="0"/>
    <x v="2"/>
    <n v="0"/>
    <n v="0"/>
    <n v="4.3840000000000003"/>
    <n v="4.3840000000000003"/>
    <n v="4.3840000000000003"/>
    <n v="4.3840000000000003"/>
    <n v="0"/>
    <x v="0"/>
    <n v="0"/>
    <n v="0"/>
    <n v="45"/>
    <n v="83"/>
    <n v="0"/>
    <n v="325.17"/>
    <n v="302.62"/>
    <m/>
    <n v="401.10668165804543"/>
    <n v="274.25476998219489"/>
    <n v="0"/>
    <n v="1425.5452800000003"/>
    <n v="1326.6860800000002"/>
    <n v="0"/>
    <n v="1758.4516923888714"/>
    <n v="1202.3329116019424"/>
  </r>
  <r>
    <s v="Regular"/>
    <x v="3"/>
    <x v="2"/>
    <x v="4"/>
    <x v="0"/>
    <x v="0"/>
    <x v="0"/>
    <x v="0"/>
    <x v="3"/>
    <n v="0"/>
    <n v="0"/>
    <n v="4.9059999999999997"/>
    <n v="4.9059999999999997"/>
    <n v="4.9059999999999997"/>
    <n v="4.9059999999999997"/>
    <n v="0"/>
    <x v="0"/>
    <n v="0"/>
    <n v="0"/>
    <n v="45"/>
    <n v="83"/>
    <n v="0"/>
    <n v="325.17"/>
    <n v="302.62"/>
    <m/>
    <n v="401.10668165804543"/>
    <n v="274.25476998219489"/>
    <n v="0"/>
    <n v="1595.2840200000001"/>
    <n v="1484.65372"/>
    <n v="0"/>
    <n v="1967.8293802143708"/>
    <n v="1345.4939015326481"/>
  </r>
  <r>
    <s v="Regular"/>
    <x v="3"/>
    <x v="2"/>
    <x v="4"/>
    <x v="0"/>
    <x v="0"/>
    <x v="0"/>
    <x v="0"/>
    <x v="4"/>
    <n v="0"/>
    <n v="0"/>
    <n v="5.53"/>
    <n v="5.53"/>
    <n v="5.53"/>
    <n v="5.53"/>
    <n v="0"/>
    <x v="0"/>
    <n v="0"/>
    <n v="0"/>
    <n v="45"/>
    <n v="83"/>
    <n v="0"/>
    <n v="325.17"/>
    <n v="302.62"/>
    <m/>
    <n v="401.10668165804543"/>
    <n v="274.25476998219489"/>
    <n v="0"/>
    <n v="1798.1901000000003"/>
    <n v="1673.4886000000001"/>
    <n v="0"/>
    <n v="2218.1199495689912"/>
    <n v="1516.6288780015377"/>
  </r>
  <r>
    <s v="Regular"/>
    <x v="3"/>
    <x v="2"/>
    <x v="4"/>
    <x v="0"/>
    <x v="0"/>
    <x v="0"/>
    <x v="0"/>
    <x v="5"/>
    <n v="0"/>
    <n v="0"/>
    <n v="6.5960000000000001"/>
    <n v="6.5960000000000001"/>
    <n v="6.5960000000000001"/>
    <n v="6.5960000000000001"/>
    <n v="0"/>
    <x v="0"/>
    <n v="0"/>
    <n v="0"/>
    <n v="45"/>
    <n v="83"/>
    <n v="0"/>
    <n v="325.17"/>
    <n v="302.62"/>
    <m/>
    <n v="401.10668165804543"/>
    <n v="274.25476998219489"/>
    <n v="0"/>
    <n v="2144.82132"/>
    <n v="1996.08152"/>
    <n v="0"/>
    <n v="2645.6996722164677"/>
    <n v="1808.9844628025576"/>
  </r>
  <r>
    <s v="Regular"/>
    <x v="3"/>
    <x v="2"/>
    <x v="4"/>
    <x v="0"/>
    <x v="0"/>
    <x v="0"/>
    <x v="0"/>
    <x v="6"/>
    <n v="0"/>
    <n v="0"/>
    <n v="8.9149999999999991"/>
    <n v="8.9149999999999991"/>
    <n v="8.9149999999999991"/>
    <n v="8.9149999999999991"/>
    <n v="0"/>
    <x v="0"/>
    <n v="0"/>
    <n v="0"/>
    <n v="45"/>
    <n v="83"/>
    <n v="0"/>
    <n v="325.17"/>
    <n v="302.62"/>
    <m/>
    <n v="401.10668165804543"/>
    <n v="274.25476998219489"/>
    <n v="0"/>
    <n v="2898.8905500000001"/>
    <n v="2697.8572999999997"/>
    <n v="0"/>
    <n v="3575.8660669814749"/>
    <n v="2444.9812743912671"/>
  </r>
  <r>
    <s v="Regular"/>
    <x v="3"/>
    <x v="2"/>
    <x v="4"/>
    <x v="0"/>
    <x v="0"/>
    <x v="0"/>
    <x v="0"/>
    <x v="7"/>
    <n v="0"/>
    <n v="0"/>
    <n v="7.0819999999999999"/>
    <n v="7.0819999999999999"/>
    <n v="7.0819999999999999"/>
    <n v="7.0819999999999999"/>
    <n v="0"/>
    <x v="0"/>
    <n v="0"/>
    <n v="0"/>
    <n v="45"/>
    <n v="83"/>
    <n v="0"/>
    <n v="325.17"/>
    <n v="302.62"/>
    <m/>
    <n v="401.10668165804543"/>
    <n v="274.25476998219489"/>
    <n v="0"/>
    <n v="2302.85394"/>
    <n v="2143.1548400000001"/>
    <n v="0"/>
    <n v="2840.6375195022779"/>
    <n v="1942.2722810139041"/>
  </r>
  <r>
    <s v="Regular"/>
    <x v="3"/>
    <x v="2"/>
    <x v="4"/>
    <x v="0"/>
    <x v="0"/>
    <x v="0"/>
    <x v="0"/>
    <x v="8"/>
    <n v="0"/>
    <n v="0"/>
    <n v="7.0330000000000004"/>
    <n v="7.0330000000000004"/>
    <n v="7.0330000000000004"/>
    <n v="7.0330000000000004"/>
    <n v="0"/>
    <x v="0"/>
    <n v="0"/>
    <n v="0"/>
    <n v="45"/>
    <n v="83"/>
    <n v="0"/>
    <n v="325.17"/>
    <n v="302.62"/>
    <m/>
    <n v="401.10668165804543"/>
    <n v="274.25476998219489"/>
    <n v="0"/>
    <n v="2286.9206100000001"/>
    <n v="2128.3264600000002"/>
    <n v="0"/>
    <n v="2820.9832921010338"/>
    <n v="1928.8337972847767"/>
  </r>
  <r>
    <s v="Regular"/>
    <x v="3"/>
    <x v="2"/>
    <x v="4"/>
    <x v="0"/>
    <x v="0"/>
    <x v="0"/>
    <x v="0"/>
    <x v="9"/>
    <n v="0"/>
    <n v="0"/>
    <n v="5.6379999999999999"/>
    <n v="5.6379999999999999"/>
    <n v="5.6379999999999999"/>
    <n v="5.6379999999999999"/>
    <n v="0"/>
    <x v="0"/>
    <n v="0"/>
    <n v="0"/>
    <n v="45"/>
    <n v="83"/>
    <n v="0"/>
    <n v="325.17"/>
    <n v="302.62"/>
    <m/>
    <n v="401.10668165804543"/>
    <n v="274.25476998219489"/>
    <n v="0"/>
    <n v="1833.30846"/>
    <n v="1706.17156"/>
    <n v="0"/>
    <n v="2261.43947118806"/>
    <n v="1546.2483931596148"/>
  </r>
  <r>
    <s v="Regular"/>
    <x v="3"/>
    <x v="2"/>
    <x v="4"/>
    <x v="0"/>
    <x v="0"/>
    <x v="0"/>
    <x v="0"/>
    <x v="10"/>
    <n v="0"/>
    <n v="0"/>
    <n v="4.3520000000000003"/>
    <n v="4.3520000000000003"/>
    <n v="4.3520000000000003"/>
    <n v="4.3520000000000003"/>
    <n v="0"/>
    <x v="0"/>
    <n v="0"/>
    <n v="0"/>
    <n v="45"/>
    <n v="83"/>
    <n v="0"/>
    <n v="325.17"/>
    <n v="302.62"/>
    <m/>
    <n v="401.10668165804543"/>
    <n v="274.25476998219489"/>
    <n v="0"/>
    <n v="1415.1398400000003"/>
    <n v="1317.00224"/>
    <n v="0"/>
    <n v="1745.6162785758138"/>
    <n v="1193.5567589625123"/>
  </r>
  <r>
    <s v="Regular"/>
    <x v="3"/>
    <x v="2"/>
    <x v="4"/>
    <x v="0"/>
    <x v="0"/>
    <x v="0"/>
    <x v="0"/>
    <x v="11"/>
    <n v="0"/>
    <n v="0"/>
    <n v="3.7970000000000002"/>
    <n v="3.7970000000000002"/>
    <n v="3.7970000000000002"/>
    <n v="3.7970000000000002"/>
    <n v="0"/>
    <x v="0"/>
    <n v="0"/>
    <n v="0"/>
    <n v="45"/>
    <n v="83"/>
    <n v="0"/>
    <n v="325.17"/>
    <n v="302.62"/>
    <m/>
    <n v="401.10668165804543"/>
    <n v="274.25476998219489"/>
    <n v="0"/>
    <n v="1234.6704900000002"/>
    <n v="1149.0481400000001"/>
    <n v="0"/>
    <n v="1523.0020702555985"/>
    <n v="1041.345361622394"/>
  </r>
  <r>
    <s v="Regular"/>
    <x v="3"/>
    <x v="2"/>
    <x v="4"/>
    <x v="0"/>
    <x v="0"/>
    <x v="0"/>
    <x v="3"/>
    <x v="0"/>
    <n v="0"/>
    <n v="0"/>
    <n v="0.29099999999999998"/>
    <n v="0.29099999999999998"/>
    <n v="0.29099999999999998"/>
    <n v="0.29099999999999998"/>
    <n v="0"/>
    <x v="0"/>
    <n v="0"/>
    <n v="0"/>
    <n v="44"/>
    <n v="82"/>
    <n v="0"/>
    <n v="775.82"/>
    <n v="302.62"/>
    <m/>
    <n v="913.48044743214962"/>
    <n v="274.25476998219489"/>
    <n v="0"/>
    <n v="225.76362"/>
    <n v="88.062419999999989"/>
    <n v="0"/>
    <n v="265.82281020275553"/>
    <n v="79.808138064818706"/>
  </r>
  <r>
    <s v="Regular"/>
    <x v="3"/>
    <x v="2"/>
    <x v="4"/>
    <x v="0"/>
    <x v="0"/>
    <x v="0"/>
    <x v="3"/>
    <x v="1"/>
    <n v="0"/>
    <n v="0"/>
    <n v="0.27700000000000002"/>
    <n v="0.27700000000000002"/>
    <n v="0.27700000000000002"/>
    <n v="0.27700000000000002"/>
    <n v="0"/>
    <x v="0"/>
    <n v="0"/>
    <n v="0"/>
    <n v="44"/>
    <n v="82"/>
    <n v="0"/>
    <n v="775.82"/>
    <n v="302.62"/>
    <m/>
    <n v="913.48044743214962"/>
    <n v="274.25476998219489"/>
    <n v="0"/>
    <n v="214.90214000000003"/>
    <n v="83.82574000000001"/>
    <n v="0"/>
    <n v="253.03408393870546"/>
    <n v="75.968571285067995"/>
  </r>
  <r>
    <s v="Regular"/>
    <x v="3"/>
    <x v="2"/>
    <x v="4"/>
    <x v="0"/>
    <x v="0"/>
    <x v="0"/>
    <x v="3"/>
    <x v="2"/>
    <n v="0"/>
    <n v="0"/>
    <n v="0.24399999999999999"/>
    <n v="0.24399999999999999"/>
    <n v="0.24399999999999999"/>
    <n v="0.24399999999999999"/>
    <n v="0"/>
    <x v="0"/>
    <n v="0"/>
    <n v="0"/>
    <n v="44"/>
    <n v="82"/>
    <n v="0"/>
    <n v="775.82"/>
    <n v="302.62"/>
    <m/>
    <n v="913.48044743214962"/>
    <n v="274.25476998219489"/>
    <n v="0"/>
    <n v="189.30008000000001"/>
    <n v="73.839280000000002"/>
    <n v="0"/>
    <n v="222.88922917344451"/>
    <n v="66.918163875655551"/>
  </r>
  <r>
    <s v="Regular"/>
    <x v="3"/>
    <x v="2"/>
    <x v="4"/>
    <x v="0"/>
    <x v="0"/>
    <x v="0"/>
    <x v="3"/>
    <x v="3"/>
    <n v="0"/>
    <n v="0"/>
    <n v="0.24399999999999999"/>
    <n v="0.24399999999999999"/>
    <n v="0.24399999999999999"/>
    <n v="0.24399999999999999"/>
    <n v="0"/>
    <x v="0"/>
    <n v="0"/>
    <n v="0"/>
    <n v="44"/>
    <n v="82"/>
    <n v="0"/>
    <n v="775.82"/>
    <n v="302.62"/>
    <m/>
    <n v="913.48044743214962"/>
    <n v="274.25476998219489"/>
    <n v="0"/>
    <n v="189.30008000000001"/>
    <n v="73.839280000000002"/>
    <n v="0"/>
    <n v="222.88922917344451"/>
    <n v="66.918163875655551"/>
  </r>
  <r>
    <s v="Regular"/>
    <x v="3"/>
    <x v="2"/>
    <x v="4"/>
    <x v="0"/>
    <x v="0"/>
    <x v="0"/>
    <x v="3"/>
    <x v="4"/>
    <n v="0"/>
    <n v="0"/>
    <n v="0.34499999999999997"/>
    <n v="0.34499999999999997"/>
    <n v="0.34499999999999997"/>
    <n v="0.34499999999999997"/>
    <n v="0"/>
    <x v="0"/>
    <n v="0"/>
    <n v="0"/>
    <n v="44"/>
    <n v="82"/>
    <n v="0"/>
    <n v="775.82"/>
    <n v="302.62"/>
    <m/>
    <n v="913.48044743214962"/>
    <n v="274.25476998219489"/>
    <n v="0"/>
    <n v="267.65789999999998"/>
    <n v="104.40389999999999"/>
    <n v="0"/>
    <n v="315.1507543640916"/>
    <n v="94.617895643857224"/>
  </r>
  <r>
    <s v="Regular"/>
    <x v="3"/>
    <x v="2"/>
    <x v="4"/>
    <x v="0"/>
    <x v="0"/>
    <x v="0"/>
    <x v="3"/>
    <x v="5"/>
    <n v="0"/>
    <n v="0"/>
    <n v="0.44700000000000001"/>
    <n v="0.44700000000000001"/>
    <n v="0.44700000000000001"/>
    <n v="0.44700000000000001"/>
    <n v="0"/>
    <x v="0"/>
    <n v="0"/>
    <n v="0"/>
    <n v="44"/>
    <n v="82"/>
    <n v="0"/>
    <n v="775.82"/>
    <n v="302.62"/>
    <m/>
    <n v="913.48044743214962"/>
    <n v="274.25476998219489"/>
    <n v="0"/>
    <n v="346.79154000000005"/>
    <n v="135.27114"/>
    <n v="0"/>
    <n v="408.32576000217091"/>
    <n v="122.59188218204112"/>
  </r>
  <r>
    <s v="Regular"/>
    <x v="3"/>
    <x v="2"/>
    <x v="4"/>
    <x v="0"/>
    <x v="0"/>
    <x v="0"/>
    <x v="3"/>
    <x v="6"/>
    <n v="0"/>
    <n v="0"/>
    <n v="0.55300000000000005"/>
    <n v="0.55300000000000005"/>
    <n v="0.55300000000000005"/>
    <n v="0.55300000000000005"/>
    <n v="0"/>
    <x v="0"/>
    <n v="0"/>
    <n v="0"/>
    <n v="44"/>
    <n v="82"/>
    <n v="0"/>
    <n v="775.82"/>
    <n v="302.62"/>
    <m/>
    <n v="913.48044743214962"/>
    <n v="274.25476998219489"/>
    <n v="0"/>
    <n v="429.02846000000005"/>
    <n v="167.34886000000003"/>
    <n v="0"/>
    <n v="505.15468742997876"/>
    <n v="151.66288780015378"/>
  </r>
  <r>
    <s v="Regular"/>
    <x v="3"/>
    <x v="2"/>
    <x v="4"/>
    <x v="0"/>
    <x v="0"/>
    <x v="0"/>
    <x v="3"/>
    <x v="7"/>
    <n v="0"/>
    <n v="0"/>
    <n v="0.23799999999999999"/>
    <n v="0.23799999999999999"/>
    <n v="0.23799999999999999"/>
    <n v="0.23799999999999999"/>
    <n v="0"/>
    <x v="0"/>
    <n v="0"/>
    <n v="0"/>
    <n v="44"/>
    <n v="82"/>
    <n v="0"/>
    <n v="775.82"/>
    <n v="302.62"/>
    <m/>
    <n v="913.48044743214962"/>
    <n v="274.25476998219489"/>
    <n v="0"/>
    <n v="184.64516"/>
    <n v="72.023560000000003"/>
    <n v="0"/>
    <n v="217.40834648885161"/>
    <n v="65.272635255762381"/>
  </r>
  <r>
    <s v="Regular"/>
    <x v="3"/>
    <x v="2"/>
    <x v="4"/>
    <x v="0"/>
    <x v="0"/>
    <x v="0"/>
    <x v="3"/>
    <x v="8"/>
    <n v="0"/>
    <n v="0"/>
    <n v="0.3"/>
    <n v="0.3"/>
    <n v="0.3"/>
    <n v="0.3"/>
    <n v="0"/>
    <x v="0"/>
    <n v="0"/>
    <n v="0"/>
    <n v="44"/>
    <n v="82"/>
    <n v="0"/>
    <n v="775.82"/>
    <n v="302.62"/>
    <m/>
    <n v="913.48044743214962"/>
    <n v="274.25476998219489"/>
    <n v="0"/>
    <n v="232.74600000000001"/>
    <n v="90.786000000000001"/>
    <n v="0"/>
    <n v="274.0441342296449"/>
    <n v="82.276430994658469"/>
  </r>
  <r>
    <s v="Regular"/>
    <x v="3"/>
    <x v="2"/>
    <x v="4"/>
    <x v="0"/>
    <x v="0"/>
    <x v="0"/>
    <x v="3"/>
    <x v="9"/>
    <n v="0"/>
    <n v="0"/>
    <n v="0.19800000000000001"/>
    <n v="0.19800000000000001"/>
    <n v="0.19800000000000001"/>
    <n v="0.19800000000000001"/>
    <n v="0"/>
    <x v="0"/>
    <n v="0"/>
    <n v="0"/>
    <n v="44"/>
    <n v="82"/>
    <n v="0"/>
    <n v="775.82"/>
    <n v="302.62"/>
    <m/>
    <n v="913.48044743214962"/>
    <n v="274.25476998219489"/>
    <n v="0"/>
    <n v="153.61236000000002"/>
    <n v="59.918760000000006"/>
    <n v="0"/>
    <n v="180.86912859156564"/>
    <n v="54.302444456474589"/>
  </r>
  <r>
    <s v="Regular"/>
    <x v="3"/>
    <x v="2"/>
    <x v="4"/>
    <x v="0"/>
    <x v="0"/>
    <x v="0"/>
    <x v="3"/>
    <x v="10"/>
    <n v="0"/>
    <n v="0"/>
    <n v="0.19600000000000001"/>
    <n v="0.19600000000000001"/>
    <n v="0.19600000000000001"/>
    <n v="0.19600000000000001"/>
    <n v="0"/>
    <x v="0"/>
    <n v="0"/>
    <n v="0"/>
    <n v="44"/>
    <n v="82"/>
    <n v="0"/>
    <n v="775.82"/>
    <n v="302.62"/>
    <m/>
    <n v="913.48044743214962"/>
    <n v="274.25476998219489"/>
    <n v="0"/>
    <n v="152.06072"/>
    <n v="59.313520000000004"/>
    <n v="0"/>
    <n v="179.04216769670134"/>
    <n v="53.753934916510197"/>
  </r>
  <r>
    <s v="Regular"/>
    <x v="3"/>
    <x v="2"/>
    <x v="4"/>
    <x v="0"/>
    <x v="0"/>
    <x v="0"/>
    <x v="3"/>
    <x v="11"/>
    <n v="0"/>
    <n v="0"/>
    <n v="0.19600000000000001"/>
    <n v="0.19600000000000001"/>
    <n v="0.19600000000000001"/>
    <n v="0.19600000000000001"/>
    <n v="0"/>
    <x v="0"/>
    <n v="0"/>
    <n v="0"/>
    <n v="44"/>
    <n v="82"/>
    <n v="0"/>
    <n v="775.82"/>
    <n v="302.62"/>
    <m/>
    <n v="913.48044743214962"/>
    <n v="274.25476998219489"/>
    <n v="0"/>
    <n v="152.06072"/>
    <n v="59.313520000000004"/>
    <n v="0"/>
    <n v="179.04216769670134"/>
    <n v="53.753934916510197"/>
  </r>
  <r>
    <s v="Regular"/>
    <x v="3"/>
    <x v="2"/>
    <x v="4"/>
    <x v="0"/>
    <x v="0"/>
    <x v="0"/>
    <x v="2"/>
    <x v="0"/>
    <n v="0"/>
    <n v="0"/>
    <n v="0.38200000000000001"/>
    <n v="0.38200000000000001"/>
    <n v="0.38200000000000001"/>
    <n v="0.38200000000000001"/>
    <n v="0"/>
    <x v="0"/>
    <n v="0"/>
    <n v="0"/>
    <n v="43"/>
    <n v="81"/>
    <n v="0"/>
    <n v="1226.48"/>
    <n v="518.44000000000005"/>
    <m/>
    <n v="1425.8542132062535"/>
    <n v="469.6750309272033"/>
    <n v="0"/>
    <n v="468.51535999999999"/>
    <n v="198.04408000000004"/>
    <n v="0"/>
    <n v="544.67630944478879"/>
    <n v="179.41586181419166"/>
  </r>
  <r>
    <s v="Regular"/>
    <x v="3"/>
    <x v="2"/>
    <x v="4"/>
    <x v="0"/>
    <x v="0"/>
    <x v="0"/>
    <x v="2"/>
    <x v="1"/>
    <n v="0"/>
    <n v="0"/>
    <n v="0.38300000000000001"/>
    <n v="0.38300000000000001"/>
    <n v="0.38300000000000001"/>
    <n v="0.38300000000000001"/>
    <n v="0"/>
    <x v="0"/>
    <n v="0"/>
    <n v="0"/>
    <n v="43"/>
    <n v="81"/>
    <n v="0"/>
    <n v="1226.48"/>
    <n v="518.44000000000005"/>
    <m/>
    <n v="1425.8542132062535"/>
    <n v="469.6750309272033"/>
    <n v="0"/>
    <n v="469.74184000000002"/>
    <n v="198.56252000000003"/>
    <n v="0"/>
    <n v="546.10216365799511"/>
    <n v="179.88553684511888"/>
  </r>
  <r>
    <s v="Regular"/>
    <x v="3"/>
    <x v="2"/>
    <x v="4"/>
    <x v="0"/>
    <x v="0"/>
    <x v="0"/>
    <x v="2"/>
    <x v="2"/>
    <n v="0"/>
    <n v="0"/>
    <n v="0.33900000000000002"/>
    <n v="0.33900000000000002"/>
    <n v="0.33900000000000002"/>
    <n v="0.33900000000000002"/>
    <n v="0"/>
    <x v="0"/>
    <n v="0"/>
    <n v="0"/>
    <n v="43"/>
    <n v="81"/>
    <n v="0"/>
    <n v="1226.48"/>
    <n v="518.44000000000005"/>
    <m/>
    <n v="1425.8542132062535"/>
    <n v="469.6750309272033"/>
    <n v="0"/>
    <n v="415.77672000000001"/>
    <n v="175.75116000000003"/>
    <n v="0"/>
    <n v="483.36457827691999"/>
    <n v="159.21983548432192"/>
  </r>
  <r>
    <s v="Regular"/>
    <x v="3"/>
    <x v="2"/>
    <x v="4"/>
    <x v="0"/>
    <x v="0"/>
    <x v="0"/>
    <x v="2"/>
    <x v="3"/>
    <n v="0"/>
    <n v="0"/>
    <n v="0.33700000000000002"/>
    <n v="0.33700000000000002"/>
    <n v="0.33700000000000002"/>
    <n v="0.33700000000000002"/>
    <n v="0"/>
    <x v="0"/>
    <n v="0"/>
    <n v="0"/>
    <n v="43"/>
    <n v="81"/>
    <n v="0"/>
    <n v="1226.48"/>
    <n v="518.44000000000005"/>
    <m/>
    <n v="1425.8542132062535"/>
    <n v="469.6750309272033"/>
    <n v="0"/>
    <n v="413.32376000000005"/>
    <n v="174.71428000000003"/>
    <n v="0"/>
    <n v="480.51286985050746"/>
    <n v="158.28048542246751"/>
  </r>
  <r>
    <s v="Regular"/>
    <x v="3"/>
    <x v="2"/>
    <x v="4"/>
    <x v="0"/>
    <x v="0"/>
    <x v="0"/>
    <x v="2"/>
    <x v="4"/>
    <n v="0"/>
    <n v="0"/>
    <n v="0.32800000000000001"/>
    <n v="0.32800000000000001"/>
    <n v="0.32800000000000001"/>
    <n v="0.32800000000000001"/>
    <n v="0"/>
    <x v="0"/>
    <n v="0"/>
    <n v="0"/>
    <n v="43"/>
    <n v="81"/>
    <n v="0"/>
    <n v="1226.48"/>
    <n v="518.44000000000005"/>
    <m/>
    <n v="1425.8542132062535"/>
    <n v="469.6750309272033"/>
    <n v="0"/>
    <n v="402.28544000000005"/>
    <n v="170.04832000000002"/>
    <n v="0"/>
    <n v="467.68018193165113"/>
    <n v="154.05341014412269"/>
  </r>
  <r>
    <s v="Regular"/>
    <x v="3"/>
    <x v="2"/>
    <x v="4"/>
    <x v="0"/>
    <x v="0"/>
    <x v="0"/>
    <x v="2"/>
    <x v="5"/>
    <n v="0"/>
    <n v="0"/>
    <n v="0.36499999999999999"/>
    <n v="0.36499999999999999"/>
    <n v="0.36499999999999999"/>
    <n v="0.36499999999999999"/>
    <n v="0"/>
    <x v="0"/>
    <n v="0"/>
    <n v="0"/>
    <n v="43"/>
    <n v="81"/>
    <n v="0"/>
    <n v="1226.48"/>
    <n v="518.44000000000005"/>
    <m/>
    <n v="1425.8542132062535"/>
    <n v="469.6750309272033"/>
    <n v="0"/>
    <n v="447.66519999999997"/>
    <n v="189.23060000000001"/>
    <n v="0"/>
    <n v="520.43678782028246"/>
    <n v="171.4313862884292"/>
  </r>
  <r>
    <s v="Regular"/>
    <x v="3"/>
    <x v="2"/>
    <x v="4"/>
    <x v="0"/>
    <x v="0"/>
    <x v="0"/>
    <x v="2"/>
    <x v="6"/>
    <n v="0"/>
    <n v="0"/>
    <n v="0.48599999999999999"/>
    <n v="0.48599999999999999"/>
    <n v="0.48599999999999999"/>
    <n v="0.48599999999999999"/>
    <n v="0"/>
    <x v="0"/>
    <n v="0"/>
    <n v="0"/>
    <n v="43"/>
    <n v="81"/>
    <n v="0"/>
    <n v="1226.48"/>
    <n v="518.44000000000005"/>
    <m/>
    <n v="1425.8542132062535"/>
    <n v="469.6750309272033"/>
    <n v="0"/>
    <n v="596.06928000000005"/>
    <n v="251.96184000000002"/>
    <n v="0"/>
    <n v="692.96514761823914"/>
    <n v="228.26206503062079"/>
  </r>
  <r>
    <s v="Regular"/>
    <x v="3"/>
    <x v="2"/>
    <x v="4"/>
    <x v="0"/>
    <x v="0"/>
    <x v="0"/>
    <x v="2"/>
    <x v="7"/>
    <n v="0"/>
    <n v="0"/>
    <n v="0.35199999999999998"/>
    <n v="0.35199999999999998"/>
    <n v="0.35199999999999998"/>
    <n v="0.35199999999999998"/>
    <n v="0"/>
    <x v="0"/>
    <n v="0"/>
    <n v="0"/>
    <n v="43"/>
    <n v="81"/>
    <n v="0"/>
    <n v="1226.48"/>
    <n v="518.44000000000005"/>
    <m/>
    <n v="1425.8542132062535"/>
    <n v="469.6750309272033"/>
    <n v="0"/>
    <n v="431.72095999999999"/>
    <n v="182.49088"/>
    <n v="0"/>
    <n v="501.90068304860119"/>
    <n v="165.32561088637556"/>
  </r>
  <r>
    <s v="Regular"/>
    <x v="3"/>
    <x v="2"/>
    <x v="4"/>
    <x v="0"/>
    <x v="0"/>
    <x v="0"/>
    <x v="2"/>
    <x v="8"/>
    <n v="0"/>
    <n v="0"/>
    <n v="0.42299999999999999"/>
    <n v="0.42299999999999999"/>
    <n v="0.42299999999999999"/>
    <n v="0.42299999999999999"/>
    <n v="0"/>
    <x v="0"/>
    <n v="0"/>
    <n v="0"/>
    <n v="43"/>
    <n v="81"/>
    <n v="0"/>
    <n v="1226.48"/>
    <n v="518.44000000000005"/>
    <m/>
    <n v="1425.8542132062535"/>
    <n v="469.6750309272033"/>
    <n v="0"/>
    <n v="518.80103999999994"/>
    <n v="219.30012000000002"/>
    <n v="0"/>
    <n v="603.13633218624523"/>
    <n v="198.67253808220698"/>
  </r>
  <r>
    <s v="Regular"/>
    <x v="3"/>
    <x v="2"/>
    <x v="4"/>
    <x v="0"/>
    <x v="0"/>
    <x v="0"/>
    <x v="2"/>
    <x v="9"/>
    <n v="0"/>
    <n v="0"/>
    <n v="0.29899999999999999"/>
    <n v="0.29899999999999999"/>
    <n v="0.29899999999999999"/>
    <n v="0.29899999999999999"/>
    <n v="0"/>
    <x v="0"/>
    <n v="0"/>
    <n v="0"/>
    <n v="43"/>
    <n v="81"/>
    <n v="0"/>
    <n v="1226.48"/>
    <n v="518.44000000000005"/>
    <m/>
    <n v="1425.8542132062535"/>
    <n v="469.6750309272033"/>
    <n v="0"/>
    <n v="366.71751999999998"/>
    <n v="155.01356000000001"/>
    <n v="0"/>
    <n v="426.33040974866975"/>
    <n v="140.43283424723379"/>
  </r>
  <r>
    <s v="Regular"/>
    <x v="3"/>
    <x v="2"/>
    <x v="4"/>
    <x v="0"/>
    <x v="0"/>
    <x v="0"/>
    <x v="2"/>
    <x v="10"/>
    <n v="0"/>
    <n v="0"/>
    <n v="0.29499999999999998"/>
    <n v="0.29499999999999998"/>
    <n v="0.29499999999999998"/>
    <n v="0.29499999999999998"/>
    <n v="0"/>
    <x v="0"/>
    <n v="0"/>
    <n v="0"/>
    <n v="43"/>
    <n v="81"/>
    <n v="0"/>
    <n v="1226.48"/>
    <n v="518.44000000000005"/>
    <m/>
    <n v="1425.8542132062535"/>
    <n v="469.6750309272033"/>
    <n v="0"/>
    <n v="361.8116"/>
    <n v="152.93980000000002"/>
    <n v="0"/>
    <n v="420.62699289584475"/>
    <n v="138.55413412352496"/>
  </r>
  <r>
    <s v="Regular"/>
    <x v="3"/>
    <x v="2"/>
    <x v="4"/>
    <x v="0"/>
    <x v="0"/>
    <x v="0"/>
    <x v="2"/>
    <x v="11"/>
    <n v="0"/>
    <n v="0"/>
    <n v="0.30599999999999999"/>
    <n v="0.30599999999999999"/>
    <n v="0.30599999999999999"/>
    <n v="0.30599999999999999"/>
    <n v="0"/>
    <x v="0"/>
    <n v="0"/>
    <n v="0"/>
    <n v="43"/>
    <n v="81"/>
    <n v="0"/>
    <n v="1226.48"/>
    <n v="518.44000000000005"/>
    <m/>
    <n v="1425.8542132062535"/>
    <n v="469.6750309272033"/>
    <n v="0"/>
    <n v="375.30288000000002"/>
    <n v="158.64264"/>
    <n v="0"/>
    <n v="436.31138924111355"/>
    <n v="143.72055946372421"/>
  </r>
  <r>
    <s v="Regular"/>
    <x v="3"/>
    <x v="1"/>
    <x v="0"/>
    <x v="0"/>
    <x v="0"/>
    <x v="0"/>
    <x v="1"/>
    <x v="0"/>
    <n v="0"/>
    <n v="0"/>
    <n v="211.33699999999999"/>
    <n v="211.33699999999999"/>
    <n v="211.33699999999999"/>
    <n v="211.33699999999999"/>
    <n v="385"/>
    <x v="0"/>
    <n v="0"/>
    <n v="0"/>
    <n v="46"/>
    <n v="84"/>
    <n v="0"/>
    <n v="404.34"/>
    <n v="320.60000000000002"/>
    <m/>
    <n v="491.11832478559"/>
    <n v="290.53979172761228"/>
    <n v="0"/>
    <n v="85452.002579999986"/>
    <n v="67754.642200000002"/>
    <n v="0"/>
    <n v="103791.47340521224"/>
    <n v="61401.807964338397"/>
  </r>
  <r>
    <s v="Sistema de Compensação"/>
    <x v="3"/>
    <x v="1"/>
    <x v="0"/>
    <x v="0"/>
    <x v="0"/>
    <x v="0"/>
    <x v="1"/>
    <x v="0"/>
    <n v="0"/>
    <n v="0"/>
    <n v="2.0169999999999999"/>
    <n v="2.0169999999999999"/>
    <n v="2.0169999999999999"/>
    <n v="2.0169999999999999"/>
    <n v="8"/>
    <x v="0"/>
    <n v="0"/>
    <n v="0"/>
    <n v="46"/>
    <n v="84"/>
    <n v="0"/>
    <n v="404.34"/>
    <n v="320.60000000000002"/>
    <m/>
    <n v="491.11832478559"/>
    <n v="290.53979172761228"/>
    <n v="0"/>
    <n v="815.55377999999996"/>
    <n v="646.65020000000004"/>
    <n v="0"/>
    <n v="990.58566109253502"/>
    <n v="586.01875991459394"/>
  </r>
  <r>
    <s v="Regular"/>
    <x v="3"/>
    <x v="1"/>
    <x v="0"/>
    <x v="0"/>
    <x v="0"/>
    <x v="0"/>
    <x v="1"/>
    <x v="1"/>
    <n v="0"/>
    <n v="0"/>
    <n v="202.76599999999999"/>
    <n v="202.76599999999999"/>
    <n v="202.76599999999999"/>
    <n v="202.76599999999999"/>
    <n v="390"/>
    <x v="0"/>
    <n v="0"/>
    <n v="0"/>
    <n v="46"/>
    <n v="84"/>
    <n v="0"/>
    <n v="404.34"/>
    <n v="320.60000000000002"/>
    <m/>
    <n v="491.11832478559"/>
    <n v="290.53979172761228"/>
    <n v="0"/>
    <n v="81986.404439999998"/>
    <n v="65006.779600000002"/>
    <n v="0"/>
    <n v="99582.098243474946"/>
    <n v="58911.591409441033"/>
  </r>
  <r>
    <s v="Sistema de Compensação"/>
    <x v="3"/>
    <x v="1"/>
    <x v="0"/>
    <x v="0"/>
    <x v="0"/>
    <x v="0"/>
    <x v="1"/>
    <x v="1"/>
    <n v="0"/>
    <n v="0"/>
    <n v="2.1030000000000002"/>
    <n v="2.1030000000000002"/>
    <n v="2.1030000000000002"/>
    <n v="2.1030000000000002"/>
    <n v="8"/>
    <x v="0"/>
    <n v="0"/>
    <n v="0"/>
    <n v="46"/>
    <n v="84"/>
    <n v="0"/>
    <n v="404.34"/>
    <n v="320.60000000000002"/>
    <m/>
    <n v="491.11832478559"/>
    <n v="290.53979172761228"/>
    <n v="0"/>
    <n v="850.32702000000006"/>
    <n v="674.22180000000014"/>
    <n v="0"/>
    <n v="1032.8218370240959"/>
    <n v="611.00518200316867"/>
  </r>
  <r>
    <s v="Regular"/>
    <x v="3"/>
    <x v="1"/>
    <x v="0"/>
    <x v="0"/>
    <x v="0"/>
    <x v="0"/>
    <x v="1"/>
    <x v="2"/>
    <n v="0"/>
    <n v="0"/>
    <n v="242.50399999999999"/>
    <n v="242.50399999999999"/>
    <n v="242.50399999999999"/>
    <n v="242.50399999999999"/>
    <n v="391"/>
    <x v="0"/>
    <n v="0"/>
    <n v="0"/>
    <n v="46"/>
    <n v="84"/>
    <n v="0"/>
    <n v="404.34"/>
    <n v="320.60000000000002"/>
    <m/>
    <n v="491.11832478559"/>
    <n v="290.53979172761228"/>
    <n v="0"/>
    <n v="98054.067359999986"/>
    <n v="77746.782399999996"/>
    <n v="0"/>
    <n v="119098.15823380472"/>
    <n v="70457.061653112891"/>
  </r>
  <r>
    <s v="Sistema de Compensação"/>
    <x v="3"/>
    <x v="1"/>
    <x v="0"/>
    <x v="0"/>
    <x v="0"/>
    <x v="0"/>
    <x v="1"/>
    <x v="2"/>
    <n v="0"/>
    <n v="0"/>
    <n v="6.4560000000000004"/>
    <n v="6.4560000000000004"/>
    <n v="6.4560000000000004"/>
    <n v="6.4560000000000004"/>
    <n v="9"/>
    <x v="0"/>
    <n v="0"/>
    <n v="0"/>
    <n v="46"/>
    <n v="84"/>
    <n v="0"/>
    <n v="404.34"/>
    <n v="320.60000000000002"/>
    <m/>
    <n v="491.11832478559"/>
    <n v="290.53979172761228"/>
    <n v="0"/>
    <n v="2610.4190400000002"/>
    <n v="2069.7936000000004"/>
    <n v="0"/>
    <n v="3170.6599048157691"/>
    <n v="1875.724895393465"/>
  </r>
  <r>
    <s v="Regular"/>
    <x v="3"/>
    <x v="1"/>
    <x v="0"/>
    <x v="0"/>
    <x v="0"/>
    <x v="0"/>
    <x v="1"/>
    <x v="3"/>
    <n v="0"/>
    <n v="0"/>
    <n v="210.94"/>
    <n v="210.94"/>
    <n v="210.94"/>
    <n v="210.94"/>
    <n v="393"/>
    <x v="0"/>
    <n v="0"/>
    <n v="0"/>
    <n v="46"/>
    <n v="84"/>
    <n v="0"/>
    <n v="404.34"/>
    <n v="320.60000000000002"/>
    <m/>
    <n v="491.11832478559"/>
    <n v="290.53979172761228"/>
    <n v="0"/>
    <n v="85291.479599999991"/>
    <n v="67627.364000000001"/>
    <n v="0"/>
    <n v="103596.49943027235"/>
    <n v="61286.463667022537"/>
  </r>
  <r>
    <s v="Sistema de Compensação"/>
    <x v="3"/>
    <x v="1"/>
    <x v="0"/>
    <x v="0"/>
    <x v="0"/>
    <x v="0"/>
    <x v="1"/>
    <x v="3"/>
    <n v="0"/>
    <n v="0"/>
    <n v="1.2330000000000001"/>
    <n v="1.2330000000000001"/>
    <n v="1.2330000000000001"/>
    <n v="1.2330000000000001"/>
    <n v="9"/>
    <x v="0"/>
    <n v="0"/>
    <n v="0"/>
    <n v="46"/>
    <n v="84"/>
    <n v="0"/>
    <n v="404.34"/>
    <n v="320.60000000000002"/>
    <m/>
    <n v="491.11832478559"/>
    <n v="290.53979172761228"/>
    <n v="0"/>
    <n v="498.55122"/>
    <n v="395.29980000000006"/>
    <n v="0"/>
    <n v="605.54889446063248"/>
    <n v="358.23556320014598"/>
  </r>
  <r>
    <s v="Regular"/>
    <x v="3"/>
    <x v="1"/>
    <x v="0"/>
    <x v="0"/>
    <x v="0"/>
    <x v="0"/>
    <x v="1"/>
    <x v="4"/>
    <n v="0"/>
    <n v="0"/>
    <n v="248"/>
    <n v="248"/>
    <n v="248"/>
    <n v="248"/>
    <n v="393"/>
    <x v="0"/>
    <n v="0"/>
    <n v="0"/>
    <n v="46"/>
    <n v="84"/>
    <n v="0"/>
    <n v="404.34"/>
    <n v="320.60000000000002"/>
    <m/>
    <n v="491.11832478559"/>
    <n v="290.53979172761228"/>
    <n v="0"/>
    <n v="100276.31999999999"/>
    <n v="79508.800000000003"/>
    <n v="0"/>
    <n v="121797.34454682632"/>
    <n v="72053.868348447839"/>
  </r>
  <r>
    <s v="Sistema de Compensação"/>
    <x v="3"/>
    <x v="1"/>
    <x v="0"/>
    <x v="0"/>
    <x v="0"/>
    <x v="0"/>
    <x v="1"/>
    <x v="4"/>
    <n v="0"/>
    <n v="0"/>
    <n v="1.462"/>
    <n v="1.462"/>
    <n v="1.462"/>
    <n v="1.462"/>
    <n v="10"/>
    <x v="0"/>
    <n v="0"/>
    <n v="0"/>
    <n v="46"/>
    <n v="84"/>
    <n v="0"/>
    <n v="404.34"/>
    <n v="320.60000000000002"/>
    <m/>
    <n v="491.11832478559"/>
    <n v="290.53979172761228"/>
    <n v="0"/>
    <n v="591.14507999999989"/>
    <n v="468.71720000000005"/>
    <n v="0"/>
    <n v="718.01499083653255"/>
    <n v="424.76917550576917"/>
  </r>
  <r>
    <s v="Regular"/>
    <x v="3"/>
    <x v="1"/>
    <x v="0"/>
    <x v="0"/>
    <x v="0"/>
    <x v="0"/>
    <x v="1"/>
    <x v="5"/>
    <n v="0"/>
    <n v="0"/>
    <n v="247.34299999999999"/>
    <n v="247.34299999999999"/>
    <n v="247.34299999999999"/>
    <n v="247.34299999999999"/>
    <n v="402"/>
    <x v="0"/>
    <n v="0"/>
    <n v="0"/>
    <n v="46"/>
    <n v="84"/>
    <n v="0"/>
    <n v="404.34"/>
    <n v="320.60000000000002"/>
    <m/>
    <n v="491.11832478559"/>
    <n v="290.53979172761228"/>
    <n v="0"/>
    <n v="100010.66862"/>
    <n v="79298.165800000002"/>
    <n v="0"/>
    <n v="121474.67980744218"/>
    <n v="71862.983705282808"/>
  </r>
  <r>
    <s v="Sistema de Compensação"/>
    <x v="3"/>
    <x v="1"/>
    <x v="0"/>
    <x v="0"/>
    <x v="0"/>
    <x v="0"/>
    <x v="1"/>
    <x v="5"/>
    <n v="0"/>
    <n v="0"/>
    <n v="1.47"/>
    <n v="1.47"/>
    <n v="1.47"/>
    <n v="1.47"/>
    <n v="10"/>
    <x v="0"/>
    <n v="0"/>
    <n v="0"/>
    <n v="46"/>
    <n v="84"/>
    <n v="0"/>
    <n v="404.34"/>
    <n v="320.60000000000002"/>
    <m/>
    <n v="491.11832478559"/>
    <n v="290.53979172761228"/>
    <n v="0"/>
    <n v="594.37979999999993"/>
    <n v="471.28200000000004"/>
    <n v="0"/>
    <n v="721.94393743481726"/>
    <n v="427.09349383959005"/>
  </r>
  <r>
    <s v="Regular"/>
    <x v="3"/>
    <x v="1"/>
    <x v="0"/>
    <x v="0"/>
    <x v="0"/>
    <x v="0"/>
    <x v="1"/>
    <x v="6"/>
    <n v="0"/>
    <n v="0"/>
    <n v="309.64100000000002"/>
    <n v="309.64100000000002"/>
    <n v="309.64100000000002"/>
    <n v="309.64100000000002"/>
    <n v="400"/>
    <x v="0"/>
    <n v="0"/>
    <n v="0"/>
    <n v="46"/>
    <n v="84"/>
    <n v="0"/>
    <n v="404.34"/>
    <n v="320.60000000000002"/>
    <m/>
    <n v="491.11832478559"/>
    <n v="290.53979172761228"/>
    <n v="0"/>
    <n v="125200.24194000001"/>
    <n v="99270.904600000009"/>
    <n v="0"/>
    <n v="152070.36920493489"/>
    <n v="89963.031650329605"/>
  </r>
  <r>
    <s v="Sistema de Compensação"/>
    <x v="3"/>
    <x v="1"/>
    <x v="0"/>
    <x v="0"/>
    <x v="0"/>
    <x v="0"/>
    <x v="1"/>
    <x v="6"/>
    <n v="0"/>
    <n v="0"/>
    <n v="3.29"/>
    <n v="3.29"/>
    <n v="3.29"/>
    <n v="3.29"/>
    <n v="10"/>
    <x v="0"/>
    <n v="0"/>
    <n v="0"/>
    <n v="46"/>
    <n v="84"/>
    <n v="0"/>
    <n v="404.34"/>
    <n v="320.60000000000002"/>
    <m/>
    <n v="491.11832478559"/>
    <n v="290.53979172761228"/>
    <n v="0"/>
    <n v="1330.2785999999999"/>
    <n v="1054.7740000000001"/>
    <n v="0"/>
    <n v="1615.7792885445911"/>
    <n v="955.87591478384445"/>
  </r>
  <r>
    <s v="Regular"/>
    <x v="3"/>
    <x v="1"/>
    <x v="0"/>
    <x v="0"/>
    <x v="0"/>
    <x v="0"/>
    <x v="1"/>
    <x v="7"/>
    <n v="0"/>
    <n v="0"/>
    <n v="276.42200000000003"/>
    <n v="276.42200000000003"/>
    <n v="276.42200000000003"/>
    <n v="276.42200000000003"/>
    <n v="396"/>
    <x v="0"/>
    <n v="0"/>
    <n v="0"/>
    <n v="46"/>
    <n v="84"/>
    <n v="0"/>
    <n v="404.34"/>
    <n v="320.60000000000002"/>
    <m/>
    <n v="491.11832478559"/>
    <n v="290.53979172761228"/>
    <n v="0"/>
    <n v="111768.47148000001"/>
    <n v="88620.89320000002"/>
    <n v="0"/>
    <n v="135755.90957388238"/>
    <n v="80311.590308930055"/>
  </r>
  <r>
    <s v="Sistema de Compensação"/>
    <x v="3"/>
    <x v="1"/>
    <x v="0"/>
    <x v="0"/>
    <x v="0"/>
    <x v="0"/>
    <x v="1"/>
    <x v="7"/>
    <n v="0"/>
    <n v="0"/>
    <n v="2.8769999999999998"/>
    <n v="2.8769999999999998"/>
    <n v="2.8769999999999998"/>
    <n v="2.8769999999999998"/>
    <n v="10"/>
    <x v="0"/>
    <n v="0"/>
    <n v="0"/>
    <n v="46"/>
    <n v="84"/>
    <n v="0"/>
    <n v="404.34"/>
    <n v="320.60000000000002"/>
    <m/>
    <n v="491.11832478559"/>
    <n v="290.53979172761228"/>
    <n v="0"/>
    <n v="1163.2861799999998"/>
    <n v="922.36620000000005"/>
    <n v="0"/>
    <n v="1412.9474204081423"/>
    <n v="835.88298080034042"/>
  </r>
  <r>
    <s v="Regular"/>
    <x v="3"/>
    <x v="1"/>
    <x v="0"/>
    <x v="0"/>
    <x v="0"/>
    <x v="0"/>
    <x v="1"/>
    <x v="8"/>
    <n v="0"/>
    <n v="0"/>
    <n v="281.46800000000002"/>
    <n v="281.46800000000002"/>
    <n v="281.46800000000002"/>
    <n v="281.46800000000002"/>
    <n v="398"/>
    <x v="0"/>
    <n v="0"/>
    <n v="0"/>
    <n v="46"/>
    <n v="84"/>
    <n v="0"/>
    <n v="404.34"/>
    <n v="320.60000000000002"/>
    <m/>
    <n v="491.11832478559"/>
    <n v="290.53979172761228"/>
    <n v="0"/>
    <n v="113808.77112"/>
    <n v="90238.640800000008"/>
    <n v="0"/>
    <n v="138234.09264075046"/>
    <n v="81777.654097987586"/>
  </r>
  <r>
    <s v="Sistema de Compensação"/>
    <x v="3"/>
    <x v="1"/>
    <x v="0"/>
    <x v="0"/>
    <x v="0"/>
    <x v="0"/>
    <x v="1"/>
    <x v="8"/>
    <n v="0"/>
    <n v="0"/>
    <n v="7.234"/>
    <n v="7.234"/>
    <n v="7.234"/>
    <n v="7.234"/>
    <n v="13"/>
    <x v="0"/>
    <n v="0"/>
    <n v="0"/>
    <n v="46"/>
    <n v="84"/>
    <n v="0"/>
    <n v="404.34"/>
    <n v="320.60000000000002"/>
    <m/>
    <n v="491.11832478559"/>
    <n v="290.53979172761228"/>
    <n v="0"/>
    <n v="2924.9955599999998"/>
    <n v="2319.2204000000002"/>
    <n v="0"/>
    <n v="3552.7499614989579"/>
    <n v="2101.7648533575471"/>
  </r>
  <r>
    <s v="Regular"/>
    <x v="3"/>
    <x v="1"/>
    <x v="0"/>
    <x v="0"/>
    <x v="0"/>
    <x v="0"/>
    <x v="1"/>
    <x v="9"/>
    <n v="0"/>
    <n v="0"/>
    <n v="242.637"/>
    <n v="242.637"/>
    <n v="242.637"/>
    <n v="242.637"/>
    <n v="398"/>
    <x v="0"/>
    <n v="0"/>
    <n v="0"/>
    <n v="46"/>
    <n v="84"/>
    <n v="0"/>
    <n v="404.34"/>
    <n v="320.60000000000002"/>
    <m/>
    <n v="491.11832478559"/>
    <n v="290.53979172761228"/>
    <n v="0"/>
    <n v="98107.84457999999"/>
    <n v="77789.422200000001"/>
    <n v="0"/>
    <n v="119163.4769710012"/>
    <n v="70495.703445412655"/>
  </r>
  <r>
    <s v="Sistema de Compensação"/>
    <x v="3"/>
    <x v="1"/>
    <x v="0"/>
    <x v="0"/>
    <x v="0"/>
    <x v="0"/>
    <x v="1"/>
    <x v="9"/>
    <n v="0"/>
    <n v="0"/>
    <n v="5.7510000000000003"/>
    <n v="5.7510000000000003"/>
    <n v="5.7510000000000003"/>
    <n v="5.7510000000000003"/>
    <n v="15"/>
    <x v="0"/>
    <n v="0"/>
    <n v="0"/>
    <n v="46"/>
    <n v="84"/>
    <n v="0"/>
    <n v="404.34"/>
    <n v="320.60000000000002"/>
    <m/>
    <n v="491.11832478559"/>
    <n v="290.53979172761228"/>
    <n v="0"/>
    <n v="2325.35934"/>
    <n v="1843.7706000000003"/>
    <n v="0"/>
    <n v="2824.4214858419282"/>
    <n v="1670.8943422254983"/>
  </r>
  <r>
    <s v="Regular"/>
    <x v="3"/>
    <x v="1"/>
    <x v="0"/>
    <x v="0"/>
    <x v="0"/>
    <x v="0"/>
    <x v="1"/>
    <x v="10"/>
    <n v="0"/>
    <n v="0"/>
    <n v="223.96899999999999"/>
    <n v="223.96899999999999"/>
    <n v="223.96899999999999"/>
    <n v="223.96899999999999"/>
    <n v="400"/>
    <x v="0"/>
    <n v="0"/>
    <n v="0"/>
    <n v="46"/>
    <n v="84"/>
    <n v="0"/>
    <n v="404.34"/>
    <n v="320.60000000000002"/>
    <m/>
    <n v="491.11832478559"/>
    <n v="290.53979172761228"/>
    <n v="0"/>
    <n v="90559.625459999996"/>
    <n v="71804.4614"/>
    <n v="0"/>
    <n v="109995.28008390381"/>
    <n v="65071.906613441592"/>
  </r>
  <r>
    <s v="Sistema de Compensação"/>
    <x v="3"/>
    <x v="1"/>
    <x v="0"/>
    <x v="0"/>
    <x v="0"/>
    <x v="0"/>
    <x v="1"/>
    <x v="10"/>
    <n v="0"/>
    <n v="0"/>
    <n v="4.484"/>
    <n v="4.484"/>
    <n v="4.484"/>
    <n v="4.484"/>
    <n v="15"/>
    <x v="0"/>
    <n v="0"/>
    <n v="0"/>
    <n v="46"/>
    <n v="84"/>
    <n v="0"/>
    <n v="404.34"/>
    <n v="320.60000000000002"/>
    <m/>
    <n v="491.11832478559"/>
    <n v="290.53979172761228"/>
    <n v="0"/>
    <n v="1813.0605599999999"/>
    <n v="1437.5704000000001"/>
    <n v="0"/>
    <n v="2202.1745683385857"/>
    <n v="1302.7804261066135"/>
  </r>
  <r>
    <s v="Regular"/>
    <x v="3"/>
    <x v="1"/>
    <x v="0"/>
    <x v="0"/>
    <x v="0"/>
    <x v="0"/>
    <x v="1"/>
    <x v="11"/>
    <n v="0"/>
    <n v="0"/>
    <n v="235.97399999999999"/>
    <n v="235.97399999999999"/>
    <n v="235.97399999999999"/>
    <n v="235.97399999999999"/>
    <n v="404"/>
    <x v="0"/>
    <n v="0"/>
    <n v="0"/>
    <n v="46"/>
    <n v="84"/>
    <n v="0"/>
    <n v="404.34"/>
    <n v="320.60000000000002"/>
    <m/>
    <n v="491.11832478559"/>
    <n v="290.53979172761228"/>
    <n v="0"/>
    <n v="95413.727159999995"/>
    <n v="75653.2644"/>
    <n v="0"/>
    <n v="115891.15557295481"/>
    <n v="68559.83681313158"/>
  </r>
  <r>
    <s v="Sistema de Compensação"/>
    <x v="3"/>
    <x v="1"/>
    <x v="0"/>
    <x v="0"/>
    <x v="0"/>
    <x v="0"/>
    <x v="1"/>
    <x v="11"/>
    <n v="0"/>
    <n v="0"/>
    <n v="7.6879999999999997"/>
    <n v="7.6879999999999997"/>
    <n v="7.6879999999999997"/>
    <n v="7.6879999999999997"/>
    <n v="15"/>
    <x v="0"/>
    <n v="0"/>
    <n v="0"/>
    <n v="46"/>
    <n v="84"/>
    <n v="0"/>
    <n v="404.34"/>
    <n v="320.60000000000002"/>
    <m/>
    <n v="491.11832478559"/>
    <n v="290.53979172761228"/>
    <n v="0"/>
    <n v="3108.5659199999996"/>
    <n v="2464.7728000000002"/>
    <n v="0"/>
    <n v="3775.7176809516159"/>
    <n v="2233.6699188018833"/>
  </r>
  <r>
    <s v="Regular"/>
    <x v="3"/>
    <x v="1"/>
    <x v="5"/>
    <x v="0"/>
    <x v="0"/>
    <x v="0"/>
    <x v="1"/>
    <x v="0"/>
    <n v="0"/>
    <n v="0"/>
    <n v="1.2250000000000001"/>
    <n v="1.2250000000000001"/>
    <n v="1.2250000000000001"/>
    <n v="1.2250000000000001"/>
    <n v="3"/>
    <x v="0"/>
    <n v="0"/>
    <n v="0"/>
    <n v="46"/>
    <n v="84"/>
    <n v="0"/>
    <n v="404.34"/>
    <n v="320.60000000000002"/>
    <m/>
    <n v="491.11832478559"/>
    <n v="290.53979172761228"/>
    <n v="0"/>
    <n v="495.31650000000002"/>
    <n v="392.73500000000007"/>
    <n v="0"/>
    <n v="601.61994786234777"/>
    <n v="355.91124486632509"/>
  </r>
  <r>
    <s v="Regular"/>
    <x v="3"/>
    <x v="1"/>
    <x v="5"/>
    <x v="0"/>
    <x v="0"/>
    <x v="0"/>
    <x v="1"/>
    <x v="1"/>
    <n v="0"/>
    <n v="0"/>
    <n v="1.1579999999999999"/>
    <n v="1.1579999999999999"/>
    <n v="1.1579999999999999"/>
    <n v="1.1579999999999999"/>
    <n v="3"/>
    <x v="0"/>
    <n v="0"/>
    <n v="0"/>
    <n v="46"/>
    <n v="84"/>
    <n v="0"/>
    <n v="404.34"/>
    <n v="320.60000000000002"/>
    <m/>
    <n v="491.11832478559"/>
    <n v="290.53979172761228"/>
    <n v="0"/>
    <n v="468.22571999999991"/>
    <n v="371.25479999999999"/>
    <n v="0"/>
    <n v="568.71502010171321"/>
    <n v="336.44507882057502"/>
  </r>
  <r>
    <s v="Regular"/>
    <x v="3"/>
    <x v="1"/>
    <x v="5"/>
    <x v="0"/>
    <x v="0"/>
    <x v="0"/>
    <x v="1"/>
    <x v="2"/>
    <n v="0"/>
    <n v="0"/>
    <n v="1.3"/>
    <n v="1.3"/>
    <n v="1.3"/>
    <n v="1.3"/>
    <n v="3"/>
    <x v="0"/>
    <n v="0"/>
    <n v="0"/>
    <n v="46"/>
    <n v="84"/>
    <n v="0"/>
    <n v="404.34"/>
    <n v="320.60000000000002"/>
    <m/>
    <n v="491.11832478559"/>
    <n v="290.53979172761228"/>
    <n v="0"/>
    <n v="525.64199999999994"/>
    <n v="416.78000000000003"/>
    <n v="0"/>
    <n v="638.45382222126705"/>
    <n v="377.70172924589599"/>
  </r>
  <r>
    <s v="Regular"/>
    <x v="3"/>
    <x v="1"/>
    <x v="5"/>
    <x v="0"/>
    <x v="0"/>
    <x v="0"/>
    <x v="1"/>
    <x v="3"/>
    <n v="0"/>
    <n v="0"/>
    <n v="0.97199999999999998"/>
    <n v="0.97199999999999998"/>
    <n v="0.97199999999999998"/>
    <n v="0.97199999999999998"/>
    <n v="3"/>
    <x v="0"/>
    <n v="0"/>
    <n v="0"/>
    <n v="46"/>
    <n v="84"/>
    <n v="0"/>
    <n v="404.34"/>
    <n v="320.60000000000002"/>
    <m/>
    <n v="491.11832478559"/>
    <n v="290.53979172761228"/>
    <n v="0"/>
    <n v="393.01847999999995"/>
    <n v="311.6232"/>
    <n v="0"/>
    <n v="477.36701169159346"/>
    <n v="282.40467755923913"/>
  </r>
  <r>
    <s v="Regular"/>
    <x v="3"/>
    <x v="1"/>
    <x v="5"/>
    <x v="0"/>
    <x v="0"/>
    <x v="0"/>
    <x v="1"/>
    <x v="4"/>
    <n v="0"/>
    <n v="0"/>
    <n v="1.4910000000000001"/>
    <n v="1.4910000000000001"/>
    <n v="1.4910000000000001"/>
    <n v="1.4910000000000001"/>
    <n v="3"/>
    <x v="0"/>
    <n v="0"/>
    <n v="0"/>
    <n v="46"/>
    <n v="84"/>
    <n v="0"/>
    <n v="404.34"/>
    <n v="320.60000000000002"/>
    <m/>
    <n v="491.11832478559"/>
    <n v="290.53979172761228"/>
    <n v="0"/>
    <n v="602.87094000000002"/>
    <n v="478.01460000000009"/>
    <n v="0"/>
    <n v="732.25742225531474"/>
    <n v="433.19482946586993"/>
  </r>
  <r>
    <s v="Regular"/>
    <x v="3"/>
    <x v="1"/>
    <x v="5"/>
    <x v="0"/>
    <x v="0"/>
    <x v="0"/>
    <x v="1"/>
    <x v="5"/>
    <n v="0"/>
    <n v="0"/>
    <n v="1.4219999999999999"/>
    <n v="1.4219999999999999"/>
    <n v="1.4219999999999999"/>
    <n v="1.4219999999999999"/>
    <n v="3"/>
    <x v="0"/>
    <n v="0"/>
    <n v="0"/>
    <n v="46"/>
    <n v="84"/>
    <n v="0"/>
    <n v="404.34"/>
    <n v="320.60000000000002"/>
    <m/>
    <n v="491.11832478559"/>
    <n v="290.53979172761228"/>
    <n v="0"/>
    <n v="574.97147999999993"/>
    <n v="455.89320000000004"/>
    <n v="0"/>
    <n v="698.37025784510899"/>
    <n v="413.14758383666464"/>
  </r>
  <r>
    <s v="Regular"/>
    <x v="3"/>
    <x v="1"/>
    <x v="5"/>
    <x v="0"/>
    <x v="0"/>
    <x v="0"/>
    <x v="1"/>
    <x v="6"/>
    <n v="0"/>
    <n v="0"/>
    <n v="1.8580000000000001"/>
    <n v="1.8580000000000001"/>
    <n v="1.8580000000000001"/>
    <n v="1.8580000000000001"/>
    <n v="3"/>
    <x v="0"/>
    <n v="0"/>
    <n v="0"/>
    <n v="46"/>
    <n v="84"/>
    <n v="0"/>
    <n v="404.34"/>
    <n v="320.60000000000002"/>
    <m/>
    <n v="491.11832478559"/>
    <n v="290.53979172761228"/>
    <n v="0"/>
    <n v="751.26372000000003"/>
    <n v="595.67480000000012"/>
    <n v="0"/>
    <n v="912.49784745162628"/>
    <n v="539.82293302990365"/>
  </r>
  <r>
    <s v="Regular"/>
    <x v="3"/>
    <x v="1"/>
    <x v="5"/>
    <x v="0"/>
    <x v="0"/>
    <x v="0"/>
    <x v="1"/>
    <x v="7"/>
    <n v="0"/>
    <n v="0"/>
    <n v="1.726"/>
    <n v="1.726"/>
    <n v="1.726"/>
    <n v="1.726"/>
    <n v="3"/>
    <x v="0"/>
    <n v="0"/>
    <n v="0"/>
    <n v="46"/>
    <n v="84"/>
    <n v="0"/>
    <n v="404.34"/>
    <n v="320.60000000000002"/>
    <m/>
    <n v="491.11832478559"/>
    <n v="290.53979172761228"/>
    <n v="0"/>
    <n v="697.89083999999991"/>
    <n v="553.35559999999998"/>
    <n v="0"/>
    <n v="847.67022857992833"/>
    <n v="501.47168052185879"/>
  </r>
  <r>
    <s v="Regular"/>
    <x v="3"/>
    <x v="1"/>
    <x v="5"/>
    <x v="0"/>
    <x v="0"/>
    <x v="0"/>
    <x v="1"/>
    <x v="8"/>
    <n v="0"/>
    <n v="0"/>
    <n v="1.6359999999999999"/>
    <n v="1.6359999999999999"/>
    <n v="1.6359999999999999"/>
    <n v="1.6359999999999999"/>
    <n v="3"/>
    <x v="0"/>
    <n v="0"/>
    <n v="0"/>
    <n v="46"/>
    <n v="84"/>
    <n v="0"/>
    <n v="404.34"/>
    <n v="320.60000000000002"/>
    <m/>
    <n v="491.11832478559"/>
    <n v="290.53979172761228"/>
    <n v="0"/>
    <n v="661.50023999999996"/>
    <n v="524.50160000000005"/>
    <n v="0"/>
    <n v="803.46957934922523"/>
    <n v="475.32309926637367"/>
  </r>
  <r>
    <s v="Regular"/>
    <x v="3"/>
    <x v="1"/>
    <x v="5"/>
    <x v="0"/>
    <x v="0"/>
    <x v="0"/>
    <x v="1"/>
    <x v="9"/>
    <n v="0"/>
    <n v="0"/>
    <n v="1.242"/>
    <n v="1.242"/>
    <n v="1.242"/>
    <n v="1.242"/>
    <n v="3"/>
    <x v="0"/>
    <n v="0"/>
    <n v="0"/>
    <n v="46"/>
    <n v="84"/>
    <n v="0"/>
    <n v="404.34"/>
    <n v="320.60000000000002"/>
    <m/>
    <n v="491.11832478559"/>
    <n v="290.53979172761228"/>
    <n v="0"/>
    <n v="502.19027999999997"/>
    <n v="398.18520000000001"/>
    <n v="0"/>
    <n v="609.96895938370278"/>
    <n v="360.85042132569447"/>
  </r>
  <r>
    <s v="Regular"/>
    <x v="3"/>
    <x v="1"/>
    <x v="5"/>
    <x v="0"/>
    <x v="0"/>
    <x v="0"/>
    <x v="1"/>
    <x v="10"/>
    <n v="0"/>
    <n v="0"/>
    <n v="0.96899999999999997"/>
    <n v="0.96899999999999997"/>
    <n v="0.96899999999999997"/>
    <n v="0.96899999999999997"/>
    <n v="3"/>
    <x v="0"/>
    <n v="0"/>
    <n v="0"/>
    <n v="46"/>
    <n v="84"/>
    <n v="0"/>
    <n v="404.34"/>
    <n v="320.60000000000002"/>
    <m/>
    <n v="491.11832478559"/>
    <n v="290.53979172761228"/>
    <n v="0"/>
    <n v="391.80545999999998"/>
    <n v="310.66140000000001"/>
    <n v="0"/>
    <n v="475.89365671723669"/>
    <n v="281.5330581840563"/>
  </r>
  <r>
    <s v="Regular"/>
    <x v="3"/>
    <x v="1"/>
    <x v="5"/>
    <x v="0"/>
    <x v="0"/>
    <x v="0"/>
    <x v="1"/>
    <x v="11"/>
    <n v="0"/>
    <n v="0"/>
    <n v="0.95599999999999996"/>
    <n v="0.95599999999999996"/>
    <n v="0.95599999999999996"/>
    <n v="0.95599999999999996"/>
    <n v="3"/>
    <x v="0"/>
    <n v="0"/>
    <n v="0"/>
    <n v="46"/>
    <n v="84"/>
    <n v="0"/>
    <n v="404.34"/>
    <n v="320.60000000000002"/>
    <m/>
    <n v="491.11832478559"/>
    <n v="290.53979172761228"/>
    <n v="0"/>
    <n v="386.54903999999993"/>
    <n v="306.49360000000001"/>
    <n v="0"/>
    <n v="469.50911849502404"/>
    <n v="277.75604089159731"/>
  </r>
  <r>
    <s v="Regular"/>
    <x v="3"/>
    <x v="1"/>
    <x v="1"/>
    <x v="0"/>
    <x v="0"/>
    <x v="0"/>
    <x v="1"/>
    <x v="0"/>
    <n v="0"/>
    <n v="0"/>
    <n v="109.244"/>
    <n v="109.244"/>
    <n v="109.244"/>
    <n v="109.244"/>
    <n v="76"/>
    <x v="0"/>
    <n v="0"/>
    <n v="0"/>
    <n v="46"/>
    <n v="84"/>
    <n v="0"/>
    <n v="404.34"/>
    <n v="320.60000000000002"/>
    <m/>
    <n v="491.11832478559"/>
    <n v="290.53979172761228"/>
    <n v="0"/>
    <n v="44171.718959999998"/>
    <n v="35023.626400000001"/>
    <n v="0"/>
    <n v="53651.730272876994"/>
    <n v="31739.729007491274"/>
  </r>
  <r>
    <s v="Sistema de Compensação"/>
    <x v="3"/>
    <x v="1"/>
    <x v="1"/>
    <x v="0"/>
    <x v="0"/>
    <x v="0"/>
    <x v="1"/>
    <x v="0"/>
    <n v="0"/>
    <n v="0"/>
    <n v="0.54300000000000004"/>
    <n v="0.54300000000000004"/>
    <n v="0.54300000000000004"/>
    <n v="0.54300000000000004"/>
    <n v="1"/>
    <x v="0"/>
    <n v="0"/>
    <n v="0"/>
    <n v="46"/>
    <n v="84"/>
    <n v="0"/>
    <n v="404.34"/>
    <n v="320.60000000000002"/>
    <m/>
    <n v="491.11832478559"/>
    <n v="290.53979172761228"/>
    <n v="0"/>
    <n v="219.55662000000001"/>
    <n v="174.08580000000003"/>
    <n v="0"/>
    <n v="266.67725035857541"/>
    <n v="157.76310690809348"/>
  </r>
  <r>
    <s v="Regular"/>
    <x v="3"/>
    <x v="1"/>
    <x v="1"/>
    <x v="0"/>
    <x v="0"/>
    <x v="0"/>
    <x v="1"/>
    <x v="1"/>
    <n v="0"/>
    <n v="0"/>
    <n v="96.180999999999997"/>
    <n v="96.180999999999997"/>
    <n v="96.180999999999997"/>
    <n v="96.180999999999997"/>
    <n v="77"/>
    <x v="0"/>
    <n v="0"/>
    <n v="0"/>
    <n v="46"/>
    <n v="84"/>
    <n v="0"/>
    <n v="404.34"/>
    <n v="320.60000000000002"/>
    <m/>
    <n v="491.11832478559"/>
    <n v="290.53979172761228"/>
    <n v="0"/>
    <n v="38889.825539999998"/>
    <n v="30835.6286"/>
    <n v="0"/>
    <n v="47236.251596202834"/>
    <n v="27944.407708153478"/>
  </r>
  <r>
    <s v="Sistema de Compensação"/>
    <x v="3"/>
    <x v="1"/>
    <x v="1"/>
    <x v="0"/>
    <x v="0"/>
    <x v="0"/>
    <x v="1"/>
    <x v="1"/>
    <n v="0"/>
    <n v="0"/>
    <n v="0.60499999999999998"/>
    <n v="0.60499999999999998"/>
    <n v="0.60499999999999998"/>
    <n v="0.60499999999999998"/>
    <n v="1"/>
    <x v="0"/>
    <n v="0"/>
    <n v="0"/>
    <n v="46"/>
    <n v="84"/>
    <n v="0"/>
    <n v="404.34"/>
    <n v="320.60000000000002"/>
    <m/>
    <n v="491.11832478559"/>
    <n v="290.53979172761228"/>
    <n v="0"/>
    <n v="244.62569999999997"/>
    <n v="193.96299999999999"/>
    <n v="0"/>
    <n v="297.12658649528197"/>
    <n v="175.77657399520544"/>
  </r>
  <r>
    <s v="Regular"/>
    <x v="3"/>
    <x v="1"/>
    <x v="1"/>
    <x v="0"/>
    <x v="0"/>
    <x v="0"/>
    <x v="1"/>
    <x v="2"/>
    <n v="0"/>
    <n v="0"/>
    <n v="112.52800000000001"/>
    <n v="112.52800000000001"/>
    <n v="112.52800000000001"/>
    <n v="112.52800000000001"/>
    <n v="75"/>
    <x v="0"/>
    <n v="0"/>
    <n v="0"/>
    <n v="46"/>
    <n v="84"/>
    <n v="0"/>
    <n v="404.34"/>
    <n v="320.60000000000002"/>
    <m/>
    <n v="491.11832478559"/>
    <n v="290.53979172761228"/>
    <n v="0"/>
    <n v="45499.571519999998"/>
    <n v="36076.476800000004"/>
    <n v="0"/>
    <n v="55264.562851472874"/>
    <n v="32693.861683524756"/>
  </r>
  <r>
    <s v="Sistema de Compensação"/>
    <x v="3"/>
    <x v="1"/>
    <x v="1"/>
    <x v="0"/>
    <x v="0"/>
    <x v="0"/>
    <x v="1"/>
    <x v="2"/>
    <n v="0"/>
    <n v="0"/>
    <n v="0.505"/>
    <n v="0.505"/>
    <n v="0.505"/>
    <n v="0.505"/>
    <n v="1"/>
    <x v="0"/>
    <n v="0"/>
    <n v="0"/>
    <n v="46"/>
    <n v="84"/>
    <n v="0"/>
    <n v="404.34"/>
    <n v="320.60000000000002"/>
    <m/>
    <n v="491.11832478559"/>
    <n v="290.53979172761228"/>
    <n v="0"/>
    <n v="204.1917"/>
    <n v="161.90300000000002"/>
    <n v="0"/>
    <n v="248.01475401672295"/>
    <n v="146.72259482244419"/>
  </r>
  <r>
    <s v="Regular"/>
    <x v="3"/>
    <x v="1"/>
    <x v="1"/>
    <x v="0"/>
    <x v="0"/>
    <x v="0"/>
    <x v="1"/>
    <x v="3"/>
    <n v="0"/>
    <n v="0"/>
    <n v="94.328000000000003"/>
    <n v="94.328000000000003"/>
    <n v="94.328000000000003"/>
    <n v="94.328000000000003"/>
    <n v="75"/>
    <x v="0"/>
    <n v="0"/>
    <n v="0"/>
    <n v="46"/>
    <n v="84"/>
    <n v="0"/>
    <n v="404.34"/>
    <n v="320.60000000000002"/>
    <m/>
    <n v="491.11832478559"/>
    <n v="290.53979172761228"/>
    <n v="0"/>
    <n v="38140.58352"/>
    <n v="30241.556800000002"/>
    <n v="0"/>
    <n v="46326.209340375135"/>
    <n v="27406.037474082212"/>
  </r>
  <r>
    <s v="Sistema de Compensação"/>
    <x v="3"/>
    <x v="1"/>
    <x v="1"/>
    <x v="0"/>
    <x v="0"/>
    <x v="0"/>
    <x v="1"/>
    <x v="3"/>
    <n v="0"/>
    <n v="0"/>
    <n v="0.21299999999999999"/>
    <n v="0.21299999999999999"/>
    <n v="0.21299999999999999"/>
    <n v="0.21299999999999999"/>
    <n v="1"/>
    <x v="0"/>
    <n v="0"/>
    <n v="0"/>
    <n v="46"/>
    <n v="84"/>
    <n v="0"/>
    <n v="404.34"/>
    <n v="320.60000000000002"/>
    <m/>
    <n v="491.11832478559"/>
    <n v="290.53979172761228"/>
    <n v="0"/>
    <n v="86.124419999999986"/>
    <n v="68.287800000000004"/>
    <n v="0"/>
    <n v="104.60820317933067"/>
    <n v="61.884975637981412"/>
  </r>
  <r>
    <s v="Regular"/>
    <x v="3"/>
    <x v="1"/>
    <x v="1"/>
    <x v="0"/>
    <x v="0"/>
    <x v="0"/>
    <x v="1"/>
    <x v="4"/>
    <n v="0"/>
    <n v="0"/>
    <n v="97.72"/>
    <n v="97.72"/>
    <n v="97.72"/>
    <n v="97.72"/>
    <n v="74"/>
    <x v="0"/>
    <n v="0"/>
    <n v="0"/>
    <n v="46"/>
    <n v="84"/>
    <n v="0"/>
    <n v="404.34"/>
    <n v="320.60000000000002"/>
    <m/>
    <n v="491.11832478559"/>
    <n v="290.53979172761228"/>
    <n v="0"/>
    <n v="39512.104799999994"/>
    <n v="31329.032000000003"/>
    <n v="0"/>
    <n v="47992.082698047852"/>
    <n v="28391.548447622274"/>
  </r>
  <r>
    <s v="Sistema de Compensação"/>
    <x v="3"/>
    <x v="1"/>
    <x v="1"/>
    <x v="0"/>
    <x v="0"/>
    <x v="0"/>
    <x v="1"/>
    <x v="4"/>
    <n v="0"/>
    <n v="0"/>
    <n v="0.1"/>
    <n v="0.1"/>
    <n v="0.1"/>
    <n v="0.1"/>
    <n v="1"/>
    <x v="0"/>
    <n v="0"/>
    <n v="0"/>
    <n v="46"/>
    <n v="84"/>
    <n v="0"/>
    <n v="404.34"/>
    <n v="320.60000000000002"/>
    <m/>
    <n v="491.11832478559"/>
    <n v="290.53979172761228"/>
    <n v="0"/>
    <n v="40.433999999999997"/>
    <n v="32.06"/>
    <n v="0"/>
    <n v="49.111832478559002"/>
    <n v="29.053979172761231"/>
  </r>
  <r>
    <s v="Regular"/>
    <x v="3"/>
    <x v="1"/>
    <x v="1"/>
    <x v="0"/>
    <x v="0"/>
    <x v="0"/>
    <x v="1"/>
    <x v="5"/>
    <n v="0"/>
    <n v="0"/>
    <n v="93.116"/>
    <n v="93.116"/>
    <n v="93.116"/>
    <n v="93.116"/>
    <n v="74"/>
    <x v="0"/>
    <n v="0"/>
    <n v="0"/>
    <n v="46"/>
    <n v="84"/>
    <n v="0"/>
    <n v="404.34"/>
    <n v="320.60000000000002"/>
    <m/>
    <n v="491.11832478559"/>
    <n v="290.53979172761228"/>
    <n v="0"/>
    <n v="37650.523439999997"/>
    <n v="29852.989600000001"/>
    <n v="0"/>
    <n v="45730.973930734996"/>
    <n v="27053.903246508344"/>
  </r>
  <r>
    <s v="Sistema de Compensação"/>
    <x v="3"/>
    <x v="1"/>
    <x v="1"/>
    <x v="0"/>
    <x v="0"/>
    <x v="0"/>
    <x v="1"/>
    <x v="5"/>
    <n v="0"/>
    <n v="0"/>
    <n v="0.25900000000000001"/>
    <n v="0.25900000000000001"/>
    <n v="0.25900000000000001"/>
    <n v="0.25900000000000001"/>
    <n v="1"/>
    <x v="0"/>
    <n v="0"/>
    <n v="0"/>
    <n v="46"/>
    <n v="84"/>
    <n v="0"/>
    <n v="404.34"/>
    <n v="320.60000000000002"/>
    <m/>
    <n v="491.11832478559"/>
    <n v="290.53979172761228"/>
    <n v="0"/>
    <n v="104.72405999999999"/>
    <n v="83.03540000000001"/>
    <n v="0"/>
    <n v="127.19964611946781"/>
    <n v="75.249806057451579"/>
  </r>
  <r>
    <s v="Regular"/>
    <x v="3"/>
    <x v="1"/>
    <x v="1"/>
    <x v="0"/>
    <x v="0"/>
    <x v="0"/>
    <x v="1"/>
    <x v="6"/>
    <n v="0"/>
    <n v="0"/>
    <n v="103.97799999999999"/>
    <n v="103.97799999999999"/>
    <n v="103.97799999999999"/>
    <n v="103.97799999999999"/>
    <n v="76"/>
    <x v="0"/>
    <n v="0"/>
    <n v="0"/>
    <n v="46"/>
    <n v="84"/>
    <n v="0"/>
    <n v="404.34"/>
    <n v="320.60000000000002"/>
    <m/>
    <n v="491.11832478559"/>
    <n v="290.53979172761228"/>
    <n v="0"/>
    <n v="42042.464519999994"/>
    <n v="33335.346799999999"/>
    <n v="0"/>
    <n v="51065.501174556077"/>
    <n v="30209.746464253669"/>
  </r>
  <r>
    <s v="Sistema de Compensação"/>
    <x v="3"/>
    <x v="1"/>
    <x v="1"/>
    <x v="0"/>
    <x v="0"/>
    <x v="0"/>
    <x v="1"/>
    <x v="6"/>
    <n v="0"/>
    <n v="0"/>
    <n v="0.36499999999999999"/>
    <n v="0.36499999999999999"/>
    <n v="0.36499999999999999"/>
    <n v="0.36499999999999999"/>
    <n v="1"/>
    <x v="0"/>
    <n v="0"/>
    <n v="0"/>
    <n v="46"/>
    <n v="84"/>
    <n v="0"/>
    <n v="404.34"/>
    <n v="320.60000000000002"/>
    <m/>
    <n v="491.11832478559"/>
    <n v="290.53979172761228"/>
    <n v="0"/>
    <n v="147.58409999999998"/>
    <n v="117.01900000000001"/>
    <n v="0"/>
    <n v="179.25818854674034"/>
    <n v="106.04702398057849"/>
  </r>
  <r>
    <s v="Regular"/>
    <x v="3"/>
    <x v="1"/>
    <x v="1"/>
    <x v="0"/>
    <x v="0"/>
    <x v="0"/>
    <x v="1"/>
    <x v="7"/>
    <n v="0"/>
    <n v="0"/>
    <n v="91.114000000000004"/>
    <n v="91.114000000000004"/>
    <n v="91.114000000000004"/>
    <n v="91.114000000000004"/>
    <n v="74"/>
    <x v="0"/>
    <n v="0"/>
    <n v="0"/>
    <n v="46"/>
    <n v="84"/>
    <n v="0"/>
    <n v="404.34"/>
    <n v="320.60000000000002"/>
    <m/>
    <n v="491.11832478559"/>
    <n v="290.53979172761228"/>
    <n v="0"/>
    <n v="36841.034760000002"/>
    <n v="29211.148400000002"/>
    <n v="0"/>
    <n v="44747.755044514248"/>
    <n v="26472.242583469666"/>
  </r>
  <r>
    <s v="Sistema de Compensação"/>
    <x v="3"/>
    <x v="1"/>
    <x v="1"/>
    <x v="0"/>
    <x v="0"/>
    <x v="0"/>
    <x v="1"/>
    <x v="7"/>
    <n v="0"/>
    <n v="0"/>
    <n v="0.1"/>
    <n v="0.1"/>
    <n v="0.1"/>
    <n v="0.1"/>
    <n v="1"/>
    <x v="0"/>
    <n v="0"/>
    <n v="0"/>
    <n v="46"/>
    <n v="84"/>
    <n v="0"/>
    <n v="404.34"/>
    <n v="320.60000000000002"/>
    <m/>
    <n v="491.11832478559"/>
    <n v="290.53979172761228"/>
    <n v="0"/>
    <n v="40.433999999999997"/>
    <n v="32.06"/>
    <n v="0"/>
    <n v="49.111832478559002"/>
    <n v="29.053979172761231"/>
  </r>
  <r>
    <s v="Regular"/>
    <x v="3"/>
    <x v="1"/>
    <x v="1"/>
    <x v="0"/>
    <x v="0"/>
    <x v="0"/>
    <x v="1"/>
    <x v="8"/>
    <n v="0"/>
    <n v="0"/>
    <n v="87.905000000000001"/>
    <n v="87.905000000000001"/>
    <n v="87.905000000000001"/>
    <n v="87.905000000000001"/>
    <n v="70"/>
    <x v="0"/>
    <n v="0"/>
    <n v="0"/>
    <n v="46"/>
    <n v="84"/>
    <n v="0"/>
    <n v="404.34"/>
    <n v="320.60000000000002"/>
    <m/>
    <n v="491.11832478559"/>
    <n v="290.53979172761228"/>
    <n v="0"/>
    <n v="35543.507699999995"/>
    <n v="28182.343000000001"/>
    <n v="0"/>
    <n v="43171.756340277287"/>
    <n v="25539.900391815758"/>
  </r>
  <r>
    <s v="Sistema de Compensação"/>
    <x v="3"/>
    <x v="1"/>
    <x v="1"/>
    <x v="0"/>
    <x v="0"/>
    <x v="0"/>
    <x v="1"/>
    <x v="8"/>
    <n v="0"/>
    <n v="0"/>
    <n v="0.1"/>
    <n v="0.1"/>
    <n v="0.1"/>
    <n v="0.1"/>
    <n v="1"/>
    <x v="0"/>
    <n v="0"/>
    <n v="0"/>
    <n v="46"/>
    <n v="84"/>
    <n v="0"/>
    <n v="404.34"/>
    <n v="320.60000000000002"/>
    <m/>
    <n v="491.11832478559"/>
    <n v="290.53979172761228"/>
    <n v="0"/>
    <n v="40.433999999999997"/>
    <n v="32.06"/>
    <n v="0"/>
    <n v="49.111832478559002"/>
    <n v="29.053979172761231"/>
  </r>
  <r>
    <s v="Regular"/>
    <x v="3"/>
    <x v="1"/>
    <x v="1"/>
    <x v="0"/>
    <x v="0"/>
    <x v="0"/>
    <x v="1"/>
    <x v="9"/>
    <n v="0"/>
    <n v="0"/>
    <n v="94.152000000000001"/>
    <n v="94.152000000000001"/>
    <n v="94.152000000000001"/>
    <n v="94.152000000000001"/>
    <n v="68"/>
    <x v="0"/>
    <n v="0"/>
    <n v="0"/>
    <n v="46"/>
    <n v="84"/>
    <n v="0"/>
    <n v="404.34"/>
    <n v="320.60000000000002"/>
    <m/>
    <n v="491.11832478559"/>
    <n v="290.53979172761228"/>
    <n v="0"/>
    <n v="38069.419679999999"/>
    <n v="30185.131200000003"/>
    <n v="0"/>
    <n v="46239.77251521287"/>
    <n v="27354.90247073815"/>
  </r>
  <r>
    <s v="Sistema de Compensação"/>
    <x v="3"/>
    <x v="1"/>
    <x v="1"/>
    <x v="0"/>
    <x v="0"/>
    <x v="0"/>
    <x v="1"/>
    <x v="9"/>
    <n v="0"/>
    <n v="0"/>
    <n v="0.19400000000000001"/>
    <n v="0.19400000000000001"/>
    <n v="0.19400000000000001"/>
    <n v="0.19400000000000001"/>
    <n v="1"/>
    <x v="0"/>
    <n v="0"/>
    <n v="0"/>
    <n v="46"/>
    <n v="84"/>
    <n v="0"/>
    <n v="404.34"/>
    <n v="320.60000000000002"/>
    <m/>
    <n v="491.11832478559"/>
    <n v="290.53979172761228"/>
    <n v="0"/>
    <n v="78.441959999999995"/>
    <n v="62.196400000000004"/>
    <n v="0"/>
    <n v="95.276955008404457"/>
    <n v="56.364719595156785"/>
  </r>
  <r>
    <s v="Regular"/>
    <x v="3"/>
    <x v="1"/>
    <x v="1"/>
    <x v="0"/>
    <x v="0"/>
    <x v="0"/>
    <x v="1"/>
    <x v="10"/>
    <n v="0"/>
    <n v="0"/>
    <n v="86.853999999999999"/>
    <n v="86.853999999999999"/>
    <n v="86.853999999999999"/>
    <n v="86.853999999999999"/>
    <n v="68"/>
    <x v="0"/>
    <n v="0"/>
    <n v="0"/>
    <n v="46"/>
    <n v="84"/>
    <n v="0"/>
    <n v="404.34"/>
    <n v="320.60000000000002"/>
    <m/>
    <n v="491.11832478559"/>
    <n v="290.53979172761228"/>
    <n v="0"/>
    <n v="35118.54636"/>
    <n v="27845.392400000001"/>
    <n v="0"/>
    <n v="42655.590980927635"/>
    <n v="25234.543070710039"/>
  </r>
  <r>
    <s v="Sistema de Compensação"/>
    <x v="3"/>
    <x v="1"/>
    <x v="1"/>
    <x v="0"/>
    <x v="0"/>
    <x v="0"/>
    <x v="1"/>
    <x v="10"/>
    <n v="0"/>
    <n v="0"/>
    <n v="0.115"/>
    <n v="0.115"/>
    <n v="0.115"/>
    <n v="0.115"/>
    <n v="1"/>
    <x v="0"/>
    <n v="0"/>
    <n v="0"/>
    <n v="46"/>
    <n v="84"/>
    <n v="0"/>
    <n v="404.34"/>
    <n v="320.60000000000002"/>
    <m/>
    <n v="491.11832478559"/>
    <n v="290.53979172761228"/>
    <n v="0"/>
    <n v="46.499099999999999"/>
    <n v="36.869000000000007"/>
    <n v="0"/>
    <n v="56.478607350342855"/>
    <n v="33.412076048675416"/>
  </r>
  <r>
    <s v="Regular"/>
    <x v="3"/>
    <x v="1"/>
    <x v="1"/>
    <x v="0"/>
    <x v="0"/>
    <x v="0"/>
    <x v="1"/>
    <x v="11"/>
    <n v="0"/>
    <n v="0"/>
    <n v="90.668000000000006"/>
    <n v="90.668000000000006"/>
    <n v="90.668000000000006"/>
    <n v="90.668000000000006"/>
    <n v="69"/>
    <x v="0"/>
    <n v="0"/>
    <n v="0"/>
    <n v="46"/>
    <n v="84"/>
    <n v="0"/>
    <n v="404.34"/>
    <n v="320.60000000000002"/>
    <m/>
    <n v="491.11832478559"/>
    <n v="290.53979172761228"/>
    <n v="0"/>
    <n v="36660.699119999997"/>
    <n v="29068.160800000005"/>
    <n v="0"/>
    <n v="44528.716271659876"/>
    <n v="26342.661836359151"/>
  </r>
  <r>
    <s v="Sistema de Compensação"/>
    <x v="3"/>
    <x v="1"/>
    <x v="1"/>
    <x v="0"/>
    <x v="0"/>
    <x v="0"/>
    <x v="1"/>
    <x v="11"/>
    <n v="0"/>
    <n v="0"/>
    <n v="2.4089999999999998"/>
    <n v="2.4089999999999998"/>
    <n v="2.4089999999999998"/>
    <n v="2.4089999999999998"/>
    <n v="2"/>
    <x v="0"/>
    <n v="0"/>
    <n v="0"/>
    <n v="46"/>
    <n v="84"/>
    <n v="0"/>
    <n v="404.34"/>
    <n v="320.60000000000002"/>
    <m/>
    <n v="491.11832478559"/>
    <n v="290.53979172761228"/>
    <n v="0"/>
    <n v="974.05505999999991"/>
    <n v="772.32539999999995"/>
    <n v="0"/>
    <n v="1183.1040444084863"/>
    <n v="699.91035827181793"/>
  </r>
  <r>
    <s v="Regular"/>
    <x v="3"/>
    <x v="1"/>
    <x v="4"/>
    <x v="0"/>
    <x v="0"/>
    <x v="0"/>
    <x v="1"/>
    <x v="0"/>
    <n v="0"/>
    <n v="0"/>
    <n v="32.207000000000001"/>
    <n v="32.207000000000001"/>
    <n v="32.207000000000001"/>
    <n v="32.207000000000001"/>
    <n v="51"/>
    <x v="0"/>
    <n v="0"/>
    <n v="0"/>
    <n v="46"/>
    <n v="84"/>
    <n v="0"/>
    <n v="404.34"/>
    <n v="320.60000000000002"/>
    <m/>
    <n v="491.11832478559"/>
    <n v="290.53979172761228"/>
    <n v="0"/>
    <n v="13022.578379999999"/>
    <n v="10325.564200000001"/>
    <n v="0"/>
    <n v="15817.447886369499"/>
    <n v="9357.4150721712085"/>
  </r>
  <r>
    <s v="Regular"/>
    <x v="3"/>
    <x v="1"/>
    <x v="4"/>
    <x v="0"/>
    <x v="0"/>
    <x v="0"/>
    <x v="1"/>
    <x v="1"/>
    <n v="0"/>
    <n v="0"/>
    <n v="29.888999999999999"/>
    <n v="29.888999999999999"/>
    <n v="29.888999999999999"/>
    <n v="29.888999999999999"/>
    <n v="51"/>
    <x v="0"/>
    <n v="0"/>
    <n v="0"/>
    <n v="46"/>
    <n v="84"/>
    <n v="0"/>
    <n v="404.34"/>
    <n v="320.60000000000002"/>
    <m/>
    <n v="491.11832478559"/>
    <n v="290.53979172761228"/>
    <n v="0"/>
    <n v="12085.318259999998"/>
    <n v="9582.4134000000013"/>
    <n v="0"/>
    <n v="14679.035609516499"/>
    <n v="8683.9438349466036"/>
  </r>
  <r>
    <s v="Regular"/>
    <x v="3"/>
    <x v="1"/>
    <x v="4"/>
    <x v="0"/>
    <x v="0"/>
    <x v="0"/>
    <x v="1"/>
    <x v="2"/>
    <n v="0"/>
    <n v="0"/>
    <n v="33.018000000000001"/>
    <n v="33.018000000000001"/>
    <n v="33.018000000000001"/>
    <n v="33.018000000000001"/>
    <n v="51"/>
    <x v="0"/>
    <n v="0"/>
    <n v="0"/>
    <n v="46"/>
    <n v="84"/>
    <n v="0"/>
    <n v="404.34"/>
    <n v="320.60000000000002"/>
    <m/>
    <n v="491.11832478559"/>
    <n v="290.53979172761228"/>
    <n v="0"/>
    <n v="13350.49812"/>
    <n v="10585.570800000001"/>
    <n v="0"/>
    <n v="16215.744847770611"/>
    <n v="9593.042843262303"/>
  </r>
  <r>
    <s v="Regular"/>
    <x v="3"/>
    <x v="1"/>
    <x v="4"/>
    <x v="0"/>
    <x v="0"/>
    <x v="0"/>
    <x v="1"/>
    <x v="3"/>
    <n v="0"/>
    <n v="0"/>
    <n v="30.91"/>
    <n v="30.91"/>
    <n v="30.91"/>
    <n v="30.91"/>
    <n v="51"/>
    <x v="0"/>
    <n v="0"/>
    <n v="0"/>
    <n v="46"/>
    <n v="84"/>
    <n v="0"/>
    <n v="404.34"/>
    <n v="320.60000000000002"/>
    <m/>
    <n v="491.11832478559"/>
    <n v="290.53979172761228"/>
    <n v="0"/>
    <n v="12498.149399999998"/>
    <n v="9909.746000000001"/>
    <n v="0"/>
    <n v="15180.467419122588"/>
    <n v="8980.584962300496"/>
  </r>
  <r>
    <s v="Regular"/>
    <x v="3"/>
    <x v="1"/>
    <x v="4"/>
    <x v="0"/>
    <x v="0"/>
    <x v="0"/>
    <x v="1"/>
    <x v="4"/>
    <n v="0"/>
    <n v="0"/>
    <n v="39.243000000000002"/>
    <n v="39.243000000000002"/>
    <n v="39.243000000000002"/>
    <n v="39.243000000000002"/>
    <n v="51"/>
    <x v="0"/>
    <n v="0"/>
    <n v="0"/>
    <n v="46"/>
    <n v="84"/>
    <n v="0"/>
    <n v="404.34"/>
    <n v="320.60000000000002"/>
    <m/>
    <n v="491.11832478559"/>
    <n v="290.53979172761228"/>
    <n v="0"/>
    <n v="15867.51462"/>
    <n v="12581.305800000002"/>
    <n v="0"/>
    <n v="19272.956419560909"/>
    <n v="11401.653046766689"/>
  </r>
  <r>
    <s v="Regular"/>
    <x v="3"/>
    <x v="1"/>
    <x v="4"/>
    <x v="0"/>
    <x v="0"/>
    <x v="0"/>
    <x v="1"/>
    <x v="5"/>
    <n v="0"/>
    <n v="0"/>
    <n v="38.582999999999998"/>
    <n v="38.582999999999998"/>
    <n v="38.582999999999998"/>
    <n v="38.582999999999998"/>
    <n v="51"/>
    <x v="0"/>
    <n v="0"/>
    <n v="0"/>
    <n v="46"/>
    <n v="84"/>
    <n v="0"/>
    <n v="404.34"/>
    <n v="320.60000000000002"/>
    <m/>
    <n v="491.11832478559"/>
    <n v="290.53979172761228"/>
    <n v="0"/>
    <n v="15600.650219999998"/>
    <n v="12369.709800000001"/>
    <n v="0"/>
    <n v="18948.818325202417"/>
    <n v="11209.896784226465"/>
  </r>
  <r>
    <s v="Regular"/>
    <x v="3"/>
    <x v="1"/>
    <x v="4"/>
    <x v="0"/>
    <x v="0"/>
    <x v="0"/>
    <x v="1"/>
    <x v="6"/>
    <n v="0"/>
    <n v="0"/>
    <n v="50.277999999999999"/>
    <n v="50.277999999999999"/>
    <n v="50.277999999999999"/>
    <n v="50.277999999999999"/>
    <n v="51"/>
    <x v="0"/>
    <n v="0"/>
    <n v="0"/>
    <n v="46"/>
    <n v="84"/>
    <n v="0"/>
    <n v="404.34"/>
    <n v="320.60000000000002"/>
    <m/>
    <n v="491.11832478559"/>
    <n v="290.53979172761228"/>
    <n v="0"/>
    <n v="20329.406519999997"/>
    <n v="16119.1268"/>
    <n v="0"/>
    <n v="24692.447133569895"/>
    <n v="14607.759648480889"/>
  </r>
  <r>
    <s v="Regular"/>
    <x v="3"/>
    <x v="1"/>
    <x v="4"/>
    <x v="0"/>
    <x v="0"/>
    <x v="0"/>
    <x v="1"/>
    <x v="7"/>
    <n v="0"/>
    <n v="0"/>
    <n v="51.749000000000002"/>
    <n v="51.749000000000002"/>
    <n v="51.749000000000002"/>
    <n v="51.749000000000002"/>
    <n v="51"/>
    <x v="0"/>
    <n v="0"/>
    <n v="0"/>
    <n v="46"/>
    <n v="84"/>
    <n v="0"/>
    <n v="404.34"/>
    <n v="320.60000000000002"/>
    <m/>
    <n v="491.11832478559"/>
    <n v="290.53979172761228"/>
    <n v="0"/>
    <n v="20924.19066"/>
    <n v="16590.7294"/>
    <n v="0"/>
    <n v="25414.882189329499"/>
    <n v="15035.143682112208"/>
  </r>
  <r>
    <s v="Regular"/>
    <x v="3"/>
    <x v="1"/>
    <x v="4"/>
    <x v="0"/>
    <x v="0"/>
    <x v="0"/>
    <x v="1"/>
    <x v="8"/>
    <n v="0"/>
    <n v="0"/>
    <n v="52.555"/>
    <n v="52.555"/>
    <n v="52.555"/>
    <n v="52.555"/>
    <n v="52"/>
    <x v="0"/>
    <n v="0"/>
    <n v="0"/>
    <n v="46"/>
    <n v="84"/>
    <n v="0"/>
    <n v="404.34"/>
    <n v="320.60000000000002"/>
    <m/>
    <n v="491.11832478559"/>
    <n v="290.53979172761228"/>
    <n v="0"/>
    <n v="21250.0887"/>
    <n v="16849.133000000002"/>
    <n v="0"/>
    <n v="25810.723559106682"/>
    <n v="15269.318754244663"/>
  </r>
  <r>
    <s v="Regular"/>
    <x v="3"/>
    <x v="1"/>
    <x v="4"/>
    <x v="0"/>
    <x v="0"/>
    <x v="0"/>
    <x v="1"/>
    <x v="9"/>
    <n v="0"/>
    <n v="0"/>
    <n v="36.895000000000003"/>
    <n v="36.895000000000003"/>
    <n v="36.895000000000003"/>
    <n v="36.895000000000003"/>
    <n v="52"/>
    <x v="0"/>
    <n v="0"/>
    <n v="0"/>
    <n v="46"/>
    <n v="84"/>
    <n v="0"/>
    <n v="404.34"/>
    <n v="320.60000000000002"/>
    <m/>
    <n v="491.11832478559"/>
    <n v="290.53979172761228"/>
    <n v="0"/>
    <n v="14918.124299999999"/>
    <n v="11828.537000000002"/>
    <n v="0"/>
    <n v="18119.810592964346"/>
    <n v="10719.465615790255"/>
  </r>
  <r>
    <s v="Regular"/>
    <x v="3"/>
    <x v="1"/>
    <x v="4"/>
    <x v="0"/>
    <x v="0"/>
    <x v="0"/>
    <x v="1"/>
    <x v="10"/>
    <n v="0"/>
    <n v="0"/>
    <n v="31.05"/>
    <n v="31.05"/>
    <n v="31.05"/>
    <n v="31.05"/>
    <n v="52"/>
    <x v="0"/>
    <n v="0"/>
    <n v="0"/>
    <n v="46"/>
    <n v="84"/>
    <n v="0"/>
    <n v="404.34"/>
    <n v="320.60000000000002"/>
    <m/>
    <n v="491.11832478559"/>
    <n v="290.53979172761228"/>
    <n v="0"/>
    <n v="12554.757"/>
    <n v="9954.630000000001"/>
    <n v="0"/>
    <n v="15249.223984592571"/>
    <n v="9021.260533142362"/>
  </r>
  <r>
    <s v="Regular"/>
    <x v="3"/>
    <x v="1"/>
    <x v="4"/>
    <x v="0"/>
    <x v="0"/>
    <x v="0"/>
    <x v="1"/>
    <x v="11"/>
    <n v="0"/>
    <n v="0"/>
    <n v="37.548000000000002"/>
    <n v="37.548000000000002"/>
    <n v="37.548000000000002"/>
    <n v="37.548000000000002"/>
    <n v="52"/>
    <x v="0"/>
    <n v="0"/>
    <n v="0"/>
    <n v="46"/>
    <n v="84"/>
    <n v="0"/>
    <n v="404.34"/>
    <n v="320.60000000000002"/>
    <m/>
    <n v="491.11832478559"/>
    <n v="290.53979172761228"/>
    <n v="0"/>
    <n v="15182.15832"/>
    <n v="12037.888800000001"/>
    <n v="0"/>
    <n v="18440.510859049333"/>
    <n v="10909.188099788387"/>
  </r>
  <r>
    <s v="Regular"/>
    <x v="3"/>
    <x v="1"/>
    <x v="6"/>
    <x v="6"/>
    <x v="0"/>
    <x v="0"/>
    <x v="1"/>
    <x v="0"/>
    <n v="0"/>
    <n v="0"/>
    <n v="0.91900000000000004"/>
    <n v="0.86385999999999996"/>
    <n v="0.91900000000000004"/>
    <n v="0.86385999999999996"/>
    <n v="1"/>
    <x v="0"/>
    <n v="0"/>
    <n v="0"/>
    <n v="46"/>
    <n v="84"/>
    <n v="0"/>
    <n v="404.34"/>
    <n v="320.60000000000002"/>
    <m/>
    <n v="491.11832478559"/>
    <n v="290.53979172761228"/>
    <n v="0"/>
    <n v="349.29315239999994"/>
    <n v="276.95351599999998"/>
    <n v="0"/>
    <n v="424.25747604927977"/>
    <n v="250.98570448181513"/>
  </r>
  <r>
    <s v="Regular"/>
    <x v="3"/>
    <x v="1"/>
    <x v="6"/>
    <x v="6"/>
    <x v="0"/>
    <x v="0"/>
    <x v="1"/>
    <x v="1"/>
    <n v="0"/>
    <n v="0"/>
    <n v="0.93200000000000005"/>
    <n v="0.87607999999999997"/>
    <n v="0.93200000000000005"/>
    <n v="0.87607999999999997"/>
    <n v="1"/>
    <x v="0"/>
    <n v="0"/>
    <n v="0"/>
    <n v="46"/>
    <n v="84"/>
    <n v="0"/>
    <n v="404.34"/>
    <n v="320.60000000000002"/>
    <m/>
    <n v="491.11832478559"/>
    <n v="290.53979172761228"/>
    <n v="0"/>
    <n v="354.23418719999995"/>
    <n v="280.87124800000004"/>
    <n v="0"/>
    <n v="430.25894197815967"/>
    <n v="254.53610073672655"/>
  </r>
  <r>
    <s v="Regular"/>
    <x v="3"/>
    <x v="1"/>
    <x v="6"/>
    <x v="6"/>
    <x v="0"/>
    <x v="0"/>
    <x v="1"/>
    <x v="2"/>
    <n v="0"/>
    <n v="0"/>
    <n v="1.2130000000000001"/>
    <n v="1.14022"/>
    <n v="1.2130000000000001"/>
    <n v="1.14022"/>
    <n v="1"/>
    <x v="0"/>
    <n v="0"/>
    <n v="0"/>
    <n v="46"/>
    <n v="84"/>
    <n v="0"/>
    <n v="404.34"/>
    <n v="320.60000000000002"/>
    <m/>
    <n v="491.11832478559"/>
    <n v="290.53979172761228"/>
    <n v="0"/>
    <n v="461.03655479999998"/>
    <n v="365.55453200000005"/>
    <n v="0"/>
    <n v="559.9829362870255"/>
    <n v="331.2792813236581"/>
  </r>
  <r>
    <s v="Regular"/>
    <x v="3"/>
    <x v="1"/>
    <x v="6"/>
    <x v="6"/>
    <x v="0"/>
    <x v="0"/>
    <x v="1"/>
    <x v="3"/>
    <n v="0"/>
    <n v="0"/>
    <n v="1.141"/>
    <n v="1.07254"/>
    <n v="1.141"/>
    <n v="1.07254"/>
    <n v="1"/>
    <x v="0"/>
    <n v="0"/>
    <n v="0"/>
    <n v="46"/>
    <n v="84"/>
    <n v="0"/>
    <n v="404.34"/>
    <n v="320.60000000000002"/>
    <m/>
    <n v="491.11832478559"/>
    <n v="290.53979172761228"/>
    <n v="0"/>
    <n v="433.67082360000001"/>
    <n v="343.85632400000003"/>
    <n v="0"/>
    <n v="526.74404806553673"/>
    <n v="311.61554821953331"/>
  </r>
  <r>
    <s v="Regular"/>
    <x v="3"/>
    <x v="1"/>
    <x v="6"/>
    <x v="6"/>
    <x v="0"/>
    <x v="0"/>
    <x v="1"/>
    <x v="4"/>
    <n v="0"/>
    <n v="0"/>
    <n v="0.86899999999999999"/>
    <n v="0.81685999999999992"/>
    <n v="0.86899999999999999"/>
    <n v="0.81685999999999992"/>
    <n v="1"/>
    <x v="0"/>
    <n v="0"/>
    <n v="0"/>
    <n v="46"/>
    <n v="84"/>
    <n v="0"/>
    <n v="404.34"/>
    <n v="320.60000000000002"/>
    <m/>
    <n v="491.11832478559"/>
    <n v="290.53979172761228"/>
    <n v="0"/>
    <n v="330.28917239999993"/>
    <n v="261.88531599999999"/>
    <n v="0"/>
    <n v="401.17491478435699"/>
    <n v="237.33033427061736"/>
  </r>
  <r>
    <s v="Regular"/>
    <x v="3"/>
    <x v="1"/>
    <x v="6"/>
    <x v="6"/>
    <x v="0"/>
    <x v="0"/>
    <x v="1"/>
    <x v="5"/>
    <n v="0"/>
    <n v="0"/>
    <n v="0.69099999999999995"/>
    <n v="0.6495399999999999"/>
    <n v="0.69099999999999995"/>
    <n v="0.6495399999999999"/>
    <n v="1"/>
    <x v="0"/>
    <n v="0"/>
    <n v="0"/>
    <n v="46"/>
    <n v="84"/>
    <n v="0"/>
    <n v="404.34"/>
    <n v="320.60000000000002"/>
    <m/>
    <n v="491.11832478559"/>
    <n v="290.53979172761228"/>
    <n v="0"/>
    <n v="262.63500359999995"/>
    <n v="208.24252399999997"/>
    <n v="0"/>
    <n v="319.0009966812321"/>
    <n v="188.71721631875326"/>
  </r>
  <r>
    <s v="Regular"/>
    <x v="3"/>
    <x v="1"/>
    <x v="6"/>
    <x v="6"/>
    <x v="0"/>
    <x v="0"/>
    <x v="1"/>
    <x v="6"/>
    <n v="0"/>
    <n v="0"/>
    <n v="0.88300000000000001"/>
    <n v="0.83001999999999998"/>
    <n v="0.88300000000000001"/>
    <n v="0.83001999999999998"/>
    <n v="1"/>
    <x v="0"/>
    <n v="0"/>
    <n v="0"/>
    <n v="46"/>
    <n v="84"/>
    <n v="0"/>
    <n v="404.34"/>
    <n v="320.60000000000002"/>
    <m/>
    <n v="491.11832478559"/>
    <n v="290.53979172761228"/>
    <n v="0"/>
    <n v="335.61028679999998"/>
    <n v="266.10441200000002"/>
    <n v="0"/>
    <n v="407.63803193853539"/>
    <n v="241.15383792975274"/>
  </r>
  <r>
    <s v="Regular"/>
    <x v="3"/>
    <x v="1"/>
    <x v="6"/>
    <x v="6"/>
    <x v="0"/>
    <x v="0"/>
    <x v="1"/>
    <x v="7"/>
    <n v="0"/>
    <n v="0"/>
    <n v="0.71099999999999997"/>
    <n v="0.66833999999999993"/>
    <n v="0.71099999999999997"/>
    <n v="0.66833999999999993"/>
    <n v="1"/>
    <x v="0"/>
    <n v="0"/>
    <n v="0"/>
    <n v="46"/>
    <n v="84"/>
    <n v="0"/>
    <n v="404.34"/>
    <n v="320.60000000000002"/>
    <m/>
    <n v="491.11832478559"/>
    <n v="290.53979172761228"/>
    <n v="0"/>
    <n v="270.23659559999993"/>
    <n v="214.26980399999999"/>
    <n v="0"/>
    <n v="328.23402118720117"/>
    <n v="194.17936440323237"/>
  </r>
  <r>
    <s v="Regular"/>
    <x v="3"/>
    <x v="1"/>
    <x v="6"/>
    <x v="6"/>
    <x v="0"/>
    <x v="0"/>
    <x v="1"/>
    <x v="8"/>
    <n v="0"/>
    <n v="0"/>
    <n v="0.79400000000000004"/>
    <n v="0.74636000000000002"/>
    <n v="0.79400000000000004"/>
    <n v="0.74636000000000002"/>
    <n v="1"/>
    <x v="0"/>
    <n v="0"/>
    <n v="0"/>
    <n v="46"/>
    <n v="84"/>
    <n v="0"/>
    <n v="404.34"/>
    <n v="320.60000000000002"/>
    <m/>
    <n v="491.11832478559"/>
    <n v="290.53979172761228"/>
    <n v="0"/>
    <n v="301.78320239999999"/>
    <n v="239.28301600000003"/>
    <n v="0"/>
    <n v="366.55107288697297"/>
    <n v="216.84727895382071"/>
  </r>
  <r>
    <s v="Regular"/>
    <x v="3"/>
    <x v="1"/>
    <x v="6"/>
    <x v="6"/>
    <x v="0"/>
    <x v="0"/>
    <x v="1"/>
    <x v="9"/>
    <n v="0"/>
    <n v="0"/>
    <n v="0.67600000000000005"/>
    <n v="0.63544"/>
    <n v="0.67600000000000005"/>
    <n v="0.63544"/>
    <n v="1"/>
    <x v="0"/>
    <n v="0"/>
    <n v="0"/>
    <n v="46"/>
    <n v="84"/>
    <n v="0"/>
    <n v="404.34"/>
    <n v="320.60000000000002"/>
    <m/>
    <n v="491.11832478559"/>
    <n v="290.53979172761228"/>
    <n v="0"/>
    <n v="256.93380959999996"/>
    <n v="203.72206400000002"/>
    <n v="0"/>
    <n v="312.07622830175529"/>
    <n v="184.62060525539394"/>
  </r>
  <r>
    <s v="Regular"/>
    <x v="3"/>
    <x v="1"/>
    <x v="6"/>
    <x v="6"/>
    <x v="0"/>
    <x v="0"/>
    <x v="1"/>
    <x v="10"/>
    <n v="0"/>
    <n v="0"/>
    <n v="0.84099999999999997"/>
    <n v="0.79053999999999991"/>
    <n v="0.84099999999999997"/>
    <n v="0.79053999999999991"/>
    <n v="1"/>
    <x v="0"/>
    <n v="0"/>
    <n v="0"/>
    <n v="46"/>
    <n v="84"/>
    <n v="0"/>
    <n v="404.34"/>
    <n v="320.60000000000002"/>
    <m/>
    <n v="491.11832478559"/>
    <n v="290.53979172761228"/>
    <n v="0"/>
    <n v="319.64694359999993"/>
    <n v="253.447124"/>
    <n v="0"/>
    <n v="388.24868047600029"/>
    <n v="229.68332695234659"/>
  </r>
  <r>
    <s v="Regular"/>
    <x v="3"/>
    <x v="1"/>
    <x v="6"/>
    <x v="6"/>
    <x v="0"/>
    <x v="0"/>
    <x v="1"/>
    <x v="11"/>
    <n v="0"/>
    <n v="0"/>
    <n v="0.82899999999999996"/>
    <n v="0.77925999999999995"/>
    <n v="0.82899999999999996"/>
    <n v="0.77925999999999995"/>
    <n v="1"/>
    <x v="0"/>
    <n v="0"/>
    <n v="0"/>
    <n v="46"/>
    <n v="84"/>
    <n v="0"/>
    <n v="404.34"/>
    <n v="320.60000000000002"/>
    <m/>
    <n v="491.11832478559"/>
    <n v="290.53979172761228"/>
    <n v="0"/>
    <n v="315.08598839999996"/>
    <n v="249.83075600000001"/>
    <n v="0"/>
    <n v="382.70886577241885"/>
    <n v="226.40603810165914"/>
  </r>
  <r>
    <s v="Regular"/>
    <x v="4"/>
    <x v="1"/>
    <x v="7"/>
    <x v="7"/>
    <x v="0"/>
    <x v="0"/>
    <x v="1"/>
    <x v="0"/>
    <n v="0"/>
    <n v="0"/>
    <n v="30.279"/>
    <n v="30.279"/>
    <n v="30.279"/>
    <n v="30.279"/>
    <n v="1"/>
    <x v="0"/>
    <n v="0"/>
    <n v="0"/>
    <n v="48"/>
    <n v="86"/>
    <n v="0"/>
    <n v="222.39"/>
    <n v="176.33"/>
    <m/>
    <n v="270.11507863207459"/>
    <n v="159.79688545018675"/>
    <n v="0"/>
    <n v="6733.7468099999996"/>
    <n v="5339.0960700000005"/>
    <n v="0"/>
    <n v="8178.8144659005866"/>
    <n v="4838.4898945462046"/>
  </r>
  <r>
    <s v="Regular"/>
    <x v="4"/>
    <x v="1"/>
    <x v="7"/>
    <x v="7"/>
    <x v="0"/>
    <x v="0"/>
    <x v="1"/>
    <x v="1"/>
    <n v="0"/>
    <n v="0"/>
    <n v="29.314"/>
    <n v="29.314"/>
    <n v="29.314"/>
    <n v="29.314"/>
    <n v="1"/>
    <x v="0"/>
    <n v="0"/>
    <n v="0"/>
    <n v="48"/>
    <n v="86"/>
    <n v="0"/>
    <n v="222.39"/>
    <n v="176.33"/>
    <m/>
    <n v="270.11507863207459"/>
    <n v="159.79688545018675"/>
    <n v="0"/>
    <n v="6519.1404599999996"/>
    <n v="5168.9376200000006"/>
    <n v="0"/>
    <n v="7918.1534150206344"/>
    <n v="4684.2859000867747"/>
  </r>
  <r>
    <s v="Regular"/>
    <x v="4"/>
    <x v="1"/>
    <x v="7"/>
    <x v="7"/>
    <x v="0"/>
    <x v="0"/>
    <x v="1"/>
    <x v="2"/>
    <n v="0"/>
    <n v="0"/>
    <n v="30.283999999999999"/>
    <n v="30.283999999999999"/>
    <n v="30.283999999999999"/>
    <n v="30.283999999999999"/>
    <n v="1"/>
    <x v="0"/>
    <n v="0"/>
    <n v="0"/>
    <n v="48"/>
    <n v="86"/>
    <n v="0"/>
    <n v="222.39"/>
    <n v="176.33"/>
    <m/>
    <n v="270.11507863207459"/>
    <n v="159.79688545018675"/>
    <n v="0"/>
    <n v="6734.8587599999992"/>
    <n v="5339.9777199999999"/>
    <n v="0"/>
    <n v="8180.1650412937461"/>
    <n v="4839.2888789734552"/>
  </r>
  <r>
    <s v="Regular"/>
    <x v="4"/>
    <x v="1"/>
    <x v="7"/>
    <x v="7"/>
    <x v="0"/>
    <x v="0"/>
    <x v="1"/>
    <x v="3"/>
    <n v="0"/>
    <n v="0"/>
    <n v="29.344999999999999"/>
    <n v="29.344999999999999"/>
    <n v="29.344999999999999"/>
    <n v="29.344999999999999"/>
    <n v="1"/>
    <x v="0"/>
    <n v="0"/>
    <n v="0"/>
    <n v="48"/>
    <n v="86"/>
    <n v="0"/>
    <n v="222.39"/>
    <n v="176.33"/>
    <m/>
    <n v="270.11507863207459"/>
    <n v="159.79688545018675"/>
    <n v="0"/>
    <n v="6526.0345499999994"/>
    <n v="5174.4038500000006"/>
    <n v="0"/>
    <n v="7926.5269824582283"/>
    <n v="4689.2396035357297"/>
  </r>
  <r>
    <s v="Regular"/>
    <x v="4"/>
    <x v="1"/>
    <x v="7"/>
    <x v="7"/>
    <x v="0"/>
    <x v="0"/>
    <x v="1"/>
    <x v="4"/>
    <n v="0"/>
    <n v="0"/>
    <n v="31.134"/>
    <n v="31.134"/>
    <n v="31.134"/>
    <n v="31.134"/>
    <n v="1"/>
    <x v="0"/>
    <n v="0"/>
    <n v="0"/>
    <n v="48"/>
    <n v="86"/>
    <n v="0"/>
    <n v="222.39"/>
    <n v="176.33"/>
    <m/>
    <n v="270.11507863207459"/>
    <n v="159.79688545018675"/>
    <n v="0"/>
    <n v="6923.8902599999992"/>
    <n v="5489.8582200000001"/>
    <n v="0"/>
    <n v="8409.7628581310109"/>
    <n v="4975.1162316061145"/>
  </r>
  <r>
    <s v="Regular"/>
    <x v="4"/>
    <x v="1"/>
    <x v="7"/>
    <x v="7"/>
    <x v="0"/>
    <x v="0"/>
    <x v="1"/>
    <x v="5"/>
    <n v="0"/>
    <n v="0"/>
    <n v="30.346"/>
    <n v="30.346"/>
    <n v="30.346"/>
    <n v="30.346"/>
    <n v="1"/>
    <x v="0"/>
    <n v="0"/>
    <n v="0"/>
    <n v="48"/>
    <n v="86"/>
    <n v="0"/>
    <n v="222.39"/>
    <n v="176.33"/>
    <m/>
    <n v="270.11507863207459"/>
    <n v="159.79688545018675"/>
    <n v="0"/>
    <n v="6748.6469399999996"/>
    <n v="5350.9101800000008"/>
    <n v="0"/>
    <n v="8196.9121761689348"/>
    <n v="4849.1962858713669"/>
  </r>
  <r>
    <s v="Regular"/>
    <x v="4"/>
    <x v="1"/>
    <x v="7"/>
    <x v="7"/>
    <x v="0"/>
    <x v="0"/>
    <x v="1"/>
    <x v="6"/>
    <n v="0"/>
    <n v="0"/>
    <n v="27.167000000000002"/>
    <n v="27.167000000000002"/>
    <n v="27.167000000000002"/>
    <n v="27.167000000000002"/>
    <n v="1"/>
    <x v="0"/>
    <n v="0"/>
    <n v="0"/>
    <n v="48"/>
    <n v="86"/>
    <n v="0"/>
    <n v="222.39"/>
    <n v="176.33"/>
    <m/>
    <n v="270.11507863207459"/>
    <n v="159.79688545018675"/>
    <n v="0"/>
    <n v="6041.6691300000002"/>
    <n v="4790.3571100000008"/>
    <n v="0"/>
    <n v="7338.2163411975707"/>
    <n v="4341.2019870252234"/>
  </r>
  <r>
    <s v="Regular"/>
    <x v="4"/>
    <x v="1"/>
    <x v="7"/>
    <x v="7"/>
    <x v="0"/>
    <x v="0"/>
    <x v="1"/>
    <x v="7"/>
    <n v="0"/>
    <n v="0"/>
    <n v="30.222000000000001"/>
    <n v="30.222000000000001"/>
    <n v="30.222000000000001"/>
    <n v="30.222000000000001"/>
    <n v="1"/>
    <x v="0"/>
    <n v="0"/>
    <n v="0"/>
    <n v="48"/>
    <n v="86"/>
    <n v="0"/>
    <n v="222.39"/>
    <n v="176.33"/>
    <m/>
    <n v="270.11507863207459"/>
    <n v="159.79688545018675"/>
    <n v="0"/>
    <n v="6721.0705799999996"/>
    <n v="5329.0452600000008"/>
    <n v="0"/>
    <n v="8163.4179064185582"/>
    <n v="4829.3814720755445"/>
  </r>
  <r>
    <s v="Regular"/>
    <x v="4"/>
    <x v="1"/>
    <x v="7"/>
    <x v="7"/>
    <x v="0"/>
    <x v="0"/>
    <x v="1"/>
    <x v="8"/>
    <n v="0"/>
    <n v="0"/>
    <n v="29.305"/>
    <n v="29.305"/>
    <n v="29.305"/>
    <n v="29.305"/>
    <n v="1"/>
    <x v="0"/>
    <n v="0"/>
    <n v="0"/>
    <n v="48"/>
    <n v="86"/>
    <n v="0"/>
    <n v="222.39"/>
    <n v="176.33"/>
    <m/>
    <n v="270.11507863207459"/>
    <n v="159.79688545018675"/>
    <n v="0"/>
    <n v="6517.1389499999996"/>
    <n v="5167.3506500000003"/>
    <n v="0"/>
    <n v="7915.722379312946"/>
    <n v="4682.8477281177229"/>
  </r>
  <r>
    <s v="Regular"/>
    <x v="4"/>
    <x v="1"/>
    <x v="7"/>
    <x v="7"/>
    <x v="0"/>
    <x v="0"/>
    <x v="1"/>
    <x v="9"/>
    <n v="0"/>
    <n v="0"/>
    <n v="30.077000000000002"/>
    <n v="30.077000000000002"/>
    <n v="30.077000000000002"/>
    <n v="30.077000000000002"/>
    <n v="1"/>
    <x v="0"/>
    <n v="0"/>
    <n v="0"/>
    <n v="48"/>
    <n v="86"/>
    <n v="0"/>
    <n v="222.39"/>
    <n v="176.33"/>
    <m/>
    <n v="270.11507863207459"/>
    <n v="159.79688545018675"/>
    <n v="0"/>
    <n v="6688.8240299999998"/>
    <n v="5303.4774100000004"/>
    <n v="0"/>
    <n v="8124.2512200169076"/>
    <n v="4806.2109236852675"/>
  </r>
  <r>
    <s v="Regular"/>
    <x v="4"/>
    <x v="1"/>
    <x v="7"/>
    <x v="7"/>
    <x v="0"/>
    <x v="0"/>
    <x v="1"/>
    <x v="10"/>
    <n v="0"/>
    <n v="0"/>
    <n v="29.158000000000001"/>
    <n v="29.158000000000001"/>
    <n v="29.158000000000001"/>
    <n v="29.158000000000001"/>
    <n v="1"/>
    <x v="0"/>
    <n v="0"/>
    <n v="0"/>
    <n v="48"/>
    <n v="86"/>
    <n v="0"/>
    <n v="222.39"/>
    <n v="176.33"/>
    <m/>
    <n v="270.11507863207459"/>
    <n v="159.79688545018675"/>
    <n v="0"/>
    <n v="6484.4476199999999"/>
    <n v="5141.4301400000004"/>
    <n v="0"/>
    <n v="7876.0154627540314"/>
    <n v="4659.3575859565453"/>
  </r>
  <r>
    <s v="Regular"/>
    <x v="4"/>
    <x v="1"/>
    <x v="7"/>
    <x v="7"/>
    <x v="0"/>
    <x v="0"/>
    <x v="1"/>
    <x v="11"/>
    <n v="0"/>
    <n v="0"/>
    <n v="30.065000000000001"/>
    <n v="30.065000000000001"/>
    <n v="30.065000000000001"/>
    <n v="30.065000000000001"/>
    <n v="1"/>
    <x v="0"/>
    <n v="0"/>
    <n v="0"/>
    <n v="48"/>
    <n v="86"/>
    <n v="0"/>
    <n v="222.39"/>
    <n v="176.33"/>
    <m/>
    <n v="270.11507863207459"/>
    <n v="159.79688545018675"/>
    <n v="0"/>
    <n v="6686.15535"/>
    <n v="5301.3614500000003"/>
    <n v="0"/>
    <n v="8121.0098390733228"/>
    <n v="4804.29336105986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Regular"/>
    <x v="0"/>
    <x v="0"/>
    <x v="0"/>
    <x v="0"/>
    <x v="0"/>
    <x v="0"/>
    <x v="0"/>
    <x v="0"/>
    <n v="0"/>
    <n v="0"/>
    <n v="399.43"/>
    <n v="399.43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1"/>
    <n v="0"/>
    <n v="0"/>
    <n v="374.197"/>
    <n v="374.197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2"/>
    <n v="0"/>
    <n v="0"/>
    <n v="383.92899999999997"/>
    <n v="383.92899999999997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3"/>
    <n v="0"/>
    <n v="0"/>
    <n v="492.41399999999999"/>
    <n v="492.41399999999999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4"/>
    <n v="0"/>
    <n v="0"/>
    <n v="512.43600000000004"/>
    <n v="512.43600000000004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5"/>
    <n v="0"/>
    <n v="0"/>
    <n v="509.79700000000003"/>
    <n v="509.79700000000003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6"/>
    <n v="0"/>
    <n v="0"/>
    <n v="511.16399999999999"/>
    <n v="511.16399999999999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7"/>
    <n v="0"/>
    <n v="0"/>
    <n v="573.44500000000005"/>
    <n v="573.44500000000005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8"/>
    <n v="0"/>
    <n v="0"/>
    <n v="505.69200000000001"/>
    <n v="505.69200000000001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9"/>
    <n v="0"/>
    <n v="0"/>
    <n v="515.16200000000003"/>
    <n v="515.16200000000003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10"/>
    <n v="0"/>
    <n v="0"/>
    <n v="514.71199999999999"/>
    <n v="514.71199999999999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0"/>
    <x v="11"/>
    <n v="0"/>
    <n v="0"/>
    <n v="525.48800000000006"/>
    <n v="525.48800000000006"/>
    <n v="0"/>
    <n v="0"/>
    <n v="0"/>
    <s v="LIVRE"/>
    <n v="0"/>
    <n v="0"/>
    <n v="8"/>
    <n v="0"/>
    <n v="0"/>
    <n v="70.19"/>
    <n v="0"/>
    <m/>
    <n v="108.9218947768087"/>
    <m/>
    <n v="0"/>
    <n v="0"/>
    <n v="0"/>
    <n v="0"/>
    <x v="0"/>
  </r>
  <r>
    <s v="Regular"/>
    <x v="0"/>
    <x v="0"/>
    <x v="0"/>
    <x v="0"/>
    <x v="0"/>
    <x v="0"/>
    <x v="1"/>
    <x v="0"/>
    <n v="1300"/>
    <n v="703.09371599999997"/>
    <n v="0"/>
    <n v="0"/>
    <n v="0"/>
    <n v="0"/>
    <n v="2"/>
    <s v="LIVRE"/>
    <n v="0"/>
    <n v="6"/>
    <n v="0"/>
    <n v="0"/>
    <n v="20.43"/>
    <n v="0"/>
    <n v="0"/>
    <n v="17.702312702839738"/>
    <m/>
    <m/>
    <n v="12194.795382120001"/>
    <n v="0"/>
    <n v="10566.621693658064"/>
    <n v="0"/>
    <x v="0"/>
  </r>
  <r>
    <s v="Regular"/>
    <x v="0"/>
    <x v="0"/>
    <x v="0"/>
    <x v="0"/>
    <x v="0"/>
    <x v="0"/>
    <x v="1"/>
    <x v="1"/>
    <n v="1300"/>
    <n v="710.24843499999997"/>
    <n v="0"/>
    <n v="0"/>
    <n v="0"/>
    <n v="0"/>
    <n v="2"/>
    <s v="LIVRE"/>
    <n v="0"/>
    <n v="6"/>
    <n v="0"/>
    <n v="0"/>
    <n v="20.43"/>
    <n v="0"/>
    <n v="0"/>
    <n v="17.702312702839738"/>
    <m/>
    <m/>
    <n v="12048.624472950001"/>
    <n v="0"/>
    <n v="10439.966620619116"/>
    <n v="0"/>
    <x v="0"/>
  </r>
  <r>
    <s v="Regular"/>
    <x v="0"/>
    <x v="0"/>
    <x v="0"/>
    <x v="0"/>
    <x v="0"/>
    <x v="0"/>
    <x v="1"/>
    <x v="2"/>
    <n v="1300"/>
    <n v="713.766482"/>
    <n v="0"/>
    <n v="0"/>
    <n v="0"/>
    <n v="0"/>
    <n v="2"/>
    <s v="LIVRE"/>
    <n v="0"/>
    <n v="6"/>
    <n v="0"/>
    <n v="0"/>
    <n v="20.43"/>
    <n v="0"/>
    <n v="0"/>
    <n v="17.702312702839738"/>
    <m/>
    <m/>
    <n v="11976.750772740001"/>
    <n v="0"/>
    <n v="10377.689052521828"/>
    <n v="0"/>
    <x v="0"/>
  </r>
  <r>
    <s v="Regular"/>
    <x v="0"/>
    <x v="0"/>
    <x v="0"/>
    <x v="0"/>
    <x v="0"/>
    <x v="0"/>
    <x v="1"/>
    <x v="3"/>
    <n v="1387"/>
    <n v="698.92776097000001"/>
    <n v="0"/>
    <n v="0"/>
    <n v="0"/>
    <n v="0"/>
    <n v="2"/>
    <s v="LIVRE"/>
    <n v="0"/>
    <n v="6"/>
    <n v="0"/>
    <n v="0"/>
    <n v="20.43"/>
    <n v="0"/>
    <n v="0"/>
    <n v="17.702312702839738"/>
    <m/>
    <m/>
    <n v="14057.315843382899"/>
    <n v="0"/>
    <n v="12180.46993745215"/>
    <n v="0"/>
    <x v="0"/>
  </r>
  <r>
    <s v="Regular"/>
    <x v="0"/>
    <x v="0"/>
    <x v="0"/>
    <x v="0"/>
    <x v="0"/>
    <x v="0"/>
    <x v="1"/>
    <x v="4"/>
    <n v="1556"/>
    <n v="813.63548088000005"/>
    <n v="0"/>
    <n v="0"/>
    <n v="0"/>
    <n v="0"/>
    <n v="3"/>
    <s v="LIVRE"/>
    <n v="0"/>
    <n v="6"/>
    <n v="0"/>
    <n v="0"/>
    <n v="20.43"/>
    <n v="0"/>
    <n v="0"/>
    <n v="17.702312702839738"/>
    <m/>
    <m/>
    <n v="15166.5071256216"/>
    <n v="0"/>
    <n v="13141.568856955488"/>
    <n v="0"/>
    <x v="0"/>
  </r>
  <r>
    <s v="Regular"/>
    <x v="0"/>
    <x v="0"/>
    <x v="0"/>
    <x v="0"/>
    <x v="0"/>
    <x v="0"/>
    <x v="1"/>
    <x v="5"/>
    <n v="1548"/>
    <n v="802.55984148000005"/>
    <n v="0"/>
    <n v="0"/>
    <n v="0"/>
    <n v="0"/>
    <n v="3"/>
    <s v="LIVRE"/>
    <n v="0"/>
    <n v="6"/>
    <n v="0"/>
    <n v="0"/>
    <n v="20.43"/>
    <n v="0"/>
    <n v="0"/>
    <n v="17.702312702839738"/>
    <m/>
    <m/>
    <n v="15229.342438563599"/>
    <n v="0"/>
    <n v="13196.014787375463"/>
    <n v="0"/>
    <x v="0"/>
  </r>
  <r>
    <s v="Regular"/>
    <x v="0"/>
    <x v="0"/>
    <x v="0"/>
    <x v="0"/>
    <x v="0"/>
    <x v="0"/>
    <x v="1"/>
    <x v="6"/>
    <n v="1538"/>
    <n v="802.99662871999999"/>
    <n v="0"/>
    <n v="0"/>
    <n v="0"/>
    <n v="0"/>
    <n v="3"/>
    <s v="LIVRE"/>
    <n v="0"/>
    <n v="6"/>
    <n v="0"/>
    <n v="0"/>
    <n v="20.43"/>
    <n v="0"/>
    <n v="0"/>
    <n v="17.702312702839738"/>
    <m/>
    <m/>
    <n v="15016.1188752504"/>
    <n v="0"/>
    <n v="13011.259516039976"/>
    <n v="0"/>
    <x v="0"/>
  </r>
  <r>
    <s v="Regular"/>
    <x v="0"/>
    <x v="0"/>
    <x v="0"/>
    <x v="0"/>
    <x v="0"/>
    <x v="0"/>
    <x v="1"/>
    <x v="7"/>
    <n v="1621"/>
    <n v="816.28692136999996"/>
    <n v="0"/>
    <n v="0"/>
    <n v="0"/>
    <n v="0"/>
    <n v="3"/>
    <s v="LIVRE"/>
    <n v="0"/>
    <n v="6"/>
    <n v="0"/>
    <n v="0"/>
    <n v="20.43"/>
    <n v="0"/>
    <n v="0"/>
    <n v="17.702312702839738"/>
    <m/>
    <m/>
    <n v="16440.2881964109"/>
    <n v="0"/>
    <n v="14245.282553973122"/>
    <n v="0"/>
    <x v="0"/>
  </r>
  <r>
    <s v="Regular"/>
    <x v="0"/>
    <x v="0"/>
    <x v="0"/>
    <x v="0"/>
    <x v="0"/>
    <x v="0"/>
    <x v="1"/>
    <x v="8"/>
    <n v="1572"/>
    <n v="822.37163124000006"/>
    <n v="0"/>
    <n v="0"/>
    <n v="0"/>
    <n v="0"/>
    <n v="3"/>
    <s v="LIVRE"/>
    <n v="0"/>
    <n v="6"/>
    <n v="0"/>
    <n v="0"/>
    <n v="20.43"/>
    <n v="0"/>
    <n v="0"/>
    <n v="17.702312702839738"/>
    <m/>
    <m/>
    <n v="15314.907573766799"/>
    <n v="0"/>
    <n v="13270.155794709179"/>
    <n v="0"/>
    <x v="0"/>
  </r>
  <r>
    <s v="Regular"/>
    <x v="0"/>
    <x v="0"/>
    <x v="0"/>
    <x v="0"/>
    <x v="0"/>
    <x v="0"/>
    <x v="1"/>
    <x v="9"/>
    <n v="1602"/>
    <n v="803.84548842000004"/>
    <n v="0"/>
    <n v="0"/>
    <n v="0"/>
    <n v="0"/>
    <n v="3"/>
    <s v="LIVRE"/>
    <n v="0"/>
    <n v="6"/>
    <n v="0"/>
    <n v="0"/>
    <n v="20.43"/>
    <n v="0"/>
    <n v="0"/>
    <n v="17.702312702839738"/>
    <m/>
    <m/>
    <n v="16306.296671579399"/>
    <n v="0"/>
    <n v="14129.180749171479"/>
    <n v="0"/>
    <x v="0"/>
  </r>
  <r>
    <s v="Regular"/>
    <x v="0"/>
    <x v="0"/>
    <x v="0"/>
    <x v="0"/>
    <x v="0"/>
    <x v="0"/>
    <x v="1"/>
    <x v="10"/>
    <n v="1549"/>
    <n v="810.33947633000002"/>
    <n v="0"/>
    <n v="0"/>
    <n v="0"/>
    <n v="0"/>
    <n v="3"/>
    <s v="LIVRE"/>
    <n v="0"/>
    <n v="6"/>
    <n v="0"/>
    <n v="0"/>
    <n v="20.43"/>
    <n v="0"/>
    <n v="0"/>
    <n v="17.702312702839738"/>
    <m/>
    <m/>
    <n v="15090.834498578099"/>
    <n v="0"/>
    <n v="13075.999571249693"/>
    <n v="0"/>
    <x v="0"/>
  </r>
  <r>
    <s v="Regular"/>
    <x v="0"/>
    <x v="0"/>
    <x v="0"/>
    <x v="0"/>
    <x v="0"/>
    <x v="0"/>
    <x v="1"/>
    <x v="11"/>
    <n v="1559"/>
    <n v="782.26911139000003"/>
    <n v="0"/>
    <n v="0"/>
    <n v="0"/>
    <n v="0"/>
    <n v="3"/>
    <s v="LIVRE"/>
    <n v="0"/>
    <n v="6"/>
    <n v="0"/>
    <n v="0"/>
    <n v="20.43"/>
    <n v="0"/>
    <n v="0"/>
    <n v="17.702312702839738"/>
    <m/>
    <m/>
    <n v="15868.612054302299"/>
    <n v="0"/>
    <n v="13749.9330761288"/>
    <n v="0"/>
    <x v="0"/>
  </r>
  <r>
    <s v="Regular"/>
    <x v="0"/>
    <x v="0"/>
    <x v="0"/>
    <x v="0"/>
    <x v="0"/>
    <x v="0"/>
    <x v="2"/>
    <x v="0"/>
    <n v="0"/>
    <n v="0"/>
    <n v="37.838000000000001"/>
    <n v="21.19501094348"/>
    <n v="0"/>
    <n v="0"/>
    <n v="0"/>
    <s v="LIVRE"/>
    <n v="0"/>
    <n v="0"/>
    <n v="7"/>
    <n v="0"/>
    <n v="0"/>
    <n v="1419.25"/>
    <n v="0"/>
    <m/>
    <n v="1282.8986662326251"/>
    <m/>
    <n v="0"/>
    <n v="23620.562218466013"/>
    <n v="0"/>
    <n v="21351.268462733686"/>
    <x v="0"/>
  </r>
  <r>
    <s v="Regular"/>
    <x v="0"/>
    <x v="0"/>
    <x v="0"/>
    <x v="0"/>
    <x v="0"/>
    <x v="0"/>
    <x v="2"/>
    <x v="1"/>
    <n v="0"/>
    <n v="0"/>
    <n v="34.56"/>
    <n v="19.6570637568"/>
    <n v="0"/>
    <n v="0"/>
    <n v="0"/>
    <s v="LIVRE"/>
    <n v="0"/>
    <n v="0"/>
    <n v="7"/>
    <n v="0"/>
    <n v="0"/>
    <n v="1419.25"/>
    <n v="0"/>
    <m/>
    <n v="1282.8986662326251"/>
    <m/>
    <n v="0"/>
    <n v="21150.992263161603"/>
    <n v="0"/>
    <n v="19118.957029351131"/>
    <x v="0"/>
  </r>
  <r>
    <s v="Regular"/>
    <x v="0"/>
    <x v="0"/>
    <x v="0"/>
    <x v="0"/>
    <x v="0"/>
    <x v="0"/>
    <x v="2"/>
    <x v="2"/>
    <n v="0"/>
    <n v="0"/>
    <n v="34.85"/>
    <n v="19.911656580500001"/>
    <n v="0"/>
    <n v="0"/>
    <n v="0"/>
    <s v="LIVRE"/>
    <n v="0"/>
    <n v="0"/>
    <n v="7"/>
    <n v="0"/>
    <n v="0"/>
    <n v="1419.25"/>
    <n v="0"/>
    <m/>
    <n v="1282.8986662326251"/>
    <m/>
    <n v="0"/>
    <n v="21201.243898125376"/>
    <n v="0"/>
    <n v="19164.380848601464"/>
    <x v="0"/>
  </r>
  <r>
    <s v="Regular"/>
    <x v="0"/>
    <x v="0"/>
    <x v="0"/>
    <x v="0"/>
    <x v="0"/>
    <x v="0"/>
    <x v="2"/>
    <x v="3"/>
    <n v="0"/>
    <n v="0"/>
    <n v="45.478000000000002"/>
    <n v="24.032740862360001"/>
    <n v="0"/>
    <n v="0"/>
    <n v="0"/>
    <s v="LIVRE"/>
    <n v="0"/>
    <n v="0"/>
    <n v="7"/>
    <n v="0"/>
    <n v="0"/>
    <n v="1419.25"/>
    <n v="0"/>
    <m/>
    <n v="1282.8986662326251"/>
    <m/>
    <n v="0"/>
    <n v="30436.18403109557"/>
    <n v="0"/>
    <n v="27512.094344691373"/>
    <x v="0"/>
  </r>
  <r>
    <s v="Regular"/>
    <x v="0"/>
    <x v="0"/>
    <x v="0"/>
    <x v="0"/>
    <x v="0"/>
    <x v="0"/>
    <x v="2"/>
    <x v="4"/>
    <n v="0"/>
    <n v="0"/>
    <n v="52.598999999999997"/>
    <n v="28.7452062228"/>
    <n v="0"/>
    <n v="0"/>
    <n v="0"/>
    <s v="LIVRE"/>
    <n v="0"/>
    <n v="0"/>
    <n v="7"/>
    <n v="0"/>
    <n v="0"/>
    <n v="1419.25"/>
    <n v="0"/>
    <m/>
    <n v="1282.8986662326251"/>
    <m/>
    <n v="0"/>
    <n v="33854.496818291096"/>
    <n v="0"/>
    <n v="30602.000221357968"/>
    <x v="0"/>
  </r>
  <r>
    <s v="Regular"/>
    <x v="0"/>
    <x v="0"/>
    <x v="0"/>
    <x v="0"/>
    <x v="0"/>
    <x v="0"/>
    <x v="2"/>
    <x v="5"/>
    <n v="0"/>
    <n v="0"/>
    <n v="51.326999999999998"/>
    <n v="27.832831548840002"/>
    <n v="0"/>
    <n v="0"/>
    <n v="0"/>
    <s v="LIVRE"/>
    <n v="0"/>
    <n v="0"/>
    <n v="7"/>
    <n v="0"/>
    <n v="0"/>
    <n v="1419.25"/>
    <n v="0"/>
    <m/>
    <n v="1282.8986662326251"/>
    <m/>
    <n v="0"/>
    <n v="33344.098574308824"/>
    <n v="0"/>
    <n v="30140.637370237779"/>
    <x v="0"/>
  </r>
  <r>
    <s v="Regular"/>
    <x v="0"/>
    <x v="0"/>
    <x v="0"/>
    <x v="0"/>
    <x v="0"/>
    <x v="0"/>
    <x v="2"/>
    <x v="6"/>
    <n v="0"/>
    <n v="0"/>
    <n v="50.866999999999997"/>
    <n v="27.760110799700001"/>
    <n v="0"/>
    <n v="0"/>
    <n v="0"/>
    <s v="LIVRE"/>
    <n v="0"/>
    <n v="0"/>
    <n v="7"/>
    <n v="0"/>
    <n v="0"/>
    <n v="1419.25"/>
    <n v="0"/>
    <m/>
    <n v="1282.8986662326251"/>
    <m/>
    <n v="0"/>
    <n v="32794.452497525766"/>
    <n v="0"/>
    <n v="29643.797335849915"/>
    <x v="0"/>
  </r>
  <r>
    <s v="Regular"/>
    <x v="0"/>
    <x v="0"/>
    <x v="0"/>
    <x v="0"/>
    <x v="0"/>
    <x v="0"/>
    <x v="2"/>
    <x v="7"/>
    <n v="0"/>
    <n v="0"/>
    <n v="57.411999999999999"/>
    <n v="30.320498353240001"/>
    <n v="0"/>
    <n v="0"/>
    <n v="0"/>
    <s v="LIVRE"/>
    <n v="0"/>
    <n v="0"/>
    <n v="7"/>
    <n v="0"/>
    <n v="0"/>
    <n v="1419.25"/>
    <n v="0"/>
    <m/>
    <n v="1282.8986662326251"/>
    <m/>
    <n v="0"/>
    <n v="38449.61371216413"/>
    <n v="0"/>
    <n v="34755.651328867367"/>
    <x v="0"/>
  </r>
  <r>
    <s v="Regular"/>
    <x v="0"/>
    <x v="0"/>
    <x v="0"/>
    <x v="0"/>
    <x v="0"/>
    <x v="0"/>
    <x v="2"/>
    <x v="8"/>
    <n v="0"/>
    <n v="0"/>
    <n v="46.329000000000001"/>
    <n v="25.329025626749999"/>
    <n v="0"/>
    <n v="0"/>
    <n v="0"/>
    <s v="LIVRE"/>
    <n v="0"/>
    <n v="0"/>
    <n v="7"/>
    <n v="0"/>
    <n v="0"/>
    <n v="1419.25"/>
    <n v="0"/>
    <m/>
    <n v="1282.8986662326251"/>
    <m/>
    <n v="0"/>
    <n v="29804.213629235066"/>
    <n v="0"/>
    <n v="26940.839114361734"/>
    <x v="0"/>
  </r>
  <r>
    <s v="Regular"/>
    <x v="0"/>
    <x v="0"/>
    <x v="0"/>
    <x v="0"/>
    <x v="0"/>
    <x v="0"/>
    <x v="2"/>
    <x v="9"/>
    <n v="0"/>
    <n v="0"/>
    <n v="48.935000000000002"/>
    <n v="25.7601777257"/>
    <n v="0"/>
    <n v="0"/>
    <n v="0"/>
    <s v="LIVRE"/>
    <n v="0"/>
    <n v="0"/>
    <n v="7"/>
    <n v="0"/>
    <n v="0"/>
    <n v="1419.25"/>
    <n v="0"/>
    <m/>
    <n v="1282.8986662326251"/>
    <m/>
    <n v="0"/>
    <n v="32890.866512800276"/>
    <n v="0"/>
    <n v="29730.948585877606"/>
    <x v="0"/>
  </r>
  <r>
    <s v="Regular"/>
    <x v="0"/>
    <x v="0"/>
    <x v="0"/>
    <x v="0"/>
    <x v="0"/>
    <x v="0"/>
    <x v="2"/>
    <x v="10"/>
    <n v="0"/>
    <n v="0"/>
    <n v="49.697000000000003"/>
    <n v="27.17038111275"/>
    <n v="0"/>
    <n v="0"/>
    <n v="0"/>
    <s v="LIVRE"/>
    <n v="0"/>
    <n v="0"/>
    <n v="7"/>
    <n v="0"/>
    <n v="0"/>
    <n v="1419.25"/>
    <n v="0"/>
    <m/>
    <n v="1282.8986662326251"/>
    <m/>
    <n v="0"/>
    <n v="31970.903855729564"/>
    <n v="0"/>
    <n v="28899.369325183692"/>
    <x v="0"/>
  </r>
  <r>
    <s v="Regular"/>
    <x v="0"/>
    <x v="0"/>
    <x v="0"/>
    <x v="0"/>
    <x v="0"/>
    <x v="0"/>
    <x v="2"/>
    <x v="11"/>
    <n v="0"/>
    <n v="0"/>
    <n v="48.795999999999999"/>
    <n v="25.68700587112"/>
    <n v="0"/>
    <n v="0"/>
    <n v="0"/>
    <s v="LIVRE"/>
    <n v="0"/>
    <n v="0"/>
    <n v="7"/>
    <n v="0"/>
    <n v="0"/>
    <n v="1419.25"/>
    <n v="0"/>
    <m/>
    <n v="1282.8986662326251"/>
    <m/>
    <n v="0"/>
    <n v="32797.439917412936"/>
    <n v="0"/>
    <n v="29646.497745917717"/>
    <x v="0"/>
  </r>
  <r>
    <s v="Regular"/>
    <x v="1"/>
    <x v="1"/>
    <x v="1"/>
    <x v="1"/>
    <x v="1"/>
    <x v="0"/>
    <x v="1"/>
    <x v="0"/>
    <n v="0"/>
    <n v="0"/>
    <n v="542.63900000000001"/>
    <n v="542.63900000000001"/>
    <n v="542.63900000000001"/>
    <n v="542.63900000000001"/>
    <n v="2963"/>
    <s v="CATIVO"/>
    <n v="0"/>
    <n v="0"/>
    <n v="18"/>
    <n v="56"/>
    <n v="0"/>
    <n v="404.34"/>
    <n v="320.60000000000002"/>
    <m/>
    <n v="491.11832478559"/>
    <n v="290.53979172761228"/>
    <n v="0"/>
    <n v="0"/>
    <n v="0"/>
    <n v="0"/>
    <x v="1"/>
  </r>
  <r>
    <s v="Regular"/>
    <x v="1"/>
    <x v="1"/>
    <x v="1"/>
    <x v="2"/>
    <x v="1"/>
    <x v="0"/>
    <x v="1"/>
    <x v="0"/>
    <n v="0"/>
    <n v="0"/>
    <n v="10.5"/>
    <n v="10.5"/>
    <n v="10.5"/>
    <n v="10.5"/>
    <n v="12"/>
    <s v="CATIVO"/>
    <n v="0"/>
    <n v="0"/>
    <n v="19"/>
    <n v="57"/>
    <n v="0"/>
    <n v="115.28"/>
    <n v="112.21"/>
    <m/>
    <n v="128.54125815028493"/>
    <n v="101.68892710466429"/>
    <n v="0"/>
    <n v="4436.0400000000009"/>
    <n v="0"/>
    <n v="4489.4886124715122"/>
    <x v="2"/>
  </r>
  <r>
    <s v="Regular"/>
    <x v="1"/>
    <x v="1"/>
    <x v="1"/>
    <x v="2"/>
    <x v="1"/>
    <x v="0"/>
    <x v="1"/>
    <x v="1"/>
    <n v="0"/>
    <n v="0"/>
    <n v="10.35"/>
    <n v="10.35"/>
    <n v="10.35"/>
    <n v="10.35"/>
    <n v="12"/>
    <s v="CATIVO"/>
    <n v="0"/>
    <n v="0"/>
    <n v="19"/>
    <n v="57"/>
    <n v="0"/>
    <n v="115.28"/>
    <n v="112.21"/>
    <m/>
    <n v="128.54125815028493"/>
    <n v="101.68892710466429"/>
    <n v="0"/>
    <n v="4372.6680000000006"/>
    <n v="0"/>
    <n v="4425.3530608647761"/>
    <x v="2"/>
  </r>
  <r>
    <s v="Regular"/>
    <x v="1"/>
    <x v="1"/>
    <x v="1"/>
    <x v="2"/>
    <x v="1"/>
    <x v="0"/>
    <x v="1"/>
    <x v="2"/>
    <n v="0"/>
    <n v="0"/>
    <n v="10.38"/>
    <n v="10.38"/>
    <n v="10.38"/>
    <n v="10.38"/>
    <n v="10"/>
    <s v="CATIVO"/>
    <n v="0"/>
    <n v="0"/>
    <n v="19"/>
    <n v="57"/>
    <n v="0"/>
    <n v="115.28"/>
    <n v="112.21"/>
    <m/>
    <n v="128.54125815028493"/>
    <n v="101.68892710466429"/>
    <n v="0"/>
    <n v="4385.3424000000014"/>
    <n v="0"/>
    <n v="4438.1801711861235"/>
    <x v="2"/>
  </r>
  <r>
    <s v="Regular"/>
    <x v="1"/>
    <x v="1"/>
    <x v="1"/>
    <x v="2"/>
    <x v="1"/>
    <x v="0"/>
    <x v="1"/>
    <x v="3"/>
    <n v="0"/>
    <n v="0"/>
    <n v="10.59"/>
    <n v="10.59"/>
    <n v="10.59"/>
    <n v="10.59"/>
    <n v="10"/>
    <s v="CATIVO"/>
    <n v="0"/>
    <n v="0"/>
    <n v="19"/>
    <n v="57"/>
    <n v="0"/>
    <n v="115.28"/>
    <n v="112.21"/>
    <m/>
    <n v="128.54125815028493"/>
    <n v="101.68892710466429"/>
    <n v="0"/>
    <n v="4474.0632000000005"/>
    <n v="0"/>
    <n v="4527.9699434355534"/>
    <x v="2"/>
  </r>
  <r>
    <s v="Regular"/>
    <x v="1"/>
    <x v="1"/>
    <x v="1"/>
    <x v="2"/>
    <x v="1"/>
    <x v="0"/>
    <x v="1"/>
    <x v="4"/>
    <n v="0"/>
    <n v="0"/>
    <n v="10.74"/>
    <n v="10.74"/>
    <n v="10.74"/>
    <n v="10.74"/>
    <n v="6"/>
    <s v="CATIVO"/>
    <n v="0"/>
    <n v="0"/>
    <n v="19"/>
    <n v="57"/>
    <n v="0"/>
    <n v="115.28"/>
    <n v="112.21"/>
    <m/>
    <n v="128.54125815028493"/>
    <n v="101.68892710466429"/>
    <n v="0"/>
    <n v="4537.4352000000008"/>
    <n v="0"/>
    <n v="4592.1054950422895"/>
    <x v="2"/>
  </r>
  <r>
    <s v="Regular"/>
    <x v="1"/>
    <x v="1"/>
    <x v="1"/>
    <x v="2"/>
    <x v="1"/>
    <x v="0"/>
    <x v="1"/>
    <x v="5"/>
    <n v="0"/>
    <n v="0"/>
    <n v="10.8"/>
    <n v="10.8"/>
    <n v="10.8"/>
    <n v="10.8"/>
    <n v="9"/>
    <s v="CATIVO"/>
    <n v="0"/>
    <n v="0"/>
    <n v="19"/>
    <n v="57"/>
    <n v="0"/>
    <n v="115.28"/>
    <n v="112.21"/>
    <m/>
    <n v="128.54125815028493"/>
    <n v="101.68892710466429"/>
    <n v="0"/>
    <n v="4562.7840000000015"/>
    <n v="0"/>
    <n v="4617.7597156849843"/>
    <x v="2"/>
  </r>
  <r>
    <s v="Regular"/>
    <x v="1"/>
    <x v="1"/>
    <x v="1"/>
    <x v="2"/>
    <x v="1"/>
    <x v="0"/>
    <x v="1"/>
    <x v="6"/>
    <n v="0"/>
    <n v="0"/>
    <n v="10.8"/>
    <n v="10.8"/>
    <n v="10.8"/>
    <n v="10.8"/>
    <n v="7"/>
    <s v="CATIVO"/>
    <n v="0"/>
    <n v="0"/>
    <n v="19"/>
    <n v="57"/>
    <n v="0"/>
    <n v="115.28"/>
    <n v="112.21"/>
    <m/>
    <n v="128.54125815028493"/>
    <n v="101.68892710466429"/>
    <n v="0"/>
    <n v="4562.7840000000015"/>
    <n v="0"/>
    <n v="4617.7597156849843"/>
    <x v="2"/>
  </r>
  <r>
    <s v="Regular"/>
    <x v="1"/>
    <x v="1"/>
    <x v="1"/>
    <x v="2"/>
    <x v="1"/>
    <x v="0"/>
    <x v="1"/>
    <x v="7"/>
    <n v="0"/>
    <n v="0"/>
    <n v="10.92"/>
    <n v="10.92"/>
    <n v="10.92"/>
    <n v="10.92"/>
    <n v="8"/>
    <s v="CATIVO"/>
    <n v="0"/>
    <n v="0"/>
    <n v="19"/>
    <n v="57"/>
    <n v="0"/>
    <n v="115.28"/>
    <n v="112.21"/>
    <m/>
    <n v="128.54125815028493"/>
    <n v="101.68892710466429"/>
    <n v="0"/>
    <n v="4613.481600000001"/>
    <n v="0"/>
    <n v="4669.068156970372"/>
    <x v="2"/>
  </r>
  <r>
    <s v="Regular"/>
    <x v="1"/>
    <x v="1"/>
    <x v="1"/>
    <x v="2"/>
    <x v="1"/>
    <x v="0"/>
    <x v="1"/>
    <x v="8"/>
    <n v="0"/>
    <n v="0"/>
    <n v="11.13"/>
    <n v="11.13"/>
    <n v="11.13"/>
    <n v="11.13"/>
    <n v="9"/>
    <s v="CATIVO"/>
    <n v="0"/>
    <n v="0"/>
    <n v="19"/>
    <n v="57"/>
    <n v="0"/>
    <n v="115.28"/>
    <n v="112.21"/>
    <m/>
    <n v="128.54125815028493"/>
    <n v="101.68892710466429"/>
    <n v="0"/>
    <n v="4702.202400000001"/>
    <n v="0"/>
    <n v="4758.8579292198028"/>
    <x v="2"/>
  </r>
  <r>
    <s v="Regular"/>
    <x v="1"/>
    <x v="1"/>
    <x v="1"/>
    <x v="2"/>
    <x v="1"/>
    <x v="0"/>
    <x v="1"/>
    <x v="9"/>
    <n v="0"/>
    <n v="0"/>
    <n v="11.34"/>
    <n v="11.34"/>
    <n v="11.34"/>
    <n v="11.34"/>
    <n v="10"/>
    <s v="CATIVO"/>
    <n v="0"/>
    <n v="0"/>
    <n v="19"/>
    <n v="57"/>
    <n v="0"/>
    <n v="115.28"/>
    <n v="112.21"/>
    <m/>
    <n v="128.54125815028493"/>
    <n v="101.68892710466429"/>
    <n v="0"/>
    <n v="4790.9232000000011"/>
    <n v="0"/>
    <n v="4848.6477014692327"/>
    <x v="2"/>
  </r>
  <r>
    <s v="Regular"/>
    <x v="1"/>
    <x v="1"/>
    <x v="1"/>
    <x v="2"/>
    <x v="1"/>
    <x v="0"/>
    <x v="1"/>
    <x v="10"/>
    <n v="0"/>
    <n v="0"/>
    <n v="9.99"/>
    <n v="9.99"/>
    <n v="9.99"/>
    <n v="9.99"/>
    <n v="5"/>
    <s v="CATIVO"/>
    <n v="0"/>
    <n v="0"/>
    <n v="19"/>
    <n v="57"/>
    <n v="0"/>
    <n v="115.28"/>
    <n v="112.21"/>
    <m/>
    <n v="128.54125815028493"/>
    <n v="101.68892710466429"/>
    <n v="0"/>
    <n v="4220.5752000000011"/>
    <n v="0"/>
    <n v="4271.4277370086102"/>
    <x v="2"/>
  </r>
  <r>
    <s v="Regular"/>
    <x v="1"/>
    <x v="1"/>
    <x v="1"/>
    <x v="2"/>
    <x v="1"/>
    <x v="0"/>
    <x v="1"/>
    <x v="11"/>
    <n v="0"/>
    <n v="0"/>
    <n v="9.8699999999999992"/>
    <n v="9.8699999999999992"/>
    <n v="9.8699999999999992"/>
    <n v="9.8699999999999992"/>
    <n v="7"/>
    <s v="CATIVO"/>
    <n v="0"/>
    <n v="0"/>
    <n v="19"/>
    <n v="57"/>
    <n v="0"/>
    <n v="115.28"/>
    <n v="112.21"/>
    <m/>
    <n v="128.54125815028493"/>
    <n v="101.68892710466429"/>
    <n v="0"/>
    <n v="4169.8776000000007"/>
    <n v="0"/>
    <n v="4220.1192957232206"/>
    <x v="2"/>
  </r>
  <r>
    <s v="Regular"/>
    <x v="1"/>
    <x v="1"/>
    <x v="1"/>
    <x v="3"/>
    <x v="1"/>
    <x v="0"/>
    <x v="1"/>
    <x v="0"/>
    <n v="0"/>
    <n v="0"/>
    <n v="21.623999999999999"/>
    <n v="21.623999999999999"/>
    <n v="21.623999999999999"/>
    <n v="21.623999999999999"/>
    <n v="60"/>
    <s v="CATIVO"/>
    <n v="0"/>
    <n v="0"/>
    <n v="20"/>
    <n v="58"/>
    <n v="0"/>
    <n v="197.62"/>
    <n v="192.36"/>
    <m/>
    <n v="220.35644254334562"/>
    <n v="174.32387503656736"/>
    <n v="0"/>
    <n v="5622.02376"/>
    <n v="0"/>
    <n v="5689.7114582320264"/>
    <x v="2"/>
  </r>
  <r>
    <s v="Regular"/>
    <x v="1"/>
    <x v="1"/>
    <x v="1"/>
    <x v="3"/>
    <x v="1"/>
    <x v="0"/>
    <x v="1"/>
    <x v="1"/>
    <n v="0"/>
    <n v="0"/>
    <n v="21.747"/>
    <n v="21.747"/>
    <n v="21.747"/>
    <n v="21.747"/>
    <n v="56"/>
    <s v="CATIVO"/>
    <n v="0"/>
    <n v="0"/>
    <n v="20"/>
    <n v="58"/>
    <n v="0"/>
    <n v="197.62"/>
    <n v="192.36"/>
    <m/>
    <n v="220.35644254334562"/>
    <n v="174.32387503656736"/>
    <n v="0"/>
    <n v="5654.0025299999998"/>
    <n v="0"/>
    <n v="5722.0752442735802"/>
    <x v="2"/>
  </r>
  <r>
    <s v="Regular"/>
    <x v="1"/>
    <x v="1"/>
    <x v="1"/>
    <x v="3"/>
    <x v="1"/>
    <x v="0"/>
    <x v="1"/>
    <x v="2"/>
    <n v="0"/>
    <n v="0"/>
    <n v="22.292000000000002"/>
    <n v="22.292000000000002"/>
    <n v="22.292000000000002"/>
    <n v="22.292000000000002"/>
    <n v="46"/>
    <s v="CATIVO"/>
    <n v="0"/>
    <n v="0"/>
    <n v="20"/>
    <n v="58"/>
    <n v="0"/>
    <n v="197.62"/>
    <n v="192.36"/>
    <m/>
    <n v="220.35644254334562"/>
    <n v="174.32387503656736"/>
    <n v="0"/>
    <n v="5795.6970800000008"/>
    <n v="0"/>
    <n v="5865.4757596609488"/>
    <x v="2"/>
  </r>
  <r>
    <s v="Regular"/>
    <x v="1"/>
    <x v="1"/>
    <x v="1"/>
    <x v="3"/>
    <x v="1"/>
    <x v="0"/>
    <x v="1"/>
    <x v="3"/>
    <n v="0"/>
    <n v="0"/>
    <n v="22.673999999999999"/>
    <n v="22.673999999999999"/>
    <n v="22.673999999999999"/>
    <n v="22.673999999999999"/>
    <n v="52"/>
    <s v="CATIVO"/>
    <n v="0"/>
    <n v="0"/>
    <n v="20"/>
    <n v="58"/>
    <n v="0"/>
    <n v="197.62"/>
    <n v="192.36"/>
    <m/>
    <n v="220.35644254334562"/>
    <n v="174.32387503656736"/>
    <n v="0"/>
    <n v="5895.0132599999997"/>
    <n v="0"/>
    <n v="5965.9876805379663"/>
    <x v="2"/>
  </r>
  <r>
    <s v="Regular"/>
    <x v="1"/>
    <x v="1"/>
    <x v="1"/>
    <x v="3"/>
    <x v="1"/>
    <x v="0"/>
    <x v="1"/>
    <x v="4"/>
    <n v="0"/>
    <n v="0"/>
    <n v="23.405999999999999"/>
    <n v="23.405999999999999"/>
    <n v="23.405999999999999"/>
    <n v="23.405999999999999"/>
    <n v="44"/>
    <s v="CATIVO"/>
    <n v="0"/>
    <n v="0"/>
    <n v="20"/>
    <n v="58"/>
    <n v="0"/>
    <n v="197.62"/>
    <n v="192.36"/>
    <m/>
    <n v="220.35644254334562"/>
    <n v="174.32387503656736"/>
    <n v="0"/>
    <n v="6085.3259399999997"/>
    <n v="0"/>
    <n v="6158.5916755169637"/>
    <x v="2"/>
  </r>
  <r>
    <s v="Regular"/>
    <x v="1"/>
    <x v="1"/>
    <x v="1"/>
    <x v="3"/>
    <x v="1"/>
    <x v="0"/>
    <x v="1"/>
    <x v="5"/>
    <n v="0"/>
    <n v="0"/>
    <n v="23.407"/>
    <n v="23.407"/>
    <n v="23.407"/>
    <n v="23.407"/>
    <n v="45"/>
    <s v="CATIVO"/>
    <n v="0"/>
    <n v="0"/>
    <n v="20"/>
    <n v="58"/>
    <n v="0"/>
    <n v="197.62"/>
    <n v="192.36"/>
    <m/>
    <n v="220.35644254334562"/>
    <n v="174.32387503656736"/>
    <n v="0"/>
    <n v="6085.5859300000002"/>
    <n v="0"/>
    <n v="6158.8547957286837"/>
    <x v="2"/>
  </r>
  <r>
    <s v="Regular"/>
    <x v="1"/>
    <x v="1"/>
    <x v="1"/>
    <x v="3"/>
    <x v="1"/>
    <x v="0"/>
    <x v="1"/>
    <x v="6"/>
    <n v="0"/>
    <n v="0"/>
    <n v="24.22"/>
    <n v="24.22"/>
    <n v="24.22"/>
    <n v="24.22"/>
    <n v="21"/>
    <s v="CATIVO"/>
    <n v="0"/>
    <n v="0"/>
    <n v="20"/>
    <n v="58"/>
    <n v="0"/>
    <n v="197.62"/>
    <n v="192.36"/>
    <m/>
    <n v="220.35644254334562"/>
    <n v="174.32387503656736"/>
    <n v="0"/>
    <n v="6296.9578000000001"/>
    <n v="0"/>
    <n v="6372.7715278569967"/>
    <x v="2"/>
  </r>
  <r>
    <s v="Regular"/>
    <x v="1"/>
    <x v="1"/>
    <x v="1"/>
    <x v="3"/>
    <x v="1"/>
    <x v="0"/>
    <x v="1"/>
    <x v="7"/>
    <n v="0"/>
    <n v="0"/>
    <n v="24.114000000000001"/>
    <n v="24.114000000000001"/>
    <n v="24.114000000000001"/>
    <n v="24.114000000000001"/>
    <n v="43"/>
    <s v="CATIVO"/>
    <n v="0"/>
    <n v="0"/>
    <n v="20"/>
    <n v="58"/>
    <n v="0"/>
    <n v="197.62"/>
    <n v="192.36"/>
    <m/>
    <n v="220.35644254334562"/>
    <n v="174.32387503656736"/>
    <n v="0"/>
    <n v="6269.3988600000002"/>
    <n v="0"/>
    <n v="6344.8807854146835"/>
    <x v="2"/>
  </r>
  <r>
    <s v="Regular"/>
    <x v="1"/>
    <x v="1"/>
    <x v="1"/>
    <x v="3"/>
    <x v="1"/>
    <x v="0"/>
    <x v="1"/>
    <x v="8"/>
    <n v="0"/>
    <n v="0"/>
    <n v="24.617999999999999"/>
    <n v="24.617999999999999"/>
    <n v="24.617999999999999"/>
    <n v="24.617999999999999"/>
    <n v="35"/>
    <s v="CATIVO"/>
    <n v="0"/>
    <n v="0"/>
    <n v="20"/>
    <n v="58"/>
    <n v="0"/>
    <n v="197.62"/>
    <n v="192.36"/>
    <m/>
    <n v="220.35644254334562"/>
    <n v="174.32387503656736"/>
    <n v="0"/>
    <n v="6400.4338200000002"/>
    <n v="0"/>
    <n v="6477.493372121533"/>
    <x v="2"/>
  </r>
  <r>
    <s v="Regular"/>
    <x v="1"/>
    <x v="1"/>
    <x v="1"/>
    <x v="3"/>
    <x v="1"/>
    <x v="0"/>
    <x v="1"/>
    <x v="9"/>
    <n v="0"/>
    <n v="0"/>
    <n v="24.742000000000001"/>
    <n v="24.742000000000001"/>
    <n v="24.742000000000001"/>
    <n v="24.742000000000001"/>
    <n v="45"/>
    <s v="CATIVO"/>
    <n v="0"/>
    <n v="0"/>
    <n v="20"/>
    <n v="58"/>
    <n v="0"/>
    <n v="197.62"/>
    <n v="192.36"/>
    <m/>
    <n v="220.35644254334562"/>
    <n v="174.32387503656736"/>
    <n v="0"/>
    <n v="6432.6725800000004"/>
    <n v="0"/>
    <n v="6510.1202783748067"/>
    <x v="2"/>
  </r>
  <r>
    <s v="Regular"/>
    <x v="1"/>
    <x v="1"/>
    <x v="1"/>
    <x v="3"/>
    <x v="1"/>
    <x v="0"/>
    <x v="1"/>
    <x v="10"/>
    <n v="0"/>
    <n v="0"/>
    <n v="21.544"/>
    <n v="21.544"/>
    <n v="21.544"/>
    <n v="21.544"/>
    <n v="54"/>
    <s v="CATIVO"/>
    <n v="0"/>
    <n v="0"/>
    <n v="20"/>
    <n v="58"/>
    <n v="0"/>
    <n v="197.62"/>
    <n v="192.36"/>
    <m/>
    <n v="220.35644254334562"/>
    <n v="174.32387503656736"/>
    <n v="0"/>
    <n v="5601.2245600000006"/>
    <n v="0"/>
    <n v="5668.6618412944317"/>
    <x v="2"/>
  </r>
  <r>
    <s v="Regular"/>
    <x v="1"/>
    <x v="1"/>
    <x v="1"/>
    <x v="3"/>
    <x v="1"/>
    <x v="0"/>
    <x v="1"/>
    <x v="11"/>
    <n v="0"/>
    <n v="0"/>
    <n v="21.042999999999999"/>
    <n v="21.042999999999999"/>
    <n v="21.042999999999999"/>
    <n v="21.042999999999999"/>
    <n v="57"/>
    <s v="CATIVO"/>
    <n v="0"/>
    <n v="0"/>
    <n v="20"/>
    <n v="58"/>
    <n v="0"/>
    <n v="197.62"/>
    <n v="192.36"/>
    <m/>
    <n v="220.35644254334562"/>
    <n v="174.32387503656736"/>
    <n v="0"/>
    <n v="5470.9695700000002"/>
    <n v="0"/>
    <n v="5536.8386152227404"/>
    <x v="2"/>
  </r>
  <r>
    <s v="Regular"/>
    <x v="1"/>
    <x v="1"/>
    <x v="1"/>
    <x v="4"/>
    <x v="1"/>
    <x v="0"/>
    <x v="1"/>
    <x v="0"/>
    <n v="0"/>
    <n v="0"/>
    <n v="23.725999999999999"/>
    <n v="23.725999999999999"/>
    <n v="23.725999999999999"/>
    <n v="23.725999999999999"/>
    <n v="169"/>
    <s v="CATIVO"/>
    <n v="0"/>
    <n v="0"/>
    <n v="21"/>
    <n v="59"/>
    <n v="0"/>
    <n v="296.43"/>
    <n v="288.54000000000002"/>
    <m/>
    <n v="330.53466381501846"/>
    <n v="261.48581255485107"/>
    <n v="0"/>
    <n v="1542.19"/>
    <n v="0"/>
    <n v="1560.6975358168363"/>
    <x v="2"/>
  </r>
  <r>
    <s v="Regular"/>
    <x v="1"/>
    <x v="1"/>
    <x v="1"/>
    <x v="4"/>
    <x v="1"/>
    <x v="0"/>
    <x v="1"/>
    <x v="1"/>
    <n v="0"/>
    <n v="0"/>
    <n v="21.268999999999998"/>
    <n v="21.268999999999998"/>
    <n v="21.268999999999998"/>
    <n v="21.268999999999998"/>
    <n v="196"/>
    <s v="CATIVO"/>
    <n v="0"/>
    <n v="0"/>
    <n v="21"/>
    <n v="59"/>
    <n v="0"/>
    <n v="296.43"/>
    <n v="288.54000000000002"/>
    <m/>
    <n v="330.53466381501846"/>
    <n v="261.48581255485107"/>
    <n v="0"/>
    <n v="1382.4849999999999"/>
    <n v="0"/>
    <n v="1399.0759457678619"/>
    <x v="2"/>
  </r>
  <r>
    <s v="Regular"/>
    <x v="1"/>
    <x v="1"/>
    <x v="1"/>
    <x v="4"/>
    <x v="1"/>
    <x v="0"/>
    <x v="1"/>
    <x v="2"/>
    <n v="0"/>
    <n v="0"/>
    <n v="26.408000000000001"/>
    <n v="26.408000000000001"/>
    <n v="26.408000000000001"/>
    <n v="26.408000000000001"/>
    <n v="164"/>
    <s v="CATIVO"/>
    <n v="0"/>
    <n v="0"/>
    <n v="21"/>
    <n v="59"/>
    <n v="0"/>
    <n v="296.43"/>
    <n v="288.54000000000002"/>
    <m/>
    <n v="330.53466381501846"/>
    <n v="261.48581255485107"/>
    <n v="0"/>
    <n v="1716.52"/>
    <n v="0"/>
    <n v="1737.1196377750575"/>
    <x v="2"/>
  </r>
  <r>
    <s v="Regular"/>
    <x v="1"/>
    <x v="1"/>
    <x v="1"/>
    <x v="4"/>
    <x v="1"/>
    <x v="0"/>
    <x v="1"/>
    <x v="3"/>
    <n v="0"/>
    <n v="0"/>
    <n v="22.603999999999999"/>
    <n v="22.603999999999999"/>
    <n v="22.603999999999999"/>
    <n v="22.603999999999999"/>
    <n v="207"/>
    <s v="CATIVO"/>
    <n v="0"/>
    <n v="0"/>
    <n v="21"/>
    <n v="59"/>
    <n v="0"/>
    <n v="296.43"/>
    <n v="288.54000000000002"/>
    <m/>
    <n v="330.53466381501846"/>
    <n v="261.48581255485107"/>
    <n v="0"/>
    <n v="1469.26"/>
    <n v="0"/>
    <n v="1486.8923164293926"/>
    <x v="2"/>
  </r>
  <r>
    <s v="Regular"/>
    <x v="1"/>
    <x v="1"/>
    <x v="1"/>
    <x v="4"/>
    <x v="1"/>
    <x v="0"/>
    <x v="1"/>
    <x v="4"/>
    <n v="0"/>
    <n v="0"/>
    <n v="25.882999999999999"/>
    <n v="25.882999999999999"/>
    <n v="25.882999999999999"/>
    <n v="25.882999999999999"/>
    <n v="196"/>
    <s v="CATIVO"/>
    <n v="0"/>
    <n v="0"/>
    <n v="21"/>
    <n v="59"/>
    <n v="0"/>
    <n v="296.43"/>
    <n v="288.54000000000002"/>
    <m/>
    <n v="330.53466381501846"/>
    <n v="261.48581255485107"/>
    <n v="0"/>
    <n v="1682.395"/>
    <n v="0"/>
    <n v="1702.585109986815"/>
    <x v="2"/>
  </r>
  <r>
    <s v="Regular"/>
    <x v="1"/>
    <x v="1"/>
    <x v="1"/>
    <x v="4"/>
    <x v="1"/>
    <x v="0"/>
    <x v="1"/>
    <x v="5"/>
    <n v="0"/>
    <n v="0"/>
    <n v="24.427"/>
    <n v="24.427"/>
    <n v="24.427"/>
    <n v="24.427"/>
    <n v="208"/>
    <s v="CATIVO"/>
    <n v="0"/>
    <n v="0"/>
    <n v="21"/>
    <n v="59"/>
    <n v="0"/>
    <n v="296.43"/>
    <n v="288.54000000000002"/>
    <m/>
    <n v="330.53466381501846"/>
    <n v="261.48581255485107"/>
    <n v="0"/>
    <n v="1587.7549999999999"/>
    <n v="0"/>
    <n v="1606.8093529207561"/>
    <x v="2"/>
  </r>
  <r>
    <s v="Regular"/>
    <x v="1"/>
    <x v="1"/>
    <x v="1"/>
    <x v="4"/>
    <x v="1"/>
    <x v="0"/>
    <x v="1"/>
    <x v="6"/>
    <n v="0"/>
    <n v="0"/>
    <n v="31.364000000000001"/>
    <n v="31.364000000000001"/>
    <n v="31.364000000000001"/>
    <n v="31.364000000000001"/>
    <n v="152"/>
    <s v="CATIVO"/>
    <n v="0"/>
    <n v="0"/>
    <n v="21"/>
    <n v="59"/>
    <n v="0"/>
    <n v="296.43"/>
    <n v="288.54000000000002"/>
    <m/>
    <n v="330.53466381501846"/>
    <n v="261.48581255485107"/>
    <n v="0"/>
    <n v="2038.66"/>
    <n v="0"/>
    <n v="2063.1255800960657"/>
    <x v="2"/>
  </r>
  <r>
    <s v="Regular"/>
    <x v="1"/>
    <x v="1"/>
    <x v="1"/>
    <x v="4"/>
    <x v="1"/>
    <x v="0"/>
    <x v="1"/>
    <x v="7"/>
    <n v="0"/>
    <n v="0"/>
    <n v="26.513999999999999"/>
    <n v="26.513999999999999"/>
    <n v="26.513999999999999"/>
    <n v="26.513999999999999"/>
    <n v="192"/>
    <s v="CATIVO"/>
    <n v="0"/>
    <n v="0"/>
    <n v="21"/>
    <n v="59"/>
    <n v="0"/>
    <n v="296.43"/>
    <n v="288.54000000000002"/>
    <m/>
    <n v="330.53466381501846"/>
    <n v="261.48581255485107"/>
    <n v="0"/>
    <n v="1723.4099999999999"/>
    <n v="0"/>
    <n v="1744.0923233856358"/>
    <x v="2"/>
  </r>
  <r>
    <s v="Regular"/>
    <x v="1"/>
    <x v="1"/>
    <x v="1"/>
    <x v="4"/>
    <x v="1"/>
    <x v="0"/>
    <x v="1"/>
    <x v="8"/>
    <n v="0"/>
    <n v="0"/>
    <n v="29.779"/>
    <n v="29.779"/>
    <n v="29.779"/>
    <n v="29.779"/>
    <n v="175"/>
    <s v="CATIVO"/>
    <n v="0"/>
    <n v="0"/>
    <n v="21"/>
    <n v="59"/>
    <n v="0"/>
    <n v="296.43"/>
    <n v="288.54000000000002"/>
    <m/>
    <n v="330.53466381501846"/>
    <n v="261.48581255485107"/>
    <n v="0"/>
    <n v="1935.635"/>
    <n v="0"/>
    <n v="1958.8641962020386"/>
    <x v="2"/>
  </r>
  <r>
    <s v="Regular"/>
    <x v="1"/>
    <x v="1"/>
    <x v="1"/>
    <x v="4"/>
    <x v="1"/>
    <x v="0"/>
    <x v="1"/>
    <x v="9"/>
    <n v="0"/>
    <n v="0"/>
    <n v="28.013000000000002"/>
    <n v="28.013000000000002"/>
    <n v="28.013000000000002"/>
    <n v="28.013000000000002"/>
    <n v="201"/>
    <s v="CATIVO"/>
    <n v="0"/>
    <n v="0"/>
    <n v="21"/>
    <n v="59"/>
    <n v="0"/>
    <n v="296.43"/>
    <n v="288.54000000000002"/>
    <m/>
    <n v="330.53466381501846"/>
    <n v="261.48581255485107"/>
    <n v="0"/>
    <n v="1820.845"/>
    <n v="0"/>
    <n v="1842.6966227276844"/>
    <x v="2"/>
  </r>
  <r>
    <s v="Regular"/>
    <x v="1"/>
    <x v="1"/>
    <x v="1"/>
    <x v="4"/>
    <x v="1"/>
    <x v="0"/>
    <x v="1"/>
    <x v="10"/>
    <n v="0"/>
    <n v="0"/>
    <n v="22.375"/>
    <n v="22.375"/>
    <n v="22.375"/>
    <n v="22.375"/>
    <n v="181"/>
    <s v="CATIVO"/>
    <n v="0"/>
    <n v="0"/>
    <n v="21"/>
    <n v="59"/>
    <n v="0"/>
    <n v="296.43"/>
    <n v="288.54000000000002"/>
    <m/>
    <n v="330.53466381501846"/>
    <n v="261.48581255485107"/>
    <n v="0"/>
    <n v="1454.375"/>
    <n v="0"/>
    <n v="1471.8286843084259"/>
    <x v="2"/>
  </r>
  <r>
    <s v="Regular"/>
    <x v="1"/>
    <x v="1"/>
    <x v="1"/>
    <x v="4"/>
    <x v="1"/>
    <x v="0"/>
    <x v="1"/>
    <x v="11"/>
    <n v="0"/>
    <n v="0"/>
    <n v="22.675000000000001"/>
    <n v="22.675000000000001"/>
    <n v="22.675000000000001"/>
    <n v="22.675000000000001"/>
    <n v="157"/>
    <s v="CATIVO"/>
    <n v="0"/>
    <n v="0"/>
    <n v="21"/>
    <n v="59"/>
    <n v="0"/>
    <n v="296.43"/>
    <n v="288.54000000000002"/>
    <m/>
    <n v="330.53466381501846"/>
    <n v="261.48581255485107"/>
    <n v="0"/>
    <n v="1473.875"/>
    <n v="0"/>
    <n v="1491.5627001874216"/>
    <x v="2"/>
  </r>
  <r>
    <s v="Regular"/>
    <x v="1"/>
    <x v="1"/>
    <x v="1"/>
    <x v="5"/>
    <x v="1"/>
    <x v="0"/>
    <x v="1"/>
    <x v="0"/>
    <n v="0"/>
    <n v="0"/>
    <n v="7.9669999999999996"/>
    <n v="7.9669999999999996"/>
    <n v="7.9669999999999996"/>
    <n v="7.9669999999999996"/>
    <n v="109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4.5287151806405743E-13"/>
    <x v="2"/>
  </r>
  <r>
    <s v="Regular"/>
    <x v="1"/>
    <x v="1"/>
    <x v="1"/>
    <x v="5"/>
    <x v="1"/>
    <x v="0"/>
    <x v="1"/>
    <x v="1"/>
    <n v="0"/>
    <n v="0"/>
    <n v="5.3879999999999999"/>
    <n v="5.3879999999999999"/>
    <n v="5.3879999999999999"/>
    <n v="5.3879999999999999"/>
    <n v="81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3.0627234082203358E-13"/>
    <x v="2"/>
  </r>
  <r>
    <s v="Regular"/>
    <x v="1"/>
    <x v="1"/>
    <x v="1"/>
    <x v="5"/>
    <x v="1"/>
    <x v="0"/>
    <x v="1"/>
    <x v="2"/>
    <n v="0"/>
    <n v="0"/>
    <n v="9.2989999999999995"/>
    <n v="9.2989999999999995"/>
    <n v="9.2989999999999995"/>
    <n v="9.2989999999999995"/>
    <n v="126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5.285869519866537E-13"/>
    <x v="2"/>
  </r>
  <r>
    <s v="Regular"/>
    <x v="1"/>
    <x v="1"/>
    <x v="1"/>
    <x v="5"/>
    <x v="1"/>
    <x v="0"/>
    <x v="1"/>
    <x v="3"/>
    <n v="0"/>
    <n v="0"/>
    <n v="5.3890000000000002"/>
    <n v="5.3890000000000002"/>
    <n v="5.3890000000000002"/>
    <n v="5.3890000000000002"/>
    <n v="84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3.0632918424089441E-13"/>
    <x v="2"/>
  </r>
  <r>
    <s v="Regular"/>
    <x v="1"/>
    <x v="1"/>
    <x v="1"/>
    <x v="5"/>
    <x v="1"/>
    <x v="0"/>
    <x v="1"/>
    <x v="4"/>
    <n v="0"/>
    <n v="0"/>
    <n v="8.0939999999999994"/>
    <n v="8.0939999999999994"/>
    <n v="8.0939999999999994"/>
    <n v="8.0939999999999994"/>
    <n v="112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4.6009063225938004E-13"/>
    <x v="2"/>
  </r>
  <r>
    <s v="Regular"/>
    <x v="1"/>
    <x v="1"/>
    <x v="1"/>
    <x v="5"/>
    <x v="1"/>
    <x v="0"/>
    <x v="1"/>
    <x v="5"/>
    <n v="0"/>
    <n v="0"/>
    <n v="6.9139999999999997"/>
    <n v="6.9139999999999997"/>
    <n v="6.9139999999999997"/>
    <n v="6.9139999999999997"/>
    <n v="98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3.930153980036266E-13"/>
    <x v="2"/>
  </r>
  <r>
    <s v="Regular"/>
    <x v="1"/>
    <x v="1"/>
    <x v="1"/>
    <x v="5"/>
    <x v="1"/>
    <x v="0"/>
    <x v="1"/>
    <x v="6"/>
    <n v="0"/>
    <n v="0"/>
    <n v="18.236999999999998"/>
    <n v="18.236999999999998"/>
    <n v="18.236999999999998"/>
    <n v="18.236999999999998"/>
    <n v="180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1.0366534297645557E-12"/>
    <x v="2"/>
  </r>
  <r>
    <s v="Regular"/>
    <x v="1"/>
    <x v="1"/>
    <x v="1"/>
    <x v="5"/>
    <x v="1"/>
    <x v="0"/>
    <x v="1"/>
    <x v="7"/>
    <n v="0"/>
    <n v="0"/>
    <n v="9.5129999999999999"/>
    <n v="9.5129999999999999"/>
    <n v="9.5129999999999999"/>
    <n v="9.5129999999999999"/>
    <n v="121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5.4075144362286664E-13"/>
    <x v="2"/>
  </r>
  <r>
    <s v="Regular"/>
    <x v="1"/>
    <x v="1"/>
    <x v="1"/>
    <x v="5"/>
    <x v="1"/>
    <x v="0"/>
    <x v="1"/>
    <x v="8"/>
    <n v="0"/>
    <n v="0"/>
    <n v="13.606999999999999"/>
    <n v="13.606999999999999"/>
    <n v="13.606999999999999"/>
    <n v="13.606999999999999"/>
    <n v="152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7.7346840043901462E-13"/>
    <x v="2"/>
  </r>
  <r>
    <s v="Regular"/>
    <x v="1"/>
    <x v="1"/>
    <x v="1"/>
    <x v="5"/>
    <x v="1"/>
    <x v="0"/>
    <x v="1"/>
    <x v="9"/>
    <n v="0"/>
    <n v="0"/>
    <n v="8.8539999999999992"/>
    <n v="8.8539999999999992"/>
    <n v="8.8539999999999992"/>
    <n v="8.8539999999999992"/>
    <n v="122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5.0329163059359412E-13"/>
    <x v="2"/>
  </r>
  <r>
    <s v="Regular"/>
    <x v="1"/>
    <x v="1"/>
    <x v="1"/>
    <x v="5"/>
    <x v="1"/>
    <x v="0"/>
    <x v="1"/>
    <x v="10"/>
    <n v="0"/>
    <n v="0"/>
    <n v="5.9820000000000002"/>
    <n v="5.9820000000000002"/>
    <n v="5.9820000000000002"/>
    <n v="5.9820000000000002"/>
    <n v="93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3.4003733162535356E-13"/>
    <x v="2"/>
  </r>
  <r>
    <s v="Regular"/>
    <x v="1"/>
    <x v="1"/>
    <x v="1"/>
    <x v="5"/>
    <x v="1"/>
    <x v="0"/>
    <x v="1"/>
    <x v="11"/>
    <n v="0"/>
    <n v="0"/>
    <n v="10.238"/>
    <n v="10.238"/>
    <n v="10.238"/>
    <n v="10.238"/>
    <n v="108"/>
    <s v="CATIVO"/>
    <n v="0"/>
    <n v="0"/>
    <n v="22"/>
    <n v="60"/>
    <n v="0"/>
    <n v="329.37"/>
    <n v="320.60000000000002"/>
    <m/>
    <n v="367.2607375722427"/>
    <n v="290.53979172761228"/>
    <n v="0"/>
    <n v="0"/>
    <n v="0"/>
    <n v="5.8196292229695243E-13"/>
    <x v="2"/>
  </r>
  <r>
    <s v="Regular"/>
    <x v="2"/>
    <x v="1"/>
    <x v="2"/>
    <x v="0"/>
    <x v="1"/>
    <x v="0"/>
    <x v="1"/>
    <x v="0"/>
    <n v="0"/>
    <n v="0"/>
    <n v="0.85299999999999998"/>
    <n v="0.85299999999999998"/>
    <n v="0.85299999999999998"/>
    <n v="0.85299999999999998"/>
    <n v="4"/>
    <s v="CATIVO"/>
    <n v="0"/>
    <n v="0"/>
    <n v="31"/>
    <n v="69"/>
    <n v="0"/>
    <n v="355.82"/>
    <n v="282.13"/>
    <m/>
    <n v="461.65122529845456"/>
    <n v="273.10740422395554"/>
    <n v="0"/>
    <n v="74.202470000000048"/>
    <n v="0"/>
    <n v="40.005262403145686"/>
    <x v="3"/>
  </r>
  <r>
    <s v="Regular"/>
    <x v="2"/>
    <x v="1"/>
    <x v="2"/>
    <x v="0"/>
    <x v="1"/>
    <x v="0"/>
    <x v="1"/>
    <x v="1"/>
    <n v="0"/>
    <n v="0"/>
    <n v="0.92300000000000004"/>
    <n v="0.92300000000000004"/>
    <n v="0.92300000000000004"/>
    <n v="0.92300000000000004"/>
    <n v="4"/>
    <s v="CATIVO"/>
    <n v="0"/>
    <n v="0"/>
    <n v="31"/>
    <n v="69"/>
    <n v="0"/>
    <n v="355.82"/>
    <n v="282.13"/>
    <m/>
    <n v="461.65122529845456"/>
    <n v="273.10740422395554"/>
    <n v="0"/>
    <n v="80.291770000000071"/>
    <n v="0"/>
    <n v="43.288226492501138"/>
    <x v="3"/>
  </r>
  <r>
    <s v="Regular"/>
    <x v="2"/>
    <x v="1"/>
    <x v="2"/>
    <x v="0"/>
    <x v="1"/>
    <x v="0"/>
    <x v="1"/>
    <x v="2"/>
    <n v="0"/>
    <n v="0"/>
    <n v="1.0189999999999999"/>
    <n v="1.0189999999999999"/>
    <n v="1.0189999999999999"/>
    <n v="1.0189999999999999"/>
    <n v="4"/>
    <s v="CATIVO"/>
    <n v="0"/>
    <n v="0"/>
    <n v="31"/>
    <n v="69"/>
    <n v="0"/>
    <n v="355.82"/>
    <n v="282.13"/>
    <m/>
    <n v="461.65122529845456"/>
    <n v="273.10740422395554"/>
    <n v="0"/>
    <n v="88.642810000000054"/>
    <n v="0"/>
    <n v="47.790577243617172"/>
    <x v="3"/>
  </r>
  <r>
    <s v="Regular"/>
    <x v="2"/>
    <x v="1"/>
    <x v="2"/>
    <x v="0"/>
    <x v="1"/>
    <x v="0"/>
    <x v="1"/>
    <x v="3"/>
    <n v="0"/>
    <n v="0"/>
    <n v="0.93100000000000005"/>
    <n v="0.93100000000000005"/>
    <n v="0.93100000000000005"/>
    <n v="0.93100000000000005"/>
    <n v="4"/>
    <s v="CATIVO"/>
    <n v="0"/>
    <n v="0"/>
    <n v="31"/>
    <n v="69"/>
    <n v="0"/>
    <n v="355.82"/>
    <n v="282.13"/>
    <m/>
    <n v="461.65122529845456"/>
    <n v="273.10740422395554"/>
    <n v="0"/>
    <n v="80.987690000000072"/>
    <n v="0"/>
    <n v="43.66342238842747"/>
    <x v="3"/>
  </r>
  <r>
    <s v="Regular"/>
    <x v="2"/>
    <x v="1"/>
    <x v="2"/>
    <x v="0"/>
    <x v="1"/>
    <x v="0"/>
    <x v="1"/>
    <x v="4"/>
    <n v="0"/>
    <n v="0"/>
    <n v="1.1719999999999999"/>
    <n v="1.1719999999999999"/>
    <n v="1.1719999999999999"/>
    <n v="1.1719999999999999"/>
    <n v="4"/>
    <s v="CATIVO"/>
    <n v="0"/>
    <n v="0"/>
    <n v="31"/>
    <n v="69"/>
    <n v="0"/>
    <n v="355.82"/>
    <n v="282.13"/>
    <m/>
    <n v="461.65122529845456"/>
    <n v="273.10740422395554"/>
    <n v="0"/>
    <n v="101.95228000000007"/>
    <n v="0"/>
    <n v="54.966198753208367"/>
    <x v="3"/>
  </r>
  <r>
    <s v="Regular"/>
    <x v="2"/>
    <x v="1"/>
    <x v="2"/>
    <x v="0"/>
    <x v="1"/>
    <x v="0"/>
    <x v="1"/>
    <x v="5"/>
    <n v="0"/>
    <n v="0"/>
    <n v="1.1339999999999999"/>
    <n v="1.1339999999999999"/>
    <n v="1.1339999999999999"/>
    <n v="1.1339999999999999"/>
    <n v="4"/>
    <s v="CATIVO"/>
    <n v="0"/>
    <n v="0"/>
    <n v="31"/>
    <n v="69"/>
    <n v="0"/>
    <n v="355.82"/>
    <n v="282.13"/>
    <m/>
    <n v="461.65122529845456"/>
    <n v="273.10740422395554"/>
    <n v="0"/>
    <n v="98.646660000000068"/>
    <n v="0"/>
    <n v="53.184018247558264"/>
    <x v="3"/>
  </r>
  <r>
    <s v="Regular"/>
    <x v="2"/>
    <x v="1"/>
    <x v="2"/>
    <x v="0"/>
    <x v="1"/>
    <x v="0"/>
    <x v="1"/>
    <x v="6"/>
    <n v="0"/>
    <n v="0"/>
    <n v="1.478"/>
    <n v="1.478"/>
    <n v="1.478"/>
    <n v="1.478"/>
    <n v="4"/>
    <s v="CATIVO"/>
    <n v="0"/>
    <n v="0"/>
    <n v="31"/>
    <n v="69"/>
    <n v="0"/>
    <n v="355.82"/>
    <n v="282.13"/>
    <m/>
    <n v="461.65122529845456"/>
    <n v="273.10740422395554"/>
    <n v="0"/>
    <n v="128.5712200000001"/>
    <n v="0"/>
    <n v="69.317441772390765"/>
    <x v="3"/>
  </r>
  <r>
    <s v="Regular"/>
    <x v="2"/>
    <x v="1"/>
    <x v="2"/>
    <x v="0"/>
    <x v="1"/>
    <x v="0"/>
    <x v="1"/>
    <x v="7"/>
    <n v="0"/>
    <n v="0"/>
    <n v="1.0720000000000001"/>
    <n v="1.0720000000000001"/>
    <n v="1.0720000000000001"/>
    <n v="1.0720000000000001"/>
    <n v="4"/>
    <s v="CATIVO"/>
    <n v="0"/>
    <n v="0"/>
    <n v="31"/>
    <n v="69"/>
    <n v="0"/>
    <n v="355.82"/>
    <n v="282.13"/>
    <m/>
    <n v="461.65122529845456"/>
    <n v="273.10740422395554"/>
    <n v="0"/>
    <n v="93.253280000000075"/>
    <n v="0"/>
    <n v="50.276250054129164"/>
    <x v="3"/>
  </r>
  <r>
    <s v="Regular"/>
    <x v="2"/>
    <x v="1"/>
    <x v="2"/>
    <x v="0"/>
    <x v="1"/>
    <x v="0"/>
    <x v="1"/>
    <x v="8"/>
    <n v="0"/>
    <n v="0"/>
    <n v="1.143"/>
    <n v="1.143"/>
    <n v="1.143"/>
    <n v="1.143"/>
    <n v="4"/>
    <s v="CATIVO"/>
    <n v="0"/>
    <n v="0"/>
    <n v="31"/>
    <n v="69"/>
    <n v="0"/>
    <n v="355.82"/>
    <n v="282.13"/>
    <m/>
    <n v="461.65122529845456"/>
    <n v="273.10740422395554"/>
    <n v="0"/>
    <n v="99.429570000000083"/>
    <n v="0"/>
    <n v="53.606113630475399"/>
    <x v="3"/>
  </r>
  <r>
    <s v="Regular"/>
    <x v="2"/>
    <x v="1"/>
    <x v="2"/>
    <x v="0"/>
    <x v="1"/>
    <x v="0"/>
    <x v="1"/>
    <x v="9"/>
    <n v="0"/>
    <n v="0"/>
    <n v="0.77100000000000002"/>
    <n v="0.77100000000000002"/>
    <n v="0.77100000000000002"/>
    <n v="0.77100000000000002"/>
    <n v="4"/>
    <s v="CATIVO"/>
    <n v="0"/>
    <n v="0"/>
    <n v="31"/>
    <n v="69"/>
    <n v="0"/>
    <n v="355.82"/>
    <n v="282.13"/>
    <m/>
    <n v="461.65122529845456"/>
    <n v="273.10740422395554"/>
    <n v="0"/>
    <n v="67.069290000000052"/>
    <n v="0"/>
    <n v="36.159504469900732"/>
    <x v="3"/>
  </r>
  <r>
    <s v="Regular"/>
    <x v="2"/>
    <x v="1"/>
    <x v="2"/>
    <x v="0"/>
    <x v="1"/>
    <x v="0"/>
    <x v="1"/>
    <x v="10"/>
    <n v="0"/>
    <n v="0"/>
    <n v="0.69299999999999995"/>
    <n v="0.69299999999999995"/>
    <n v="0.69299999999999995"/>
    <n v="0.69299999999999995"/>
    <n v="4"/>
    <s v="CATIVO"/>
    <n v="0"/>
    <n v="0"/>
    <n v="31"/>
    <n v="69"/>
    <n v="0"/>
    <n v="355.82"/>
    <n v="282.13"/>
    <m/>
    <n v="461.65122529845456"/>
    <n v="273.10740422395554"/>
    <n v="0"/>
    <n v="60.284070000000042"/>
    <n v="0"/>
    <n v="32.50134448461894"/>
    <x v="3"/>
  </r>
  <r>
    <s v="Regular"/>
    <x v="2"/>
    <x v="1"/>
    <x v="2"/>
    <x v="0"/>
    <x v="1"/>
    <x v="0"/>
    <x v="1"/>
    <x v="11"/>
    <n v="0"/>
    <n v="0"/>
    <n v="0.65100000000000002"/>
    <n v="0.65100000000000002"/>
    <n v="0.65100000000000002"/>
    <n v="0.65100000000000002"/>
    <n v="4"/>
    <s v="CATIVO"/>
    <n v="0"/>
    <n v="0"/>
    <n v="31"/>
    <n v="69"/>
    <n v="0"/>
    <n v="355.82"/>
    <n v="282.13"/>
    <m/>
    <n v="461.65122529845456"/>
    <n v="273.10740422395554"/>
    <n v="0"/>
    <n v="56.630490000000044"/>
    <n v="0"/>
    <n v="30.531566031005674"/>
    <x v="3"/>
  </r>
  <r>
    <s v="Regular"/>
    <x v="3"/>
    <x v="1"/>
    <x v="3"/>
    <x v="6"/>
    <x v="1"/>
    <x v="0"/>
    <x v="1"/>
    <x v="0"/>
    <n v="0"/>
    <n v="0"/>
    <n v="0.91900000000000004"/>
    <n v="0.86385999999999996"/>
    <n v="0.91900000000000004"/>
    <n v="0.86385999999999996"/>
    <n v="1"/>
    <s v="CATIVO"/>
    <n v="0"/>
    <n v="0"/>
    <n v="46"/>
    <n v="84"/>
    <n v="0"/>
    <n v="404.34"/>
    <n v="320.60000000000002"/>
    <m/>
    <n v="491.11832478559"/>
    <n v="290.53979172761228"/>
    <n v="0"/>
    <n v="39.973191600000057"/>
    <n v="0"/>
    <n v="43.100628544538033"/>
    <x v="4"/>
  </r>
  <r>
    <s v="Regular"/>
    <x v="3"/>
    <x v="1"/>
    <x v="3"/>
    <x v="6"/>
    <x v="1"/>
    <x v="0"/>
    <x v="1"/>
    <x v="1"/>
    <n v="0"/>
    <n v="0"/>
    <n v="0.93200000000000005"/>
    <n v="0.87607999999999997"/>
    <n v="0.93200000000000005"/>
    <n v="0.87607999999999997"/>
    <n v="1"/>
    <s v="CATIVO"/>
    <n v="0"/>
    <n v="0"/>
    <n v="46"/>
    <n v="84"/>
    <n v="0"/>
    <n v="404.34"/>
    <n v="320.60000000000002"/>
    <m/>
    <n v="491.11832478559"/>
    <n v="290.53979172761228"/>
    <n v="0"/>
    <n v="40.538644800000057"/>
    <n v="0"/>
    <n v="43.71032187541833"/>
    <x v="4"/>
  </r>
  <r>
    <s v="Regular"/>
    <x v="3"/>
    <x v="1"/>
    <x v="3"/>
    <x v="6"/>
    <x v="1"/>
    <x v="0"/>
    <x v="1"/>
    <x v="2"/>
    <n v="0"/>
    <n v="0"/>
    <n v="1.2130000000000001"/>
    <n v="1.14022"/>
    <n v="1.2130000000000001"/>
    <n v="1.14022"/>
    <n v="1"/>
    <s v="CATIVO"/>
    <n v="0"/>
    <n v="0"/>
    <n v="46"/>
    <n v="84"/>
    <n v="0"/>
    <n v="404.34"/>
    <n v="320.60000000000002"/>
    <m/>
    <n v="491.11832478559"/>
    <n v="290.53979172761228"/>
    <n v="0"/>
    <n v="52.761133200000046"/>
    <n v="0"/>
    <n v="56.889077719830915"/>
    <x v="4"/>
  </r>
  <r>
    <s v="Regular"/>
    <x v="3"/>
    <x v="1"/>
    <x v="3"/>
    <x v="6"/>
    <x v="1"/>
    <x v="0"/>
    <x v="1"/>
    <x v="3"/>
    <n v="0"/>
    <n v="0"/>
    <n v="1.141"/>
    <n v="1.07254"/>
    <n v="1.141"/>
    <n v="1.07254"/>
    <n v="1"/>
    <s v="CATIVO"/>
    <n v="0"/>
    <n v="0"/>
    <n v="46"/>
    <n v="84"/>
    <n v="0"/>
    <n v="404.34"/>
    <n v="320.60000000000002"/>
    <m/>
    <n v="491.11832478559"/>
    <n v="290.53979172761228"/>
    <n v="0"/>
    <n v="49.629392399999972"/>
    <n v="0"/>
    <n v="53.5123146564938"/>
    <x v="4"/>
  </r>
  <r>
    <s v="Regular"/>
    <x v="3"/>
    <x v="1"/>
    <x v="3"/>
    <x v="6"/>
    <x v="1"/>
    <x v="0"/>
    <x v="1"/>
    <x v="4"/>
    <n v="0"/>
    <n v="0"/>
    <n v="0.86899999999999999"/>
    <n v="0.81685999999999992"/>
    <n v="0.86899999999999999"/>
    <n v="0.81685999999999992"/>
    <n v="1"/>
    <s v="CATIVO"/>
    <n v="0"/>
    <n v="0"/>
    <n v="46"/>
    <n v="84"/>
    <n v="0"/>
    <n v="404.34"/>
    <n v="320.60000000000002"/>
    <m/>
    <n v="491.11832478559"/>
    <n v="290.53979172761228"/>
    <n v="0"/>
    <n v="37.798371600000053"/>
    <n v="0"/>
    <n v="40.755654194998428"/>
    <x v="4"/>
  </r>
  <r>
    <s v="Regular"/>
    <x v="3"/>
    <x v="1"/>
    <x v="3"/>
    <x v="6"/>
    <x v="1"/>
    <x v="0"/>
    <x v="1"/>
    <x v="5"/>
    <n v="0"/>
    <n v="0"/>
    <n v="0.69099999999999995"/>
    <n v="0.6495399999999999"/>
    <n v="0.69099999999999995"/>
    <n v="0.6495399999999999"/>
    <n v="1"/>
    <s v="CATIVO"/>
    <n v="0"/>
    <n v="0"/>
    <n v="46"/>
    <n v="84"/>
    <n v="0"/>
    <n v="404.34"/>
    <n v="320.60000000000002"/>
    <m/>
    <n v="491.11832478559"/>
    <n v="290.53979172761228"/>
    <n v="0"/>
    <n v="30.056012400000036"/>
    <n v="0"/>
    <n v="32.407545510637405"/>
    <x v="4"/>
  </r>
  <r>
    <s v="Regular"/>
    <x v="3"/>
    <x v="1"/>
    <x v="3"/>
    <x v="6"/>
    <x v="1"/>
    <x v="0"/>
    <x v="1"/>
    <x v="6"/>
    <n v="0"/>
    <n v="0"/>
    <n v="0.88300000000000001"/>
    <n v="0.83001999999999998"/>
    <n v="0.88300000000000001"/>
    <n v="0.83001999999999998"/>
    <n v="1"/>
    <s v="CATIVO"/>
    <n v="0"/>
    <n v="0"/>
    <n v="46"/>
    <n v="84"/>
    <n v="0"/>
    <n v="404.34"/>
    <n v="320.60000000000002"/>
    <m/>
    <n v="491.11832478559"/>
    <n v="290.53979172761228"/>
    <n v="0"/>
    <n v="38.40732120000002"/>
    <n v="0"/>
    <n v="41.412247012869479"/>
    <x v="4"/>
  </r>
  <r>
    <s v="Regular"/>
    <x v="3"/>
    <x v="1"/>
    <x v="3"/>
    <x v="6"/>
    <x v="1"/>
    <x v="0"/>
    <x v="1"/>
    <x v="7"/>
    <n v="0"/>
    <n v="0"/>
    <n v="0.71099999999999997"/>
    <n v="0.66833999999999993"/>
    <n v="0.71099999999999997"/>
    <n v="0.66833999999999993"/>
    <n v="1"/>
    <s v="CATIVO"/>
    <n v="0"/>
    <n v="0"/>
    <n v="46"/>
    <n v="84"/>
    <n v="0"/>
    <n v="404.34"/>
    <n v="320.60000000000002"/>
    <m/>
    <n v="491.11832478559"/>
    <n v="290.53979172761228"/>
    <n v="0"/>
    <n v="30.925940400000023"/>
    <n v="0"/>
    <n v="33.345535250453239"/>
    <x v="4"/>
  </r>
  <r>
    <s v="Regular"/>
    <x v="3"/>
    <x v="1"/>
    <x v="3"/>
    <x v="6"/>
    <x v="1"/>
    <x v="0"/>
    <x v="1"/>
    <x v="8"/>
    <n v="0"/>
    <n v="0"/>
    <n v="0.79400000000000004"/>
    <n v="0.74636000000000002"/>
    <n v="0.79400000000000004"/>
    <n v="0.74636000000000002"/>
    <n v="1"/>
    <s v="CATIVO"/>
    <n v="0"/>
    <n v="0"/>
    <n v="46"/>
    <n v="84"/>
    <n v="0"/>
    <n v="404.34"/>
    <n v="320.60000000000002"/>
    <m/>
    <n v="491.11832478559"/>
    <n v="290.53979172761228"/>
    <n v="0"/>
    <n v="34.536141600000008"/>
    <n v="0"/>
    <n v="37.238192670688967"/>
    <x v="4"/>
  </r>
  <r>
    <s v="Regular"/>
    <x v="3"/>
    <x v="1"/>
    <x v="3"/>
    <x v="6"/>
    <x v="1"/>
    <x v="0"/>
    <x v="1"/>
    <x v="9"/>
    <n v="0"/>
    <n v="0"/>
    <n v="0.67600000000000005"/>
    <n v="0.63544"/>
    <n v="0.67600000000000005"/>
    <n v="0.63544"/>
    <n v="1"/>
    <s v="CATIVO"/>
    <n v="0"/>
    <n v="0"/>
    <n v="46"/>
    <n v="84"/>
    <n v="0"/>
    <n v="404.34"/>
    <n v="320.60000000000002"/>
    <m/>
    <n v="491.11832478559"/>
    <n v="290.53979172761228"/>
    <n v="0"/>
    <n v="29.403566400000031"/>
    <n v="0"/>
    <n v="31.704053205775516"/>
    <x v="4"/>
  </r>
  <r>
    <s v="Regular"/>
    <x v="3"/>
    <x v="1"/>
    <x v="3"/>
    <x v="6"/>
    <x v="1"/>
    <x v="0"/>
    <x v="1"/>
    <x v="10"/>
    <n v="0"/>
    <n v="0"/>
    <n v="0.84099999999999997"/>
    <n v="0.79053999999999991"/>
    <n v="0.84099999999999997"/>
    <n v="0.79053999999999991"/>
    <n v="1"/>
    <s v="CATIVO"/>
    <n v="0"/>
    <n v="0"/>
    <n v="46"/>
    <n v="84"/>
    <n v="0"/>
    <n v="404.34"/>
    <n v="320.60000000000002"/>
    <m/>
    <n v="491.11832478559"/>
    <n v="290.53979172761228"/>
    <n v="0"/>
    <n v="36.580472400000048"/>
    <n v="0"/>
    <n v="39.442468559256234"/>
    <x v="4"/>
  </r>
  <r>
    <s v="Regular"/>
    <x v="3"/>
    <x v="1"/>
    <x v="3"/>
    <x v="6"/>
    <x v="1"/>
    <x v="0"/>
    <x v="1"/>
    <x v="11"/>
    <n v="0"/>
    <n v="0"/>
    <n v="0.82899999999999996"/>
    <n v="0.77925999999999995"/>
    <n v="0.82899999999999996"/>
    <n v="0.77925999999999995"/>
    <n v="1"/>
    <s v="CATIVO"/>
    <n v="0"/>
    <n v="0"/>
    <n v="46"/>
    <n v="84"/>
    <n v="0"/>
    <n v="404.34"/>
    <n v="320.60000000000002"/>
    <m/>
    <n v="491.11832478559"/>
    <n v="290.53979172761228"/>
    <n v="0"/>
    <n v="36.058515600000007"/>
    <n v="0"/>
    <n v="38.87967471536669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s v="Regular"/>
    <x v="0"/>
    <x v="0"/>
    <x v="0"/>
    <x v="0"/>
    <x v="0"/>
    <x v="0"/>
    <x v="0"/>
    <x v="0"/>
    <n v="0"/>
    <n v="0"/>
    <n v="42.155999999999999"/>
    <n v="42.155999999999999"/>
    <n v="42.155999999999999"/>
    <n v="42.155999999999999"/>
    <n v="0"/>
    <x v="0"/>
    <n v="0"/>
    <n v="0"/>
    <n v="8"/>
    <n v="51"/>
    <n v="0"/>
    <n v="70.19"/>
    <n v="302.62"/>
    <m/>
    <n v="108.9218947768087"/>
    <n v="274.25476998219489"/>
    <n v="0"/>
    <n v="2958.9296399999998"/>
    <n v="12757.24872"/>
    <n v="0"/>
    <n v="4591.7113962111471"/>
    <n v="11561.484083369407"/>
  </r>
  <r>
    <s v="Regular"/>
    <x v="0"/>
    <x v="0"/>
    <x v="0"/>
    <x v="0"/>
    <x v="0"/>
    <x v="0"/>
    <x v="0"/>
    <x v="1"/>
    <n v="0"/>
    <n v="0"/>
    <n v="42.073"/>
    <n v="42.073"/>
    <n v="42.073"/>
    <n v="42.073"/>
    <n v="0"/>
    <x v="0"/>
    <n v="0"/>
    <n v="0"/>
    <n v="8"/>
    <n v="51"/>
    <n v="0"/>
    <n v="70.19"/>
    <n v="302.62"/>
    <m/>
    <n v="108.9218947768087"/>
    <n v="274.25476998219489"/>
    <n v="0"/>
    <n v="2953.1038699999999"/>
    <n v="12732.13126"/>
    <n v="0"/>
    <n v="4582.670878944672"/>
    <n v="11538.720937460886"/>
  </r>
  <r>
    <s v="Regular"/>
    <x v="0"/>
    <x v="0"/>
    <x v="0"/>
    <x v="0"/>
    <x v="0"/>
    <x v="0"/>
    <x v="0"/>
    <x v="2"/>
    <n v="0"/>
    <n v="0"/>
    <n v="42.054000000000002"/>
    <n v="42.054000000000002"/>
    <n v="42.054000000000002"/>
    <n v="42.054000000000002"/>
    <n v="0"/>
    <x v="0"/>
    <n v="0"/>
    <n v="0"/>
    <n v="8"/>
    <n v="51"/>
    <n v="0"/>
    <n v="70.19"/>
    <n v="302.62"/>
    <m/>
    <n v="108.9218947768087"/>
    <n v="274.25476998219489"/>
    <n v="0"/>
    <n v="2951.7702600000002"/>
    <n v="12726.38148"/>
    <n v="0"/>
    <n v="4580.601362943913"/>
    <n v="11533.510096831224"/>
  </r>
  <r>
    <s v="Regular"/>
    <x v="0"/>
    <x v="0"/>
    <x v="0"/>
    <x v="0"/>
    <x v="0"/>
    <x v="0"/>
    <x v="0"/>
    <x v="3"/>
    <n v="0"/>
    <n v="0"/>
    <n v="43.274999999999999"/>
    <n v="43.274999999999999"/>
    <n v="43.274999999999999"/>
    <n v="43.274999999999999"/>
    <n v="0"/>
    <x v="0"/>
    <n v="0"/>
    <n v="0"/>
    <n v="8"/>
    <n v="51"/>
    <n v="0"/>
    <n v="70.19"/>
    <n v="302.62"/>
    <m/>
    <n v="108.9218947768087"/>
    <n v="274.25476998219489"/>
    <n v="0"/>
    <n v="3037.4722499999998"/>
    <n v="13095.880499999999"/>
    <n v="0"/>
    <n v="4713.594996466396"/>
    <n v="11868.375170979483"/>
  </r>
  <r>
    <s v="Regular"/>
    <x v="0"/>
    <x v="0"/>
    <x v="0"/>
    <x v="0"/>
    <x v="0"/>
    <x v="0"/>
    <x v="0"/>
    <x v="4"/>
    <n v="0"/>
    <n v="0"/>
    <n v="18.189"/>
    <n v="18.189"/>
    <n v="18.189"/>
    <n v="18.189"/>
    <n v="0"/>
    <x v="0"/>
    <n v="0"/>
    <n v="0"/>
    <n v="8"/>
    <n v="51"/>
    <n v="0"/>
    <n v="70.19"/>
    <n v="302.62"/>
    <m/>
    <n v="108.9218947768087"/>
    <n v="274.25476998219489"/>
    <n v="0"/>
    <n v="1276.6859099999999"/>
    <n v="5504.3551800000005"/>
    <n v="0"/>
    <n v="1981.1803440953734"/>
    <n v="4988.4200112061426"/>
  </r>
  <r>
    <s v="Regular"/>
    <x v="0"/>
    <x v="0"/>
    <x v="0"/>
    <x v="0"/>
    <x v="0"/>
    <x v="0"/>
    <x v="0"/>
    <x v="5"/>
    <n v="0"/>
    <n v="0"/>
    <n v="18.125"/>
    <n v="18.125"/>
    <n v="18.125"/>
    <n v="18.125"/>
    <n v="0"/>
    <x v="0"/>
    <n v="0"/>
    <n v="0"/>
    <n v="8"/>
    <n v="51"/>
    <n v="0"/>
    <n v="70.19"/>
    <n v="302.62"/>
    <m/>
    <n v="108.9218947768087"/>
    <n v="274.25476998219489"/>
    <n v="0"/>
    <n v="1272.1937499999999"/>
    <n v="5484.9875000000002"/>
    <n v="0"/>
    <n v="1974.2093428296578"/>
    <n v="4970.8677059272823"/>
  </r>
  <r>
    <s v="Regular"/>
    <x v="0"/>
    <x v="0"/>
    <x v="0"/>
    <x v="0"/>
    <x v="0"/>
    <x v="0"/>
    <x v="0"/>
    <x v="6"/>
    <n v="0"/>
    <n v="0"/>
    <n v="19.335999999999999"/>
    <n v="19.335999999999999"/>
    <n v="19.335999999999999"/>
    <n v="19.335999999999999"/>
    <n v="0"/>
    <x v="0"/>
    <n v="0"/>
    <n v="0"/>
    <n v="8"/>
    <n v="51"/>
    <n v="0"/>
    <n v="70.19"/>
    <n v="302.62"/>
    <m/>
    <n v="108.9218947768087"/>
    <n v="274.25476998219489"/>
    <n v="0"/>
    <n v="1357.1938399999999"/>
    <n v="5851.4603199999992"/>
    <n v="0"/>
    <n v="2106.1137574043728"/>
    <n v="5302.9902323757196"/>
  </r>
  <r>
    <s v="Regular"/>
    <x v="0"/>
    <x v="0"/>
    <x v="0"/>
    <x v="0"/>
    <x v="0"/>
    <x v="0"/>
    <x v="0"/>
    <x v="7"/>
    <n v="0"/>
    <n v="0"/>
    <n v="22.722999999999999"/>
    <n v="22.722999999999999"/>
    <n v="22.722999999999999"/>
    <n v="22.722999999999999"/>
    <n v="0"/>
    <x v="0"/>
    <n v="0"/>
    <n v="0"/>
    <n v="8"/>
    <n v="51"/>
    <n v="0"/>
    <n v="70.19"/>
    <n v="302.62"/>
    <m/>
    <n v="108.9218947768087"/>
    <n v="274.25476998219489"/>
    <n v="0"/>
    <n v="1594.9273699999999"/>
    <n v="6876.43426"/>
    <n v="0"/>
    <n v="2475.0322150134239"/>
    <n v="6231.8911383054137"/>
  </r>
  <r>
    <s v="Regular"/>
    <x v="0"/>
    <x v="0"/>
    <x v="0"/>
    <x v="0"/>
    <x v="0"/>
    <x v="0"/>
    <x v="0"/>
    <x v="8"/>
    <n v="0"/>
    <n v="0"/>
    <n v="19.21"/>
    <n v="19.21"/>
    <n v="19.21"/>
    <n v="19.21"/>
    <n v="0"/>
    <x v="0"/>
    <n v="0"/>
    <n v="0"/>
    <n v="8"/>
    <n v="51"/>
    <n v="0"/>
    <n v="70.19"/>
    <n v="302.62"/>
    <m/>
    <n v="108.9218947768087"/>
    <n v="274.25476998219489"/>
    <n v="0"/>
    <n v="1348.3498999999999"/>
    <n v="5813.3302000000003"/>
    <n v="0"/>
    <n v="2092.3895986624952"/>
    <n v="5268.4341313579644"/>
  </r>
  <r>
    <s v="Regular"/>
    <x v="0"/>
    <x v="0"/>
    <x v="0"/>
    <x v="0"/>
    <x v="0"/>
    <x v="0"/>
    <x v="0"/>
    <x v="9"/>
    <n v="0"/>
    <n v="0"/>
    <n v="21.516999999999999"/>
    <n v="21.516999999999999"/>
    <n v="21.516999999999999"/>
    <n v="21.516999999999999"/>
    <n v="0"/>
    <x v="0"/>
    <n v="0"/>
    <n v="0"/>
    <n v="8"/>
    <n v="51"/>
    <n v="0"/>
    <n v="70.19"/>
    <n v="302.62"/>
    <m/>
    <n v="108.9218947768087"/>
    <n v="274.25476998219489"/>
    <n v="0"/>
    <n v="1510.2782299999999"/>
    <n v="6511.4745400000002"/>
    <n v="0"/>
    <n v="2343.6724099125927"/>
    <n v="5901.1398857068871"/>
  </r>
  <r>
    <s v="Regular"/>
    <x v="0"/>
    <x v="0"/>
    <x v="0"/>
    <x v="0"/>
    <x v="0"/>
    <x v="0"/>
    <x v="0"/>
    <x v="10"/>
    <n v="0"/>
    <n v="0"/>
    <n v="20.657"/>
    <n v="20.657"/>
    <n v="20.657"/>
    <n v="20.657"/>
    <n v="0"/>
    <x v="0"/>
    <n v="0"/>
    <n v="0"/>
    <n v="8"/>
    <n v="51"/>
    <n v="0"/>
    <n v="70.19"/>
    <n v="302.62"/>
    <m/>
    <n v="108.9218947768087"/>
    <n v="274.25476998219489"/>
    <n v="0"/>
    <n v="1449.9148299999999"/>
    <n v="6251.2213400000001"/>
    <n v="0"/>
    <n v="2249.9995804045375"/>
    <n v="5665.2807835222002"/>
  </r>
  <r>
    <s v="Regular"/>
    <x v="0"/>
    <x v="0"/>
    <x v="0"/>
    <x v="0"/>
    <x v="0"/>
    <x v="0"/>
    <x v="0"/>
    <x v="11"/>
    <n v="0"/>
    <n v="0"/>
    <n v="20.9"/>
    <n v="20.9"/>
    <n v="20.9"/>
    <n v="20.9"/>
    <n v="0"/>
    <x v="0"/>
    <n v="0"/>
    <n v="0"/>
    <n v="8"/>
    <n v="51"/>
    <n v="0"/>
    <n v="70.19"/>
    <n v="302.62"/>
    <m/>
    <n v="108.9218947768087"/>
    <n v="274.25476998219489"/>
    <n v="0"/>
    <n v="1466.9709999999998"/>
    <n v="6324.7579999999998"/>
    <n v="0"/>
    <n v="2276.4676008353017"/>
    <n v="5731.9246926278729"/>
  </r>
  <r>
    <s v="Regular"/>
    <x v="0"/>
    <x v="0"/>
    <x v="0"/>
    <x v="0"/>
    <x v="0"/>
    <x v="0"/>
    <x v="1"/>
    <x v="0"/>
    <n v="267"/>
    <n v="267"/>
    <n v="0"/>
    <n v="0"/>
    <n v="0"/>
    <n v="0"/>
    <n v="2"/>
    <x v="0"/>
    <n v="0"/>
    <n v="6"/>
    <n v="0"/>
    <n v="0"/>
    <n v="20.43"/>
    <n v="0"/>
    <n v="0"/>
    <n v="17.658830934895185"/>
    <m/>
    <m/>
    <n v="5454.8099999999995"/>
    <n v="0"/>
    <n v="0"/>
    <n v="4726.51749165821"/>
    <n v="0"/>
    <n v="0"/>
  </r>
  <r>
    <s v="Regular"/>
    <x v="0"/>
    <x v="0"/>
    <x v="0"/>
    <x v="0"/>
    <x v="0"/>
    <x v="0"/>
    <x v="1"/>
    <x v="1"/>
    <n v="294"/>
    <n v="294"/>
    <n v="0"/>
    <n v="0"/>
    <n v="0"/>
    <n v="0"/>
    <n v="2"/>
    <x v="0"/>
    <n v="0"/>
    <n v="6"/>
    <n v="0"/>
    <n v="0"/>
    <n v="20.43"/>
    <n v="0"/>
    <n v="0"/>
    <n v="17.658830934895185"/>
    <m/>
    <m/>
    <n v="6006.42"/>
    <n v="0"/>
    <n v="0"/>
    <n v="5204.4799346348827"/>
    <n v="0"/>
    <n v="0"/>
  </r>
  <r>
    <s v="Regular"/>
    <x v="0"/>
    <x v="0"/>
    <x v="0"/>
    <x v="0"/>
    <x v="0"/>
    <x v="0"/>
    <x v="1"/>
    <x v="2"/>
    <n v="180"/>
    <n v="180"/>
    <n v="0"/>
    <n v="0"/>
    <n v="0"/>
    <n v="0"/>
    <n v="2"/>
    <x v="0"/>
    <n v="0"/>
    <n v="6"/>
    <n v="0"/>
    <n v="0"/>
    <n v="20.43"/>
    <n v="0"/>
    <n v="0"/>
    <n v="17.658830934895185"/>
    <m/>
    <m/>
    <n v="3677.4"/>
    <n v="0"/>
    <n v="0"/>
    <n v="3186.416286511153"/>
    <n v="0"/>
    <n v="0"/>
  </r>
  <r>
    <s v="Regular"/>
    <x v="0"/>
    <x v="0"/>
    <x v="0"/>
    <x v="0"/>
    <x v="0"/>
    <x v="0"/>
    <x v="1"/>
    <x v="3"/>
    <n v="221"/>
    <n v="221"/>
    <n v="0"/>
    <n v="0"/>
    <n v="0"/>
    <n v="0"/>
    <n v="2"/>
    <x v="0"/>
    <n v="0"/>
    <n v="6"/>
    <n v="0"/>
    <n v="0"/>
    <n v="20.43"/>
    <n v="0"/>
    <n v="0"/>
    <n v="17.658830934895185"/>
    <m/>
    <m/>
    <n v="4515.03"/>
    <n v="0"/>
    <n v="0"/>
    <n v="3912.2111073275819"/>
    <n v="0"/>
    <n v="0"/>
  </r>
  <r>
    <s v="Regular"/>
    <x v="0"/>
    <x v="0"/>
    <x v="0"/>
    <x v="0"/>
    <x v="0"/>
    <x v="0"/>
    <x v="1"/>
    <x v="4"/>
    <n v="166"/>
    <n v="166"/>
    <n v="0"/>
    <n v="0"/>
    <n v="0"/>
    <n v="0"/>
    <n v="1"/>
    <x v="0"/>
    <n v="0"/>
    <n v="6"/>
    <n v="0"/>
    <n v="0"/>
    <n v="20.43"/>
    <n v="0"/>
    <n v="0"/>
    <n v="17.658830934895185"/>
    <m/>
    <m/>
    <n v="3391.38"/>
    <n v="0"/>
    <n v="0"/>
    <n v="2938.5839086713963"/>
    <n v="0"/>
    <n v="0"/>
  </r>
  <r>
    <s v="Regular"/>
    <x v="0"/>
    <x v="0"/>
    <x v="0"/>
    <x v="0"/>
    <x v="0"/>
    <x v="0"/>
    <x v="1"/>
    <x v="5"/>
    <n v="125"/>
    <n v="125"/>
    <n v="0"/>
    <n v="0"/>
    <n v="0"/>
    <n v="0"/>
    <n v="1"/>
    <x v="0"/>
    <n v="0"/>
    <n v="6"/>
    <n v="0"/>
    <n v="0"/>
    <n v="20.43"/>
    <n v="0"/>
    <n v="0"/>
    <n v="17.658830934895185"/>
    <m/>
    <m/>
    <n v="2553.75"/>
    <n v="0"/>
    <n v="0"/>
    <n v="2212.7890878549674"/>
    <n v="0"/>
    <n v="0"/>
  </r>
  <r>
    <s v="Regular"/>
    <x v="0"/>
    <x v="0"/>
    <x v="0"/>
    <x v="0"/>
    <x v="0"/>
    <x v="0"/>
    <x v="1"/>
    <x v="6"/>
    <n v="148"/>
    <n v="148"/>
    <n v="0"/>
    <n v="0"/>
    <n v="0"/>
    <n v="0"/>
    <n v="1"/>
    <x v="0"/>
    <n v="0"/>
    <n v="6"/>
    <n v="0"/>
    <n v="0"/>
    <n v="20.43"/>
    <n v="0"/>
    <n v="0"/>
    <n v="17.658830934895185"/>
    <m/>
    <m/>
    <n v="3023.64"/>
    <n v="0"/>
    <n v="0"/>
    <n v="2619.942280020281"/>
    <n v="0"/>
    <n v="0"/>
  </r>
  <r>
    <s v="Regular"/>
    <x v="0"/>
    <x v="0"/>
    <x v="0"/>
    <x v="0"/>
    <x v="0"/>
    <x v="0"/>
    <x v="1"/>
    <x v="7"/>
    <n v="158"/>
    <n v="158"/>
    <n v="0"/>
    <n v="0"/>
    <n v="0"/>
    <n v="0"/>
    <n v="1"/>
    <x v="0"/>
    <n v="0"/>
    <n v="6"/>
    <n v="0"/>
    <n v="0"/>
    <n v="20.43"/>
    <n v="0"/>
    <n v="0"/>
    <n v="17.658830934895185"/>
    <m/>
    <m/>
    <n v="3227.94"/>
    <n v="0"/>
    <n v="0"/>
    <n v="2796.9654070486786"/>
    <n v="0"/>
    <n v="0"/>
  </r>
  <r>
    <s v="Regular"/>
    <x v="0"/>
    <x v="0"/>
    <x v="0"/>
    <x v="0"/>
    <x v="0"/>
    <x v="0"/>
    <x v="1"/>
    <x v="8"/>
    <n v="142"/>
    <n v="142"/>
    <n v="0"/>
    <n v="0"/>
    <n v="0"/>
    <n v="0"/>
    <n v="1"/>
    <x v="0"/>
    <n v="0"/>
    <n v="6"/>
    <n v="0"/>
    <n v="0"/>
    <n v="20.43"/>
    <n v="0"/>
    <n v="0"/>
    <n v="17.658830934895185"/>
    <m/>
    <m/>
    <n v="2901.06"/>
    <n v="0"/>
    <n v="0"/>
    <n v="2513.7284038032426"/>
    <n v="0"/>
    <n v="0"/>
  </r>
  <r>
    <s v="Regular"/>
    <x v="0"/>
    <x v="0"/>
    <x v="0"/>
    <x v="0"/>
    <x v="0"/>
    <x v="0"/>
    <x v="1"/>
    <x v="9"/>
    <n v="142"/>
    <n v="142"/>
    <n v="0"/>
    <n v="0"/>
    <n v="0"/>
    <n v="0"/>
    <n v="1"/>
    <x v="0"/>
    <n v="0"/>
    <n v="6"/>
    <n v="0"/>
    <n v="0"/>
    <n v="20.43"/>
    <n v="0"/>
    <n v="0"/>
    <n v="17.658830934895185"/>
    <m/>
    <m/>
    <n v="2901.06"/>
    <n v="0"/>
    <n v="0"/>
    <n v="2513.7284038032426"/>
    <n v="0"/>
    <n v="0"/>
  </r>
  <r>
    <s v="Regular"/>
    <x v="0"/>
    <x v="0"/>
    <x v="0"/>
    <x v="0"/>
    <x v="0"/>
    <x v="0"/>
    <x v="1"/>
    <x v="10"/>
    <n v="172"/>
    <n v="172"/>
    <n v="0"/>
    <n v="0"/>
    <n v="0"/>
    <n v="0"/>
    <n v="1"/>
    <x v="0"/>
    <n v="0"/>
    <n v="6"/>
    <n v="0"/>
    <n v="0"/>
    <n v="20.43"/>
    <n v="0"/>
    <n v="0"/>
    <n v="17.658830934895185"/>
    <m/>
    <m/>
    <n v="3513.96"/>
    <n v="0"/>
    <n v="0"/>
    <n v="3044.7977848884348"/>
    <n v="0"/>
    <n v="0"/>
  </r>
  <r>
    <s v="Regular"/>
    <x v="0"/>
    <x v="0"/>
    <x v="0"/>
    <x v="0"/>
    <x v="0"/>
    <x v="0"/>
    <x v="1"/>
    <x v="11"/>
    <n v="153"/>
    <n v="153"/>
    <n v="0"/>
    <n v="0"/>
    <n v="0"/>
    <n v="0"/>
    <n v="1"/>
    <x v="0"/>
    <n v="0"/>
    <n v="6"/>
    <n v="0"/>
    <n v="0"/>
    <n v="20.43"/>
    <n v="0"/>
    <n v="0"/>
    <n v="17.658830934895185"/>
    <m/>
    <m/>
    <n v="3125.79"/>
    <n v="0"/>
    <n v="0"/>
    <n v="2708.4538435344798"/>
    <n v="0"/>
    <n v="0"/>
  </r>
  <r>
    <s v="Regular"/>
    <x v="0"/>
    <x v="0"/>
    <x v="0"/>
    <x v="0"/>
    <x v="0"/>
    <x v="0"/>
    <x v="2"/>
    <x v="0"/>
    <n v="0"/>
    <n v="0"/>
    <n v="2.5379999999999998"/>
    <n v="2.5379999999999998"/>
    <n v="2.5379999999999998"/>
    <n v="2.5379999999999998"/>
    <n v="0"/>
    <x v="0"/>
    <n v="0"/>
    <n v="0"/>
    <n v="7"/>
    <n v="50"/>
    <n v="0"/>
    <n v="1419.25"/>
    <n v="518.44000000000005"/>
    <m/>
    <n v="1280.1851911342412"/>
    <n v="469.6750309272033"/>
    <n v="0"/>
    <n v="3602.0564999999997"/>
    <n v="1315.80072"/>
    <n v="0"/>
    <n v="3255.9968148984026"/>
    <n v="1192.0352284932419"/>
  </r>
  <r>
    <s v="Regular"/>
    <x v="0"/>
    <x v="0"/>
    <x v="0"/>
    <x v="0"/>
    <x v="0"/>
    <x v="0"/>
    <x v="2"/>
    <x v="1"/>
    <n v="0"/>
    <n v="0"/>
    <n v="2.5840000000000001"/>
    <n v="2.5840000000000001"/>
    <n v="2.5840000000000001"/>
    <n v="2.5840000000000001"/>
    <n v="0"/>
    <x v="0"/>
    <n v="0"/>
    <n v="0"/>
    <n v="7"/>
    <n v="50"/>
    <n v="0"/>
    <n v="1419.25"/>
    <n v="518.44000000000005"/>
    <m/>
    <n v="1280.1851911342412"/>
    <n v="469.6750309272033"/>
    <n v="0"/>
    <n v="3667.3420000000001"/>
    <n v="1339.6489600000002"/>
    <n v="0"/>
    <n v="3315.0101535451035"/>
    <n v="1213.6402799158934"/>
  </r>
  <r>
    <s v="Regular"/>
    <x v="0"/>
    <x v="0"/>
    <x v="0"/>
    <x v="0"/>
    <x v="0"/>
    <x v="0"/>
    <x v="2"/>
    <x v="2"/>
    <n v="0"/>
    <n v="0"/>
    <n v="2.46"/>
    <n v="2.46"/>
    <n v="2.46"/>
    <n v="2.46"/>
    <n v="0"/>
    <x v="0"/>
    <n v="0"/>
    <n v="0"/>
    <n v="7"/>
    <n v="50"/>
    <n v="0"/>
    <n v="1419.25"/>
    <n v="518.44000000000005"/>
    <m/>
    <n v="1280.1851911342412"/>
    <n v="469.6750309272033"/>
    <n v="0"/>
    <n v="3491.355"/>
    <n v="1275.3624000000002"/>
    <n v="0"/>
    <n v="3155.9307189322576"/>
    <n v="1155.40057608092"/>
  </r>
  <r>
    <s v="Regular"/>
    <x v="0"/>
    <x v="0"/>
    <x v="0"/>
    <x v="0"/>
    <x v="0"/>
    <x v="0"/>
    <x v="2"/>
    <x v="3"/>
    <n v="0"/>
    <n v="0"/>
    <n v="2.6739999999999999"/>
    <n v="2.6739999999999999"/>
    <n v="2.6739999999999999"/>
    <n v="2.6739999999999999"/>
    <n v="0"/>
    <x v="0"/>
    <n v="0"/>
    <n v="0"/>
    <n v="7"/>
    <n v="50"/>
    <n v="0"/>
    <n v="1419.25"/>
    <n v="518.44000000000005"/>
    <m/>
    <n v="1280.1851911342412"/>
    <n v="469.6750309272033"/>
    <n v="0"/>
    <n v="3795.0744999999997"/>
    <n v="1386.3085600000002"/>
    <n v="0"/>
    <n v="3430.4710335060395"/>
    <n v="1255.9110326993416"/>
  </r>
  <r>
    <s v="Regular"/>
    <x v="0"/>
    <x v="0"/>
    <x v="0"/>
    <x v="0"/>
    <x v="0"/>
    <x v="0"/>
    <x v="2"/>
    <x v="4"/>
    <n v="0"/>
    <n v="0"/>
    <n v="0.20300000000000001"/>
    <n v="0.20300000000000001"/>
    <n v="0.20300000000000001"/>
    <n v="0.20300000000000001"/>
    <n v="0"/>
    <x v="0"/>
    <n v="0"/>
    <n v="0"/>
    <n v="7"/>
    <n v="50"/>
    <n v="0"/>
    <n v="1419.25"/>
    <n v="518.44000000000005"/>
    <m/>
    <n v="1280.1851911342412"/>
    <n v="469.6750309272033"/>
    <n v="0"/>
    <n v="288.10775000000001"/>
    <n v="105.24332000000001"/>
    <n v="0"/>
    <n v="260.4284292452229"/>
    <n v="95.344031278222275"/>
  </r>
  <r>
    <s v="Regular"/>
    <x v="0"/>
    <x v="0"/>
    <x v="0"/>
    <x v="0"/>
    <x v="0"/>
    <x v="0"/>
    <x v="2"/>
    <x v="5"/>
    <n v="0"/>
    <n v="0"/>
    <n v="0.14000000000000001"/>
    <n v="0.14000000000000001"/>
    <n v="0.14000000000000001"/>
    <n v="0.14000000000000001"/>
    <n v="0"/>
    <x v="0"/>
    <n v="0"/>
    <n v="0"/>
    <n v="7"/>
    <n v="50"/>
    <n v="0"/>
    <n v="1419.25"/>
    <n v="518.44000000000005"/>
    <m/>
    <n v="1280.1851911342412"/>
    <n v="469.6750309272033"/>
    <n v="0"/>
    <n v="198.69500000000002"/>
    <n v="72.581600000000009"/>
    <n v="0"/>
    <n v="179.60581327256753"/>
    <n v="65.754504329808469"/>
  </r>
  <r>
    <s v="Regular"/>
    <x v="0"/>
    <x v="0"/>
    <x v="0"/>
    <x v="0"/>
    <x v="0"/>
    <x v="0"/>
    <x v="2"/>
    <x v="6"/>
    <n v="0"/>
    <n v="0"/>
    <n v="0.114"/>
    <n v="0.114"/>
    <n v="0.114"/>
    <n v="0.114"/>
    <n v="0"/>
    <x v="0"/>
    <n v="0"/>
    <n v="0"/>
    <n v="7"/>
    <n v="50"/>
    <n v="0"/>
    <n v="1419.25"/>
    <n v="518.44000000000005"/>
    <m/>
    <n v="1280.1851911342412"/>
    <n v="469.6750309272033"/>
    <n v="0"/>
    <n v="161.7945"/>
    <n v="59.102160000000005"/>
    <n v="0"/>
    <n v="146.25044795051926"/>
    <n v="53.542953525701179"/>
  </r>
  <r>
    <s v="Regular"/>
    <x v="0"/>
    <x v="0"/>
    <x v="0"/>
    <x v="0"/>
    <x v="0"/>
    <x v="0"/>
    <x v="2"/>
    <x v="7"/>
    <n v="0"/>
    <n v="0"/>
    <n v="0.184"/>
    <n v="0.184"/>
    <n v="0.184"/>
    <n v="0.184"/>
    <n v="0"/>
    <x v="0"/>
    <n v="0"/>
    <n v="0"/>
    <n v="7"/>
    <n v="50"/>
    <n v="0"/>
    <n v="1419.25"/>
    <n v="518.44000000000005"/>
    <m/>
    <n v="1280.1851911342412"/>
    <n v="469.6750309272033"/>
    <n v="0"/>
    <n v="261.142"/>
    <n v="95.392960000000002"/>
    <n v="0"/>
    <n v="236.05335458680301"/>
    <n v="86.4202056906054"/>
  </r>
  <r>
    <s v="Regular"/>
    <x v="0"/>
    <x v="0"/>
    <x v="0"/>
    <x v="0"/>
    <x v="0"/>
    <x v="0"/>
    <x v="2"/>
    <x v="8"/>
    <n v="0"/>
    <n v="0"/>
    <n v="0.17899999999999999"/>
    <n v="0.17899999999999999"/>
    <n v="0.17899999999999999"/>
    <n v="0.17899999999999999"/>
    <n v="0"/>
    <x v="0"/>
    <n v="0"/>
    <n v="0"/>
    <n v="7"/>
    <n v="50"/>
    <n v="0"/>
    <n v="1419.25"/>
    <n v="518.44000000000005"/>
    <m/>
    <n v="1280.1851911342412"/>
    <n v="469.6750309272033"/>
    <n v="0"/>
    <n v="254.04575"/>
    <n v="92.800760000000011"/>
    <n v="0"/>
    <n v="229.63886125563988"/>
    <n v="84.071830535969383"/>
  </r>
  <r>
    <s v="Regular"/>
    <x v="0"/>
    <x v="0"/>
    <x v="0"/>
    <x v="0"/>
    <x v="0"/>
    <x v="0"/>
    <x v="2"/>
    <x v="9"/>
    <n v="0"/>
    <n v="0"/>
    <n v="0.17299999999999999"/>
    <n v="0.17299999999999999"/>
    <n v="0.17299999999999999"/>
    <n v="0.17299999999999999"/>
    <n v="0"/>
    <x v="0"/>
    <n v="0"/>
    <n v="0"/>
    <n v="7"/>
    <n v="50"/>
    <n v="0"/>
    <n v="1419.25"/>
    <n v="518.44000000000005"/>
    <m/>
    <n v="1280.1851911342412"/>
    <n v="469.6750309272033"/>
    <n v="0"/>
    <n v="245.53025"/>
    <n v="89.690120000000007"/>
    <n v="0"/>
    <n v="221.94146925824413"/>
    <n v="81.25378035040616"/>
  </r>
  <r>
    <s v="Regular"/>
    <x v="0"/>
    <x v="0"/>
    <x v="0"/>
    <x v="0"/>
    <x v="0"/>
    <x v="0"/>
    <x v="2"/>
    <x v="10"/>
    <n v="0"/>
    <n v="0"/>
    <n v="0.32100000000000001"/>
    <n v="0.32100000000000001"/>
    <n v="0.32100000000000001"/>
    <n v="0.32100000000000001"/>
    <n v="0"/>
    <x v="0"/>
    <n v="0"/>
    <n v="0"/>
    <n v="7"/>
    <n v="50"/>
    <n v="0"/>
    <n v="1419.25"/>
    <n v="518.44000000000005"/>
    <m/>
    <n v="1280.1851911342412"/>
    <n v="469.6750309272033"/>
    <n v="0"/>
    <n v="455.57925"/>
    <n v="166.41924000000003"/>
    <n v="0"/>
    <n v="411.81047186067269"/>
    <n v="150.76568492763226"/>
  </r>
  <r>
    <s v="Regular"/>
    <x v="0"/>
    <x v="0"/>
    <x v="0"/>
    <x v="0"/>
    <x v="0"/>
    <x v="0"/>
    <x v="2"/>
    <x v="11"/>
    <n v="0"/>
    <n v="0"/>
    <n v="0.45300000000000001"/>
    <n v="0.45300000000000001"/>
    <n v="0.45300000000000001"/>
    <n v="0.45300000000000001"/>
    <n v="0"/>
    <x v="0"/>
    <n v="0"/>
    <n v="0"/>
    <n v="7"/>
    <n v="50"/>
    <n v="0"/>
    <n v="1419.25"/>
    <n v="518.44000000000005"/>
    <m/>
    <n v="1280.1851911342412"/>
    <n v="469.6750309272033"/>
    <n v="0"/>
    <n v="642.92025000000001"/>
    <n v="234.85332000000002"/>
    <n v="0"/>
    <n v="581.15309580337919"/>
    <n v="212.76278901002311"/>
  </r>
  <r>
    <s v="Regular"/>
    <x v="0"/>
    <x v="0"/>
    <x v="1"/>
    <x v="0"/>
    <x v="1"/>
    <x v="0"/>
    <x v="0"/>
    <x v="0"/>
    <n v="0"/>
    <n v="0"/>
    <n v="399.43"/>
    <n v="399.43"/>
    <n v="0"/>
    <n v="0"/>
    <n v="0"/>
    <x v="1"/>
    <n v="0"/>
    <n v="0"/>
    <n v="8"/>
    <n v="0"/>
    <n v="0"/>
    <n v="70.19"/>
    <n v="0"/>
    <m/>
    <n v="108.9218947768087"/>
    <m/>
    <n v="0"/>
    <n v="28035.991699999999"/>
    <n v="0"/>
    <n v="0"/>
    <n v="43506.672430700703"/>
    <n v="0"/>
  </r>
  <r>
    <s v="Regular"/>
    <x v="0"/>
    <x v="0"/>
    <x v="1"/>
    <x v="0"/>
    <x v="1"/>
    <x v="0"/>
    <x v="0"/>
    <x v="1"/>
    <n v="0"/>
    <n v="0"/>
    <n v="374.197"/>
    <n v="374.197"/>
    <n v="0"/>
    <n v="0"/>
    <n v="0"/>
    <x v="1"/>
    <n v="0"/>
    <n v="0"/>
    <n v="8"/>
    <n v="0"/>
    <n v="0"/>
    <n v="70.19"/>
    <n v="0"/>
    <m/>
    <n v="108.9218947768087"/>
    <m/>
    <n v="0"/>
    <n v="26264.887429999999"/>
    <n v="0"/>
    <n v="0"/>
    <n v="40758.246259797488"/>
    <n v="0"/>
  </r>
  <r>
    <s v="Regular"/>
    <x v="0"/>
    <x v="0"/>
    <x v="1"/>
    <x v="0"/>
    <x v="1"/>
    <x v="0"/>
    <x v="0"/>
    <x v="2"/>
    <n v="0"/>
    <n v="0"/>
    <n v="383.92899999999997"/>
    <n v="383.92899999999997"/>
    <n v="0"/>
    <n v="0"/>
    <n v="0"/>
    <x v="1"/>
    <n v="0"/>
    <n v="0"/>
    <n v="8"/>
    <n v="0"/>
    <n v="0"/>
    <n v="70.19"/>
    <n v="0"/>
    <m/>
    <n v="108.9218947768087"/>
    <m/>
    <n v="0"/>
    <n v="26947.976509999997"/>
    <n v="0"/>
    <n v="0"/>
    <n v="41818.274139765381"/>
    <n v="0"/>
  </r>
  <r>
    <s v="Regular"/>
    <x v="0"/>
    <x v="0"/>
    <x v="1"/>
    <x v="0"/>
    <x v="1"/>
    <x v="0"/>
    <x v="0"/>
    <x v="3"/>
    <n v="0"/>
    <n v="0"/>
    <n v="492.41399999999999"/>
    <n v="492.41399999999999"/>
    <n v="0"/>
    <n v="0"/>
    <n v="0"/>
    <x v="1"/>
    <n v="0"/>
    <n v="0"/>
    <n v="8"/>
    <n v="0"/>
    <n v="0"/>
    <n v="70.19"/>
    <n v="0"/>
    <m/>
    <n v="108.9218947768087"/>
    <m/>
    <n v="0"/>
    <n v="34562.538659999998"/>
    <n v="0"/>
    <n v="0"/>
    <n v="53634.665894627477"/>
    <n v="0"/>
  </r>
  <r>
    <s v="Regular"/>
    <x v="0"/>
    <x v="0"/>
    <x v="1"/>
    <x v="0"/>
    <x v="1"/>
    <x v="0"/>
    <x v="0"/>
    <x v="4"/>
    <n v="0"/>
    <n v="0"/>
    <n v="512.43600000000004"/>
    <n v="512.43600000000004"/>
    <n v="0"/>
    <n v="0"/>
    <n v="0"/>
    <x v="1"/>
    <n v="0"/>
    <n v="0"/>
    <n v="8"/>
    <n v="0"/>
    <n v="0"/>
    <n v="70.19"/>
    <n v="0"/>
    <m/>
    <n v="108.9218947768087"/>
    <m/>
    <n v="0"/>
    <n v="35967.882839999998"/>
    <n v="0"/>
    <n v="0"/>
    <n v="55815.50007184875"/>
    <n v="0"/>
  </r>
  <r>
    <s v="Regular"/>
    <x v="0"/>
    <x v="0"/>
    <x v="1"/>
    <x v="0"/>
    <x v="1"/>
    <x v="0"/>
    <x v="0"/>
    <x v="5"/>
    <n v="0"/>
    <n v="0"/>
    <n v="509.79700000000003"/>
    <n v="509.79700000000003"/>
    <n v="0"/>
    <n v="0"/>
    <n v="0"/>
    <x v="1"/>
    <n v="0"/>
    <n v="0"/>
    <n v="8"/>
    <n v="0"/>
    <n v="0"/>
    <n v="70.19"/>
    <n v="0"/>
    <m/>
    <n v="108.9218947768087"/>
    <m/>
    <n v="0"/>
    <n v="35782.651429999998"/>
    <n v="0"/>
    <n v="0"/>
    <n v="55528.055191532745"/>
    <n v="0"/>
  </r>
  <r>
    <s v="Regular"/>
    <x v="0"/>
    <x v="0"/>
    <x v="1"/>
    <x v="0"/>
    <x v="1"/>
    <x v="0"/>
    <x v="0"/>
    <x v="6"/>
    <n v="0"/>
    <n v="0"/>
    <n v="511.16399999999999"/>
    <n v="511.16399999999999"/>
    <n v="0"/>
    <n v="0"/>
    <n v="0"/>
    <x v="1"/>
    <n v="0"/>
    <n v="0"/>
    <n v="8"/>
    <n v="0"/>
    <n v="0"/>
    <n v="70.19"/>
    <n v="0"/>
    <m/>
    <n v="108.9218947768087"/>
    <m/>
    <n v="0"/>
    <n v="35878.601159999998"/>
    <n v="0"/>
    <n v="0"/>
    <n v="55676.95142169264"/>
    <n v="0"/>
  </r>
  <r>
    <s v="Regular"/>
    <x v="0"/>
    <x v="0"/>
    <x v="1"/>
    <x v="0"/>
    <x v="1"/>
    <x v="0"/>
    <x v="0"/>
    <x v="7"/>
    <n v="0"/>
    <n v="0"/>
    <n v="573.44500000000005"/>
    <n v="573.44500000000005"/>
    <n v="0"/>
    <n v="0"/>
    <n v="0"/>
    <x v="1"/>
    <n v="0"/>
    <n v="0"/>
    <n v="8"/>
    <n v="0"/>
    <n v="0"/>
    <n v="70.19"/>
    <n v="0"/>
    <m/>
    <n v="108.9218947768087"/>
    <m/>
    <n v="0"/>
    <n v="40250.104550000004"/>
    <n v="0"/>
    <n v="0"/>
    <n v="62460.715950287071"/>
    <n v="0"/>
  </r>
  <r>
    <s v="Regular"/>
    <x v="0"/>
    <x v="0"/>
    <x v="1"/>
    <x v="0"/>
    <x v="1"/>
    <x v="0"/>
    <x v="0"/>
    <x v="8"/>
    <n v="0"/>
    <n v="0"/>
    <n v="505.69200000000001"/>
    <n v="505.69200000000001"/>
    <n v="0"/>
    <n v="0"/>
    <n v="0"/>
    <x v="1"/>
    <n v="0"/>
    <n v="0"/>
    <n v="8"/>
    <n v="0"/>
    <n v="0"/>
    <n v="70.19"/>
    <n v="0"/>
    <m/>
    <n v="108.9218947768087"/>
    <m/>
    <n v="0"/>
    <n v="35494.521479999996"/>
    <n v="0"/>
    <n v="0"/>
    <n v="55080.930813473948"/>
    <n v="0"/>
  </r>
  <r>
    <s v="Regular"/>
    <x v="0"/>
    <x v="0"/>
    <x v="1"/>
    <x v="0"/>
    <x v="1"/>
    <x v="0"/>
    <x v="0"/>
    <x v="9"/>
    <n v="0"/>
    <n v="0"/>
    <n v="515.16200000000003"/>
    <n v="515.16200000000003"/>
    <n v="0"/>
    <n v="0"/>
    <n v="0"/>
    <x v="1"/>
    <n v="0"/>
    <n v="0"/>
    <n v="8"/>
    <n v="0"/>
    <n v="0"/>
    <n v="70.19"/>
    <n v="0"/>
    <m/>
    <n v="108.9218947768087"/>
    <m/>
    <n v="0"/>
    <n v="36159.220780000003"/>
    <n v="0"/>
    <n v="0"/>
    <n v="56112.421157010329"/>
    <n v="0"/>
  </r>
  <r>
    <s v="Regular"/>
    <x v="0"/>
    <x v="0"/>
    <x v="1"/>
    <x v="0"/>
    <x v="1"/>
    <x v="0"/>
    <x v="0"/>
    <x v="10"/>
    <n v="0"/>
    <n v="0"/>
    <n v="514.71199999999999"/>
    <n v="514.71199999999999"/>
    <n v="0"/>
    <n v="0"/>
    <n v="0"/>
    <x v="1"/>
    <n v="0"/>
    <n v="0"/>
    <n v="8"/>
    <n v="0"/>
    <n v="0"/>
    <n v="70.19"/>
    <n v="0"/>
    <m/>
    <n v="108.9218947768087"/>
    <m/>
    <n v="0"/>
    <n v="36127.635279999995"/>
    <n v="0"/>
    <n v="0"/>
    <n v="56063.40630436076"/>
    <n v="0"/>
  </r>
  <r>
    <s v="Regular"/>
    <x v="0"/>
    <x v="0"/>
    <x v="1"/>
    <x v="0"/>
    <x v="1"/>
    <x v="0"/>
    <x v="0"/>
    <x v="11"/>
    <n v="0"/>
    <n v="0"/>
    <n v="525.48800000000006"/>
    <n v="525.48800000000006"/>
    <n v="0"/>
    <n v="0"/>
    <n v="0"/>
    <x v="1"/>
    <n v="0"/>
    <n v="0"/>
    <n v="8"/>
    <n v="0"/>
    <n v="0"/>
    <n v="70.19"/>
    <n v="0"/>
    <m/>
    <n v="108.9218947768087"/>
    <m/>
    <n v="0"/>
    <n v="36884.002720000004"/>
    <n v="0"/>
    <n v="0"/>
    <n v="57237.148642475659"/>
    <n v="0"/>
  </r>
  <r>
    <s v="Regular"/>
    <x v="0"/>
    <x v="0"/>
    <x v="1"/>
    <x v="0"/>
    <x v="1"/>
    <x v="0"/>
    <x v="1"/>
    <x v="0"/>
    <n v="1300"/>
    <n v="703.09371599999997"/>
    <n v="0"/>
    <n v="0"/>
    <n v="0"/>
    <n v="0"/>
    <n v="2"/>
    <x v="1"/>
    <n v="0"/>
    <n v="6"/>
    <n v="0"/>
    <n v="0"/>
    <n v="20.43"/>
    <n v="0"/>
    <n v="0"/>
    <n v="17.658830934895185"/>
    <m/>
    <m/>
    <n v="14364.204617879999"/>
    <n v="0"/>
    <n v="0"/>
    <n v="12446.384820033594"/>
    <n v="0"/>
    <n v="0"/>
  </r>
  <r>
    <s v="Regular"/>
    <x v="0"/>
    <x v="0"/>
    <x v="1"/>
    <x v="0"/>
    <x v="1"/>
    <x v="0"/>
    <x v="1"/>
    <x v="1"/>
    <n v="1300"/>
    <n v="710.24843499999997"/>
    <n v="0"/>
    <n v="0"/>
    <n v="0"/>
    <n v="0"/>
    <n v="2"/>
    <x v="1"/>
    <n v="0"/>
    <n v="6"/>
    <n v="0"/>
    <n v="0"/>
    <n v="20.43"/>
    <n v="0"/>
    <n v="0"/>
    <n v="17.658830934895185"/>
    <m/>
    <m/>
    <n v="14510.375527049999"/>
    <n v="0"/>
    <n v="0"/>
    <n v="12573.039893072542"/>
    <n v="0"/>
    <n v="0"/>
  </r>
  <r>
    <s v="Regular"/>
    <x v="0"/>
    <x v="0"/>
    <x v="1"/>
    <x v="0"/>
    <x v="1"/>
    <x v="0"/>
    <x v="1"/>
    <x v="2"/>
    <n v="1300"/>
    <n v="713.766482"/>
    <n v="0"/>
    <n v="0"/>
    <n v="0"/>
    <n v="0"/>
    <n v="2"/>
    <x v="1"/>
    <n v="0"/>
    <n v="6"/>
    <n v="0"/>
    <n v="0"/>
    <n v="20.43"/>
    <n v="0"/>
    <n v="0"/>
    <n v="17.658830934895185"/>
    <m/>
    <m/>
    <n v="14582.249227259999"/>
    <n v="0"/>
    <n v="0"/>
    <n v="12635.31746116983"/>
    <n v="0"/>
    <n v="0"/>
  </r>
  <r>
    <s v="Regular"/>
    <x v="0"/>
    <x v="0"/>
    <x v="1"/>
    <x v="0"/>
    <x v="1"/>
    <x v="0"/>
    <x v="1"/>
    <x v="3"/>
    <n v="1387"/>
    <n v="698.92776097000001"/>
    <n v="0"/>
    <n v="0"/>
    <n v="0"/>
    <n v="0"/>
    <n v="2"/>
    <x v="1"/>
    <n v="0"/>
    <n v="6"/>
    <n v="0"/>
    <n v="0"/>
    <n v="20.43"/>
    <n v="0"/>
    <n v="0"/>
    <n v="17.658830934895185"/>
    <m/>
    <m/>
    <n v="14279.0941566171"/>
    <n v="0"/>
    <n v="0"/>
    <n v="12372.637781386567"/>
    <n v="0"/>
    <n v="0"/>
  </r>
  <r>
    <s v="Regular"/>
    <x v="0"/>
    <x v="0"/>
    <x v="1"/>
    <x v="0"/>
    <x v="1"/>
    <x v="0"/>
    <x v="1"/>
    <x v="4"/>
    <n v="1556"/>
    <n v="813.63548088000005"/>
    <n v="0"/>
    <n v="0"/>
    <n v="0"/>
    <n v="0"/>
    <n v="3"/>
    <x v="1"/>
    <n v="0"/>
    <n v="6"/>
    <n v="0"/>
    <n v="0"/>
    <n v="20.43"/>
    <n v="0"/>
    <n v="0"/>
    <n v="17.658830934895185"/>
    <m/>
    <m/>
    <n v="16622.572874378402"/>
    <n v="0"/>
    <n v="0"/>
    <n v="14403.229708663142"/>
    <n v="0"/>
    <n v="0"/>
  </r>
  <r>
    <s v="Regular"/>
    <x v="0"/>
    <x v="0"/>
    <x v="1"/>
    <x v="0"/>
    <x v="1"/>
    <x v="0"/>
    <x v="1"/>
    <x v="5"/>
    <n v="1548"/>
    <n v="802.55984148000005"/>
    <n v="0"/>
    <n v="0"/>
    <n v="0"/>
    <n v="0"/>
    <n v="3"/>
    <x v="1"/>
    <n v="0"/>
    <n v="6"/>
    <n v="0"/>
    <n v="0"/>
    <n v="20.43"/>
    <n v="0"/>
    <n v="0"/>
    <n v="17.658830934895185"/>
    <m/>
    <m/>
    <n v="16396.2975614364"/>
    <n v="0"/>
    <n v="0"/>
    <n v="14207.165276620452"/>
    <n v="0"/>
    <n v="0"/>
  </r>
  <r>
    <s v="Regular"/>
    <x v="0"/>
    <x v="0"/>
    <x v="1"/>
    <x v="0"/>
    <x v="1"/>
    <x v="0"/>
    <x v="1"/>
    <x v="6"/>
    <n v="1538"/>
    <n v="802.99662871999999"/>
    <n v="0"/>
    <n v="0"/>
    <n v="0"/>
    <n v="0"/>
    <n v="3"/>
    <x v="1"/>
    <n v="0"/>
    <n v="6"/>
    <n v="0"/>
    <n v="0"/>
    <n v="20.43"/>
    <n v="0"/>
    <n v="0"/>
    <n v="17.658830934895185"/>
    <m/>
    <m/>
    <n v="16405.221124749598"/>
    <n v="0"/>
    <n v="0"/>
    <n v="14214.89742092754"/>
    <n v="0"/>
    <n v="0"/>
  </r>
  <r>
    <s v="Regular"/>
    <x v="0"/>
    <x v="0"/>
    <x v="1"/>
    <x v="0"/>
    <x v="1"/>
    <x v="0"/>
    <x v="1"/>
    <x v="7"/>
    <n v="1621"/>
    <n v="816.28692136999996"/>
    <n v="0"/>
    <n v="0"/>
    <n v="0"/>
    <n v="0"/>
    <n v="3"/>
    <x v="1"/>
    <n v="0"/>
    <n v="6"/>
    <n v="0"/>
    <n v="0"/>
    <n v="20.43"/>
    <n v="0"/>
    <n v="0"/>
    <n v="17.658830934895185"/>
    <m/>
    <m/>
    <n v="16676.741803589099"/>
    <n v="0"/>
    <n v="0"/>
    <n v="14450.166337330093"/>
    <n v="0"/>
    <n v="0"/>
  </r>
  <r>
    <s v="Regular"/>
    <x v="0"/>
    <x v="0"/>
    <x v="1"/>
    <x v="0"/>
    <x v="1"/>
    <x v="0"/>
    <x v="1"/>
    <x v="8"/>
    <n v="1572"/>
    <n v="822.37163124000006"/>
    <n v="0"/>
    <n v="0"/>
    <n v="0"/>
    <n v="0"/>
    <n v="3"/>
    <x v="1"/>
    <n v="0"/>
    <n v="6"/>
    <n v="0"/>
    <n v="0"/>
    <n v="20.43"/>
    <n v="0"/>
    <n v="0"/>
    <n v="17.658830934895185"/>
    <m/>
    <m/>
    <n v="16801.0524262332"/>
    <n v="0"/>
    <n v="0"/>
    <n v="14557.87977415489"/>
    <n v="0"/>
    <n v="0"/>
  </r>
  <r>
    <s v="Regular"/>
    <x v="0"/>
    <x v="0"/>
    <x v="1"/>
    <x v="0"/>
    <x v="1"/>
    <x v="0"/>
    <x v="1"/>
    <x v="9"/>
    <n v="1602"/>
    <n v="803.84548842000004"/>
    <n v="0"/>
    <n v="0"/>
    <n v="0"/>
    <n v="0"/>
    <n v="3"/>
    <x v="1"/>
    <n v="0"/>
    <n v="6"/>
    <n v="0"/>
    <n v="0"/>
    <n v="20.43"/>
    <n v="0"/>
    <n v="0"/>
    <n v="17.658830934895185"/>
    <m/>
    <m/>
    <n v="16422.563328420601"/>
    <n v="0"/>
    <n v="0"/>
    <n v="14229.924200777779"/>
    <n v="0"/>
    <n v="0"/>
  </r>
  <r>
    <s v="Regular"/>
    <x v="0"/>
    <x v="0"/>
    <x v="1"/>
    <x v="0"/>
    <x v="1"/>
    <x v="0"/>
    <x v="1"/>
    <x v="10"/>
    <n v="1549"/>
    <n v="810.33947633000002"/>
    <n v="0"/>
    <n v="0"/>
    <n v="0"/>
    <n v="0"/>
    <n v="3"/>
    <x v="1"/>
    <n v="0"/>
    <n v="6"/>
    <n v="0"/>
    <n v="0"/>
    <n v="20.43"/>
    <n v="0"/>
    <n v="0"/>
    <n v="17.658830934895185"/>
    <m/>
    <m/>
    <n v="16555.235501421899"/>
    <n v="0"/>
    <n v="0"/>
    <n v="14344.88280544906"/>
    <n v="0"/>
    <n v="0"/>
  </r>
  <r>
    <s v="Regular"/>
    <x v="0"/>
    <x v="0"/>
    <x v="1"/>
    <x v="0"/>
    <x v="1"/>
    <x v="0"/>
    <x v="1"/>
    <x v="11"/>
    <n v="1559"/>
    <n v="782.26911139000003"/>
    <n v="0"/>
    <n v="0"/>
    <n v="0"/>
    <n v="0"/>
    <n v="3"/>
    <x v="1"/>
    <n v="0"/>
    <n v="6"/>
    <n v="0"/>
    <n v="0"/>
    <n v="20.43"/>
    <n v="0"/>
    <n v="0"/>
    <n v="17.658830934895185"/>
    <m/>
    <m/>
    <n v="15981.7579456977"/>
    <n v="0"/>
    <n v="0"/>
    <n v="13847.972427598352"/>
    <n v="0"/>
    <n v="0"/>
  </r>
  <r>
    <s v="Regular"/>
    <x v="0"/>
    <x v="0"/>
    <x v="1"/>
    <x v="0"/>
    <x v="1"/>
    <x v="0"/>
    <x v="2"/>
    <x v="0"/>
    <n v="0"/>
    <n v="0"/>
    <n v="37.838000000000001"/>
    <n v="21.19501094348"/>
    <n v="0"/>
    <n v="0"/>
    <n v="0"/>
    <x v="1"/>
    <n v="0"/>
    <n v="0"/>
    <n v="7"/>
    <n v="0"/>
    <n v="0"/>
    <n v="1419.25"/>
    <n v="0"/>
    <m/>
    <n v="1280.1851911342412"/>
    <m/>
    <n v="0"/>
    <n v="30081.019281533991"/>
    <n v="0"/>
    <n v="0"/>
    <n v="27191.051270176387"/>
    <n v="0"/>
  </r>
  <r>
    <s v="Regular"/>
    <x v="0"/>
    <x v="0"/>
    <x v="1"/>
    <x v="0"/>
    <x v="1"/>
    <x v="0"/>
    <x v="2"/>
    <x v="1"/>
    <n v="0"/>
    <n v="0"/>
    <n v="34.56"/>
    <n v="19.6570637568"/>
    <n v="0"/>
    <n v="0"/>
    <n v="0"/>
    <x v="1"/>
    <n v="0"/>
    <n v="0"/>
    <n v="7"/>
    <n v="0"/>
    <n v="0"/>
    <n v="1419.25"/>
    <n v="0"/>
    <m/>
    <n v="1280.1851911342412"/>
    <m/>
    <n v="0"/>
    <n v="27898.2877368384"/>
    <n v="0"/>
    <n v="0"/>
    <n v="25218.020875648395"/>
    <n v="0"/>
  </r>
  <r>
    <s v="Regular"/>
    <x v="0"/>
    <x v="0"/>
    <x v="1"/>
    <x v="0"/>
    <x v="1"/>
    <x v="0"/>
    <x v="2"/>
    <x v="2"/>
    <n v="0"/>
    <n v="0"/>
    <n v="34.85"/>
    <n v="19.911656580500001"/>
    <n v="0"/>
    <n v="0"/>
    <n v="0"/>
    <x v="1"/>
    <n v="0"/>
    <n v="0"/>
    <n v="7"/>
    <n v="0"/>
    <n v="0"/>
    <n v="1419.25"/>
    <n v="0"/>
    <m/>
    <n v="1280.1851911342412"/>
    <m/>
    <n v="0"/>
    <n v="28259.618601874627"/>
    <n v="0"/>
    <n v="0"/>
    <n v="25544.637669605523"/>
    <n v="0"/>
  </r>
  <r>
    <s v="Regular"/>
    <x v="0"/>
    <x v="0"/>
    <x v="1"/>
    <x v="0"/>
    <x v="1"/>
    <x v="0"/>
    <x v="2"/>
    <x v="3"/>
    <n v="0"/>
    <n v="0"/>
    <n v="45.478000000000002"/>
    <n v="24.032740862360001"/>
    <n v="0"/>
    <n v="0"/>
    <n v="0"/>
    <x v="1"/>
    <n v="0"/>
    <n v="0"/>
    <n v="7"/>
    <n v="0"/>
    <n v="0"/>
    <n v="1419.25"/>
    <n v="0"/>
    <m/>
    <n v="1280.1851911342412"/>
    <m/>
    <n v="0"/>
    <n v="34108.467468904433"/>
    <n v="0"/>
    <n v="0"/>
    <n v="30831.571198235953"/>
    <n v="0"/>
  </r>
  <r>
    <s v="Regular"/>
    <x v="0"/>
    <x v="0"/>
    <x v="1"/>
    <x v="0"/>
    <x v="1"/>
    <x v="0"/>
    <x v="2"/>
    <x v="4"/>
    <n v="0"/>
    <n v="0"/>
    <n v="52.598999999999997"/>
    <n v="28.7452062228"/>
    <n v="0"/>
    <n v="0"/>
    <n v="0"/>
    <x v="1"/>
    <n v="0"/>
    <n v="0"/>
    <n v="7"/>
    <n v="0"/>
    <n v="0"/>
    <n v="1419.25"/>
    <n v="0"/>
    <m/>
    <n v="1280.1851911342412"/>
    <m/>
    <n v="0"/>
    <n v="40796.6339317089"/>
    <n v="0"/>
    <n v="0"/>
    <n v="36877.186723811879"/>
    <n v="0"/>
  </r>
  <r>
    <s v="Regular"/>
    <x v="0"/>
    <x v="0"/>
    <x v="1"/>
    <x v="0"/>
    <x v="1"/>
    <x v="0"/>
    <x v="2"/>
    <x v="5"/>
    <n v="0"/>
    <n v="0"/>
    <n v="51.326999999999998"/>
    <n v="27.832831548840002"/>
    <n v="0"/>
    <n v="0"/>
    <n v="0"/>
    <x v="1"/>
    <n v="0"/>
    <n v="0"/>
    <n v="7"/>
    <n v="0"/>
    <n v="0"/>
    <n v="1419.25"/>
    <n v="0"/>
    <m/>
    <n v="1280.1851911342412"/>
    <m/>
    <n v="0"/>
    <n v="39501.746175691173"/>
    <n v="0"/>
    <n v="0"/>
    <n v="35706.702471484168"/>
    <n v="0"/>
  </r>
  <r>
    <s v="Regular"/>
    <x v="0"/>
    <x v="0"/>
    <x v="1"/>
    <x v="0"/>
    <x v="1"/>
    <x v="0"/>
    <x v="2"/>
    <x v="6"/>
    <n v="0"/>
    <n v="0"/>
    <n v="50.866999999999997"/>
    <n v="27.760110799700001"/>
    <n v="0"/>
    <n v="0"/>
    <n v="0"/>
    <x v="1"/>
    <n v="0"/>
    <n v="0"/>
    <n v="7"/>
    <n v="0"/>
    <n v="0"/>
    <n v="1419.25"/>
    <n v="0"/>
    <m/>
    <n v="1280.1851911342412"/>
    <m/>
    <n v="0"/>
    <n v="39398.537252474227"/>
    <n v="0"/>
    <n v="0"/>
    <n v="35613.409119405027"/>
    <n v="0"/>
  </r>
  <r>
    <s v="Regular"/>
    <x v="0"/>
    <x v="0"/>
    <x v="1"/>
    <x v="0"/>
    <x v="1"/>
    <x v="0"/>
    <x v="2"/>
    <x v="7"/>
    <n v="0"/>
    <n v="0"/>
    <n v="57.411999999999999"/>
    <n v="30.320498353240001"/>
    <n v="0"/>
    <n v="0"/>
    <n v="0"/>
    <x v="1"/>
    <n v="0"/>
    <n v="0"/>
    <n v="7"/>
    <n v="0"/>
    <n v="0"/>
    <n v="1419.25"/>
    <n v="0"/>
    <m/>
    <n v="1280.1851911342412"/>
    <m/>
    <n v="0"/>
    <n v="43032.36728783587"/>
    <n v="0"/>
    <n v="0"/>
    <n v="38898.126896880101"/>
    <n v="0"/>
  </r>
  <r>
    <s v="Regular"/>
    <x v="0"/>
    <x v="0"/>
    <x v="1"/>
    <x v="0"/>
    <x v="1"/>
    <x v="0"/>
    <x v="2"/>
    <x v="8"/>
    <n v="0"/>
    <n v="0"/>
    <n v="46.329000000000001"/>
    <n v="25.329025626749999"/>
    <n v="0"/>
    <n v="0"/>
    <n v="0"/>
    <x v="1"/>
    <n v="0"/>
    <n v="0"/>
    <n v="7"/>
    <n v="0"/>
    <n v="0"/>
    <n v="1419.25"/>
    <n v="0"/>
    <m/>
    <n v="1280.1851911342412"/>
    <m/>
    <n v="0"/>
    <n v="35948.219620764939"/>
    <n v="0"/>
    <n v="0"/>
    <n v="32494.573193529555"/>
    <n v="0"/>
  </r>
  <r>
    <s v="Regular"/>
    <x v="0"/>
    <x v="0"/>
    <x v="1"/>
    <x v="0"/>
    <x v="1"/>
    <x v="0"/>
    <x v="2"/>
    <x v="9"/>
    <n v="0"/>
    <n v="0"/>
    <n v="48.935000000000002"/>
    <n v="25.7601777257"/>
    <n v="0"/>
    <n v="0"/>
    <n v="0"/>
    <x v="1"/>
    <n v="0"/>
    <n v="0"/>
    <n v="7"/>
    <n v="0"/>
    <n v="0"/>
    <n v="1419.25"/>
    <n v="0"/>
    <m/>
    <n v="1280.1851911342412"/>
    <m/>
    <n v="0"/>
    <n v="36560.132237199723"/>
    <n v="0"/>
    <n v="0"/>
    <n v="33047.697646215907"/>
    <n v="0"/>
  </r>
  <r>
    <s v="Regular"/>
    <x v="0"/>
    <x v="0"/>
    <x v="1"/>
    <x v="0"/>
    <x v="1"/>
    <x v="0"/>
    <x v="2"/>
    <x v="10"/>
    <n v="0"/>
    <n v="0"/>
    <n v="49.697000000000003"/>
    <n v="27.17038111275"/>
    <n v="0"/>
    <n v="0"/>
    <n v="0"/>
    <x v="1"/>
    <n v="0"/>
    <n v="0"/>
    <n v="7"/>
    <n v="0"/>
    <n v="0"/>
    <n v="1419.25"/>
    <n v="0"/>
    <m/>
    <n v="1280.1851911342412"/>
    <m/>
    <n v="0"/>
    <n v="38561.563394270437"/>
    <n v="0"/>
    <n v="0"/>
    <n v="34856.845690579088"/>
    <n v="0"/>
  </r>
  <r>
    <s v="Regular"/>
    <x v="0"/>
    <x v="0"/>
    <x v="1"/>
    <x v="0"/>
    <x v="1"/>
    <x v="0"/>
    <x v="2"/>
    <x v="11"/>
    <n v="0"/>
    <n v="0"/>
    <n v="48.795999999999999"/>
    <n v="25.68700587112"/>
    <n v="0"/>
    <n v="0"/>
    <n v="0"/>
    <x v="1"/>
    <n v="0"/>
    <n v="0"/>
    <n v="7"/>
    <n v="0"/>
    <n v="0"/>
    <n v="1419.25"/>
    <n v="0"/>
    <m/>
    <n v="1280.1851911342412"/>
    <m/>
    <n v="0"/>
    <n v="36456.283082587062"/>
    <n v="0"/>
    <n v="0"/>
    <n v="32953.825571569461"/>
    <n v="0"/>
  </r>
  <r>
    <s v="Regular"/>
    <x v="0"/>
    <x v="0"/>
    <x v="1"/>
    <x v="0"/>
    <x v="0"/>
    <x v="0"/>
    <x v="0"/>
    <x v="0"/>
    <n v="0"/>
    <n v="0"/>
    <n v="180.10599999999999"/>
    <n v="180.10599999999999"/>
    <n v="180.10599999999999"/>
    <n v="180.10599999999999"/>
    <n v="0"/>
    <x v="0"/>
    <n v="0"/>
    <n v="0"/>
    <n v="8"/>
    <n v="51"/>
    <n v="0"/>
    <n v="70.19"/>
    <n v="302.62"/>
    <m/>
    <n v="108.9218947768087"/>
    <n v="274.25476998219489"/>
    <n v="0"/>
    <n v="12641.64014"/>
    <n v="54503.67772"/>
    <n v="0"/>
    <n v="19617.486780671908"/>
    <n v="49394.929602413191"/>
  </r>
  <r>
    <s v="Regular"/>
    <x v="0"/>
    <x v="0"/>
    <x v="1"/>
    <x v="0"/>
    <x v="0"/>
    <x v="0"/>
    <x v="0"/>
    <x v="1"/>
    <n v="0"/>
    <n v="0"/>
    <n v="173.40199999999999"/>
    <n v="173.40199999999999"/>
    <n v="173.40199999999999"/>
    <n v="173.40199999999999"/>
    <n v="0"/>
    <x v="0"/>
    <n v="0"/>
    <n v="0"/>
    <n v="8"/>
    <n v="51"/>
    <n v="0"/>
    <n v="70.19"/>
    <n v="302.62"/>
    <m/>
    <n v="108.9218947768087"/>
    <n v="274.25476998219489"/>
    <n v="0"/>
    <n v="12171.086379999999"/>
    <n v="52474.913239999994"/>
    <n v="0"/>
    <n v="18887.274398088182"/>
    <n v="47556.325624452555"/>
  </r>
  <r>
    <s v="Regular"/>
    <x v="0"/>
    <x v="0"/>
    <x v="1"/>
    <x v="0"/>
    <x v="0"/>
    <x v="0"/>
    <x v="0"/>
    <x v="2"/>
    <n v="0"/>
    <n v="0"/>
    <n v="191.13900000000001"/>
    <n v="191.13900000000001"/>
    <n v="191.13900000000001"/>
    <n v="191.13900000000001"/>
    <n v="0"/>
    <x v="0"/>
    <n v="0"/>
    <n v="0"/>
    <n v="8"/>
    <n v="51"/>
    <n v="0"/>
    <n v="70.19"/>
    <n v="302.62"/>
    <m/>
    <n v="108.9218947768087"/>
    <n v="274.25476998219489"/>
    <n v="0"/>
    <n v="13416.046410000001"/>
    <n v="57842.484180000007"/>
    <n v="0"/>
    <n v="20819.222045744438"/>
    <n v="52420.782479626752"/>
  </r>
  <r>
    <s v="Regular"/>
    <x v="0"/>
    <x v="0"/>
    <x v="1"/>
    <x v="0"/>
    <x v="0"/>
    <x v="0"/>
    <x v="0"/>
    <x v="3"/>
    <n v="0"/>
    <n v="0"/>
    <n v="206.661"/>
    <n v="206.661"/>
    <n v="206.661"/>
    <n v="206.661"/>
    <n v="0"/>
    <x v="0"/>
    <n v="0"/>
    <n v="0"/>
    <n v="8"/>
    <n v="51"/>
    <n v="0"/>
    <n v="70.19"/>
    <n v="302.62"/>
    <m/>
    <n v="108.9218947768087"/>
    <n v="274.25476998219489"/>
    <n v="0"/>
    <n v="14505.53559"/>
    <n v="62539.751820000005"/>
    <n v="0"/>
    <n v="22509.907696470062"/>
    <n v="56677.765019290375"/>
  </r>
  <r>
    <s v="Regular"/>
    <x v="0"/>
    <x v="0"/>
    <x v="1"/>
    <x v="0"/>
    <x v="0"/>
    <x v="0"/>
    <x v="0"/>
    <x v="4"/>
    <n v="0"/>
    <n v="0"/>
    <n v="158.70099999999999"/>
    <n v="158.70099999999999"/>
    <n v="158.70099999999999"/>
    <n v="158.70099999999999"/>
    <n v="0"/>
    <x v="0"/>
    <n v="0"/>
    <n v="0"/>
    <n v="8"/>
    <n v="51"/>
    <n v="0"/>
    <n v="70.19"/>
    <n v="302.62"/>
    <m/>
    <n v="108.9218947768087"/>
    <n v="274.25476998219489"/>
    <n v="0"/>
    <n v="11139.223189999999"/>
    <n v="48026.096619999997"/>
    <n v="0"/>
    <n v="17286.013622974318"/>
    <n v="43524.506250944309"/>
  </r>
  <r>
    <s v="Regular"/>
    <x v="0"/>
    <x v="0"/>
    <x v="1"/>
    <x v="0"/>
    <x v="0"/>
    <x v="0"/>
    <x v="0"/>
    <x v="5"/>
    <n v="0"/>
    <n v="0"/>
    <n v="133.976"/>
    <n v="133.976"/>
    <n v="133.976"/>
    <n v="133.976"/>
    <n v="0"/>
    <x v="0"/>
    <n v="0"/>
    <n v="0"/>
    <n v="8"/>
    <n v="51"/>
    <n v="0"/>
    <n v="70.19"/>
    <n v="302.62"/>
    <m/>
    <n v="108.9218947768087"/>
    <n v="274.25476998219489"/>
    <n v="0"/>
    <n v="9403.7754399999994"/>
    <n v="40543.81712"/>
    <n v="0"/>
    <n v="14592.919774617721"/>
    <n v="36743.55706313454"/>
  </r>
  <r>
    <s v="Regular"/>
    <x v="0"/>
    <x v="0"/>
    <x v="1"/>
    <x v="0"/>
    <x v="0"/>
    <x v="0"/>
    <x v="0"/>
    <x v="6"/>
    <n v="0"/>
    <n v="0"/>
    <n v="138.666"/>
    <n v="138.666"/>
    <n v="138.666"/>
    <n v="138.666"/>
    <n v="0"/>
    <x v="0"/>
    <n v="0"/>
    <n v="0"/>
    <n v="8"/>
    <n v="51"/>
    <n v="0"/>
    <n v="70.19"/>
    <n v="302.62"/>
    <m/>
    <n v="108.9218947768087"/>
    <n v="274.25476998219489"/>
    <n v="0"/>
    <n v="9732.9665399999994"/>
    <n v="41963.104919999998"/>
    <n v="0"/>
    <n v="15103.763461120954"/>
    <n v="38029.811934351033"/>
  </r>
  <r>
    <s v="Regular"/>
    <x v="0"/>
    <x v="0"/>
    <x v="1"/>
    <x v="0"/>
    <x v="0"/>
    <x v="0"/>
    <x v="0"/>
    <x v="7"/>
    <n v="0"/>
    <n v="0"/>
    <n v="150.70599999999999"/>
    <n v="150.70599999999999"/>
    <n v="150.70599999999999"/>
    <n v="150.70599999999999"/>
    <n v="0"/>
    <x v="0"/>
    <n v="0"/>
    <n v="0"/>
    <n v="8"/>
    <n v="51"/>
    <n v="0"/>
    <n v="70.19"/>
    <n v="302.62"/>
    <m/>
    <n v="108.9218947768087"/>
    <n v="274.25476998219489"/>
    <n v="0"/>
    <n v="10578.054139999998"/>
    <n v="45606.649719999994"/>
    <n v="0"/>
    <n v="16415.18307423373"/>
    <n v="41331.839364936663"/>
  </r>
  <r>
    <s v="Regular"/>
    <x v="0"/>
    <x v="0"/>
    <x v="1"/>
    <x v="0"/>
    <x v="0"/>
    <x v="0"/>
    <x v="0"/>
    <x v="8"/>
    <n v="0"/>
    <n v="0"/>
    <n v="119.78400000000001"/>
    <n v="119.78400000000001"/>
    <n v="119.78400000000001"/>
    <n v="119.78400000000001"/>
    <n v="0"/>
    <x v="0"/>
    <n v="0"/>
    <n v="0"/>
    <n v="8"/>
    <n v="51"/>
    <n v="0"/>
    <n v="70.19"/>
    <n v="302.62"/>
    <m/>
    <n v="108.9218947768087"/>
    <n v="274.25476998219489"/>
    <n v="0"/>
    <n v="8407.6389600000002"/>
    <n v="36249.034080000005"/>
    <n v="0"/>
    <n v="13047.100243945253"/>
    <n v="32851.333367547231"/>
  </r>
  <r>
    <s v="Regular"/>
    <x v="0"/>
    <x v="0"/>
    <x v="1"/>
    <x v="0"/>
    <x v="0"/>
    <x v="0"/>
    <x v="0"/>
    <x v="9"/>
    <n v="0"/>
    <n v="0"/>
    <n v="148.124"/>
    <n v="148.124"/>
    <n v="148.124"/>
    <n v="148.124"/>
    <n v="0"/>
    <x v="0"/>
    <n v="0"/>
    <n v="0"/>
    <n v="8"/>
    <n v="51"/>
    <n v="0"/>
    <n v="70.19"/>
    <n v="302.62"/>
    <m/>
    <n v="108.9218947768087"/>
    <n v="274.25476998219489"/>
    <n v="0"/>
    <n v="10396.823559999999"/>
    <n v="44825.284879999999"/>
    <n v="0"/>
    <n v="16133.946741920012"/>
    <n v="40623.713548842636"/>
  </r>
  <r>
    <s v="Regular"/>
    <x v="0"/>
    <x v="0"/>
    <x v="1"/>
    <x v="0"/>
    <x v="0"/>
    <x v="0"/>
    <x v="0"/>
    <x v="10"/>
    <n v="0"/>
    <n v="0"/>
    <n v="143.33099999999999"/>
    <n v="143.33099999999999"/>
    <n v="143.33099999999999"/>
    <n v="143.33099999999999"/>
    <n v="0"/>
    <x v="0"/>
    <n v="0"/>
    <n v="0"/>
    <n v="8"/>
    <n v="51"/>
    <n v="0"/>
    <n v="70.19"/>
    <n v="302.62"/>
    <m/>
    <n v="108.9218947768087"/>
    <n v="274.25476998219489"/>
    <n v="0"/>
    <n v="10060.402889999999"/>
    <n v="43374.827219999999"/>
    <n v="0"/>
    <n v="15611.884100254767"/>
    <n v="39309.210436317975"/>
  </r>
  <r>
    <s v="Regular"/>
    <x v="0"/>
    <x v="0"/>
    <x v="1"/>
    <x v="0"/>
    <x v="0"/>
    <x v="0"/>
    <x v="0"/>
    <x v="11"/>
    <n v="0"/>
    <n v="0"/>
    <n v="143.77099999999999"/>
    <n v="143.77099999999999"/>
    <n v="143.77099999999999"/>
    <n v="143.77099999999999"/>
    <n v="0"/>
    <x v="0"/>
    <n v="0"/>
    <n v="0"/>
    <n v="8"/>
    <n v="51"/>
    <n v="0"/>
    <n v="70.19"/>
    <n v="302.62"/>
    <m/>
    <n v="108.9218947768087"/>
    <n v="274.25476998219489"/>
    <n v="0"/>
    <n v="10091.286489999999"/>
    <n v="43507.980019999995"/>
    <n v="0"/>
    <n v="15659.809733956563"/>
    <n v="39429.88253511014"/>
  </r>
  <r>
    <s v="Regular"/>
    <x v="0"/>
    <x v="0"/>
    <x v="1"/>
    <x v="0"/>
    <x v="0"/>
    <x v="0"/>
    <x v="1"/>
    <x v="0"/>
    <n v="1060"/>
    <n v="1060"/>
    <n v="0"/>
    <n v="0"/>
    <n v="0"/>
    <n v="0"/>
    <n v="6"/>
    <x v="0"/>
    <n v="0"/>
    <n v="6"/>
    <n v="0"/>
    <n v="0"/>
    <n v="20.43"/>
    <n v="0"/>
    <n v="0"/>
    <n v="17.658830934895185"/>
    <m/>
    <m/>
    <n v="21655.8"/>
    <n v="0"/>
    <n v="0"/>
    <n v="18764.451465010123"/>
    <n v="0"/>
    <n v="0"/>
  </r>
  <r>
    <s v="Regular"/>
    <x v="0"/>
    <x v="0"/>
    <x v="1"/>
    <x v="0"/>
    <x v="0"/>
    <x v="0"/>
    <x v="1"/>
    <x v="1"/>
    <n v="1057"/>
    <n v="1057"/>
    <n v="0"/>
    <n v="0"/>
    <n v="0"/>
    <n v="0"/>
    <n v="6"/>
    <x v="0"/>
    <n v="0"/>
    <n v="6"/>
    <n v="0"/>
    <n v="0"/>
    <n v="20.43"/>
    <n v="0"/>
    <n v="0"/>
    <n v="17.658830934895185"/>
    <m/>
    <m/>
    <n v="21594.51"/>
    <n v="0"/>
    <n v="0"/>
    <n v="18711.344526901601"/>
    <n v="0"/>
    <n v="0"/>
  </r>
  <r>
    <s v="Regular"/>
    <x v="0"/>
    <x v="0"/>
    <x v="1"/>
    <x v="0"/>
    <x v="0"/>
    <x v="0"/>
    <x v="1"/>
    <x v="2"/>
    <n v="955"/>
    <n v="955"/>
    <n v="0"/>
    <n v="0"/>
    <n v="0"/>
    <n v="0"/>
    <n v="6"/>
    <x v="0"/>
    <n v="0"/>
    <n v="6"/>
    <n v="0"/>
    <n v="0"/>
    <n v="20.43"/>
    <n v="0"/>
    <n v="0"/>
    <n v="17.658830934895185"/>
    <m/>
    <m/>
    <n v="19510.650000000001"/>
    <n v="0"/>
    <n v="0"/>
    <n v="16905.70863121195"/>
    <n v="0"/>
    <n v="0"/>
  </r>
  <r>
    <s v="Regular"/>
    <x v="0"/>
    <x v="0"/>
    <x v="1"/>
    <x v="0"/>
    <x v="0"/>
    <x v="0"/>
    <x v="1"/>
    <x v="3"/>
    <n v="983"/>
    <n v="983"/>
    <n v="0"/>
    <n v="0"/>
    <n v="0"/>
    <n v="0"/>
    <n v="6"/>
    <x v="0"/>
    <n v="0"/>
    <n v="6"/>
    <n v="0"/>
    <n v="0"/>
    <n v="20.43"/>
    <n v="0"/>
    <n v="0"/>
    <n v="17.658830934895185"/>
    <m/>
    <m/>
    <n v="20082.689999999999"/>
    <n v="0"/>
    <n v="0"/>
    <n v="17401.373386891461"/>
    <n v="0"/>
    <n v="0"/>
  </r>
  <r>
    <s v="Regular"/>
    <x v="0"/>
    <x v="0"/>
    <x v="1"/>
    <x v="0"/>
    <x v="0"/>
    <x v="0"/>
    <x v="1"/>
    <x v="4"/>
    <n v="1079"/>
    <n v="1079"/>
    <n v="0"/>
    <n v="0"/>
    <n v="0"/>
    <n v="0"/>
    <n v="6"/>
    <x v="0"/>
    <n v="0"/>
    <n v="6"/>
    <n v="0"/>
    <n v="0"/>
    <n v="20.43"/>
    <n v="0"/>
    <n v="0"/>
    <n v="17.658830934895185"/>
    <m/>
    <m/>
    <n v="22043.97"/>
    <n v="0"/>
    <n v="0"/>
    <n v="19100.795406364075"/>
    <n v="0"/>
    <n v="0"/>
  </r>
  <r>
    <s v="Regular"/>
    <x v="0"/>
    <x v="0"/>
    <x v="1"/>
    <x v="0"/>
    <x v="0"/>
    <x v="0"/>
    <x v="1"/>
    <x v="5"/>
    <n v="874"/>
    <n v="874"/>
    <n v="0"/>
    <n v="0"/>
    <n v="0"/>
    <n v="0"/>
    <n v="6"/>
    <x v="0"/>
    <n v="0"/>
    <n v="6"/>
    <n v="0"/>
    <n v="0"/>
    <n v="20.43"/>
    <n v="0"/>
    <n v="0"/>
    <n v="17.658830934895185"/>
    <m/>
    <m/>
    <n v="17855.82"/>
    <n v="0"/>
    <n v="0"/>
    <n v="15471.821302281931"/>
    <n v="0"/>
    <n v="0"/>
  </r>
  <r>
    <s v="Regular"/>
    <x v="0"/>
    <x v="0"/>
    <x v="1"/>
    <x v="0"/>
    <x v="0"/>
    <x v="0"/>
    <x v="1"/>
    <x v="6"/>
    <n v="936"/>
    <n v="936"/>
    <n v="0"/>
    <n v="0"/>
    <n v="0"/>
    <n v="0"/>
    <n v="7"/>
    <x v="0"/>
    <n v="0"/>
    <n v="6"/>
    <n v="0"/>
    <n v="0"/>
    <n v="20.43"/>
    <n v="0"/>
    <n v="0"/>
    <n v="17.658830934895185"/>
    <m/>
    <m/>
    <n v="19122.48"/>
    <n v="0"/>
    <n v="0"/>
    <n v="16569.364689857994"/>
    <n v="0"/>
    <n v="0"/>
  </r>
  <r>
    <s v="Regular"/>
    <x v="0"/>
    <x v="0"/>
    <x v="1"/>
    <x v="0"/>
    <x v="0"/>
    <x v="0"/>
    <x v="1"/>
    <x v="7"/>
    <n v="887"/>
    <n v="887"/>
    <n v="0"/>
    <n v="0"/>
    <n v="0"/>
    <n v="0"/>
    <n v="6"/>
    <x v="0"/>
    <n v="0"/>
    <n v="6"/>
    <n v="0"/>
    <n v="0"/>
    <n v="20.43"/>
    <n v="0"/>
    <n v="0"/>
    <n v="17.658830934895185"/>
    <m/>
    <m/>
    <n v="18121.41"/>
    <n v="0"/>
    <n v="0"/>
    <n v="15701.951367418847"/>
    <n v="0"/>
    <n v="0"/>
  </r>
  <r>
    <s v="Regular"/>
    <x v="0"/>
    <x v="0"/>
    <x v="1"/>
    <x v="0"/>
    <x v="0"/>
    <x v="0"/>
    <x v="1"/>
    <x v="8"/>
    <n v="923"/>
    <n v="923"/>
    <n v="0"/>
    <n v="0"/>
    <n v="0"/>
    <n v="0"/>
    <n v="6"/>
    <x v="0"/>
    <n v="0"/>
    <n v="6"/>
    <n v="0"/>
    <n v="0"/>
    <n v="20.43"/>
    <n v="0"/>
    <n v="0"/>
    <n v="17.658830934895185"/>
    <m/>
    <m/>
    <n v="18856.89"/>
    <n v="0"/>
    <n v="0"/>
    <n v="16339.234624721077"/>
    <n v="0"/>
    <n v="0"/>
  </r>
  <r>
    <s v="Regular"/>
    <x v="0"/>
    <x v="0"/>
    <x v="1"/>
    <x v="0"/>
    <x v="0"/>
    <x v="0"/>
    <x v="1"/>
    <x v="9"/>
    <n v="902"/>
    <n v="902"/>
    <n v="0"/>
    <n v="0"/>
    <n v="0"/>
    <n v="0"/>
    <n v="6"/>
    <x v="0"/>
    <n v="0"/>
    <n v="6"/>
    <n v="0"/>
    <n v="0"/>
    <n v="20.43"/>
    <n v="0"/>
    <n v="0"/>
    <n v="17.658830934895185"/>
    <m/>
    <m/>
    <n v="18427.86"/>
    <n v="0"/>
    <n v="0"/>
    <n v="15967.486057961443"/>
    <n v="0"/>
    <n v="0"/>
  </r>
  <r>
    <s v="Regular"/>
    <x v="0"/>
    <x v="0"/>
    <x v="1"/>
    <x v="0"/>
    <x v="0"/>
    <x v="0"/>
    <x v="1"/>
    <x v="10"/>
    <n v="931"/>
    <n v="931"/>
    <n v="0"/>
    <n v="0"/>
    <n v="0"/>
    <n v="0"/>
    <n v="6"/>
    <x v="0"/>
    <n v="0"/>
    <n v="6"/>
    <n v="0"/>
    <n v="0"/>
    <n v="20.43"/>
    <n v="0"/>
    <n v="0"/>
    <n v="17.658830934895185"/>
    <m/>
    <m/>
    <n v="19020.329999999998"/>
    <n v="0"/>
    <n v="0"/>
    <n v="16480.853126343794"/>
    <n v="0"/>
    <n v="0"/>
  </r>
  <r>
    <s v="Regular"/>
    <x v="0"/>
    <x v="0"/>
    <x v="1"/>
    <x v="0"/>
    <x v="0"/>
    <x v="0"/>
    <x v="1"/>
    <x v="11"/>
    <n v="930"/>
    <n v="930"/>
    <n v="0"/>
    <n v="0"/>
    <n v="0"/>
    <n v="0"/>
    <n v="6"/>
    <x v="0"/>
    <n v="0"/>
    <n v="6"/>
    <n v="0"/>
    <n v="0"/>
    <n v="20.43"/>
    <n v="0"/>
    <n v="0"/>
    <n v="17.658830934895185"/>
    <m/>
    <m/>
    <n v="18999.900000000001"/>
    <n v="0"/>
    <n v="0"/>
    <n v="16463.150813640957"/>
    <n v="0"/>
    <n v="0"/>
  </r>
  <r>
    <s v="Regular"/>
    <x v="0"/>
    <x v="0"/>
    <x v="1"/>
    <x v="0"/>
    <x v="0"/>
    <x v="0"/>
    <x v="2"/>
    <x v="0"/>
    <n v="0"/>
    <n v="0"/>
    <n v="9.4670000000000005"/>
    <n v="9.4670000000000005"/>
    <n v="9.4670000000000005"/>
    <n v="9.4670000000000005"/>
    <n v="0"/>
    <x v="0"/>
    <n v="0"/>
    <n v="0"/>
    <n v="7"/>
    <n v="50"/>
    <n v="0"/>
    <n v="1419.25"/>
    <n v="518.44000000000005"/>
    <m/>
    <n v="1280.1851911342412"/>
    <n v="469.6750309272033"/>
    <n v="0"/>
    <n v="13436.03975"/>
    <n v="4908.0714800000005"/>
    <n v="0"/>
    <n v="12145.201673224263"/>
    <n v="4446.4135177878343"/>
  </r>
  <r>
    <s v="Regular"/>
    <x v="0"/>
    <x v="0"/>
    <x v="1"/>
    <x v="0"/>
    <x v="0"/>
    <x v="0"/>
    <x v="2"/>
    <x v="1"/>
    <n v="0"/>
    <n v="0"/>
    <n v="8.6820000000000004"/>
    <n v="8.6820000000000004"/>
    <n v="8.6820000000000004"/>
    <n v="8.6820000000000004"/>
    <n v="0"/>
    <x v="0"/>
    <n v="0"/>
    <n v="0"/>
    <n v="7"/>
    <n v="50"/>
    <n v="0"/>
    <n v="1419.25"/>
    <n v="518.44000000000005"/>
    <m/>
    <n v="1280.1851911342412"/>
    <n v="469.6750309272033"/>
    <n v="0"/>
    <n v="12321.9285"/>
    <n v="4501.0960800000003"/>
    <n v="0"/>
    <n v="11138.126220231652"/>
    <n v="4077.718618509979"/>
  </r>
  <r>
    <s v="Regular"/>
    <x v="0"/>
    <x v="0"/>
    <x v="1"/>
    <x v="0"/>
    <x v="0"/>
    <x v="0"/>
    <x v="2"/>
    <x v="2"/>
    <n v="0"/>
    <n v="0"/>
    <n v="7.7679999999999998"/>
    <n v="7.7679999999999998"/>
    <n v="7.7679999999999998"/>
    <n v="7.7679999999999998"/>
    <n v="0"/>
    <x v="0"/>
    <n v="0"/>
    <n v="0"/>
    <n v="7"/>
    <n v="50"/>
    <n v="0"/>
    <n v="1419.25"/>
    <n v="518.44000000000005"/>
    <m/>
    <n v="1280.1851911342412"/>
    <n v="469.6750309272033"/>
    <n v="0"/>
    <n v="11024.734"/>
    <n v="4027.2419200000004"/>
    <n v="0"/>
    <n v="9965.5568392950318"/>
    <n v="3648.4356402425151"/>
  </r>
  <r>
    <s v="Regular"/>
    <x v="0"/>
    <x v="0"/>
    <x v="1"/>
    <x v="0"/>
    <x v="0"/>
    <x v="0"/>
    <x v="2"/>
    <x v="3"/>
    <n v="0"/>
    <n v="0"/>
    <n v="7.8209999999999997"/>
    <n v="7.8209999999999997"/>
    <n v="7.8209999999999997"/>
    <n v="7.8209999999999997"/>
    <n v="0"/>
    <x v="0"/>
    <n v="0"/>
    <n v="0"/>
    <n v="7"/>
    <n v="50"/>
    <n v="0"/>
    <n v="1419.25"/>
    <n v="518.44000000000005"/>
    <m/>
    <n v="1280.1851911342412"/>
    <n v="469.6750309272033"/>
    <n v="0"/>
    <n v="11099.954249999999"/>
    <n v="4054.7192400000004"/>
    <n v="0"/>
    <n v="10033.550468605361"/>
    <n v="3673.3284168816567"/>
  </r>
  <r>
    <s v="Regular"/>
    <x v="0"/>
    <x v="0"/>
    <x v="1"/>
    <x v="0"/>
    <x v="0"/>
    <x v="0"/>
    <x v="2"/>
    <x v="4"/>
    <n v="0"/>
    <n v="0"/>
    <n v="5.6539999999999999"/>
    <n v="5.6539999999999999"/>
    <n v="5.6539999999999999"/>
    <n v="5.6539999999999999"/>
    <n v="0"/>
    <x v="0"/>
    <n v="0"/>
    <n v="0"/>
    <n v="7"/>
    <n v="50"/>
    <n v="0"/>
    <n v="1419.25"/>
    <n v="518.44000000000005"/>
    <m/>
    <n v="1280.1851911342412"/>
    <n v="469.6750309272033"/>
    <n v="0"/>
    <n v="8024.4394999999995"/>
    <n v="2931.2597600000004"/>
    <n v="0"/>
    <n v="7253.5090588792627"/>
    <n v="2655.5426248624076"/>
  </r>
  <r>
    <s v="Regular"/>
    <x v="0"/>
    <x v="0"/>
    <x v="1"/>
    <x v="0"/>
    <x v="0"/>
    <x v="0"/>
    <x v="2"/>
    <x v="5"/>
    <n v="0"/>
    <n v="0"/>
    <n v="4.7830000000000004"/>
    <n v="4.7830000000000004"/>
    <n v="4.7830000000000004"/>
    <n v="4.7830000000000004"/>
    <n v="0"/>
    <x v="0"/>
    <n v="0"/>
    <n v="0"/>
    <n v="7"/>
    <n v="50"/>
    <n v="0"/>
    <n v="1419.25"/>
    <n v="518.44000000000005"/>
    <m/>
    <n v="1280.1851911342412"/>
    <n v="469.6750309272033"/>
    <n v="0"/>
    <n v="6788.2727500000001"/>
    <n v="2479.6985200000004"/>
    <n v="0"/>
    <n v="6136.1043205906462"/>
    <n v="2246.4556729248134"/>
  </r>
  <r>
    <s v="Regular"/>
    <x v="0"/>
    <x v="0"/>
    <x v="1"/>
    <x v="0"/>
    <x v="0"/>
    <x v="0"/>
    <x v="2"/>
    <x v="6"/>
    <n v="0"/>
    <n v="0"/>
    <n v="4.8639999999999999"/>
    <n v="4.8639999999999999"/>
    <n v="4.8639999999999999"/>
    <n v="4.8639999999999999"/>
    <n v="0"/>
    <x v="0"/>
    <n v="0"/>
    <n v="0"/>
    <n v="7"/>
    <n v="50"/>
    <n v="0"/>
    <n v="1419.25"/>
    <n v="518.44000000000005"/>
    <m/>
    <n v="1280.1851911342412"/>
    <n v="469.6750309272033"/>
    <n v="0"/>
    <n v="6903.232"/>
    <n v="2521.6921600000001"/>
    <n v="0"/>
    <n v="6240.0191125554884"/>
    <n v="2284.4993504299168"/>
  </r>
  <r>
    <s v="Regular"/>
    <x v="0"/>
    <x v="0"/>
    <x v="1"/>
    <x v="0"/>
    <x v="0"/>
    <x v="0"/>
    <x v="2"/>
    <x v="7"/>
    <n v="0"/>
    <n v="0"/>
    <n v="5.569"/>
    <n v="5.569"/>
    <n v="5.569"/>
    <n v="5.569"/>
    <n v="0"/>
    <x v="0"/>
    <n v="0"/>
    <n v="0"/>
    <n v="7"/>
    <n v="50"/>
    <n v="0"/>
    <n v="1419.25"/>
    <n v="518.44000000000005"/>
    <m/>
    <n v="1280.1851911342412"/>
    <n v="469.6750309272033"/>
    <n v="0"/>
    <n v="7903.8032499999999"/>
    <n v="2887.1923600000005"/>
    <n v="0"/>
    <n v="7144.4626722494895"/>
    <n v="2615.6202472335949"/>
  </r>
  <r>
    <s v="Regular"/>
    <x v="0"/>
    <x v="0"/>
    <x v="1"/>
    <x v="0"/>
    <x v="0"/>
    <x v="0"/>
    <x v="2"/>
    <x v="8"/>
    <n v="0"/>
    <n v="0"/>
    <n v="3.931"/>
    <n v="3.931"/>
    <n v="3.931"/>
    <n v="3.931"/>
    <n v="0"/>
    <x v="0"/>
    <n v="0"/>
    <n v="0"/>
    <n v="7"/>
    <n v="50"/>
    <n v="0"/>
    <n v="1419.25"/>
    <n v="518.44000000000005"/>
    <m/>
    <n v="1280.1851911342412"/>
    <n v="469.6750309272033"/>
    <n v="0"/>
    <n v="5579.0717500000001"/>
    <n v="2037.9876400000003"/>
    <n v="0"/>
    <n v="5043.0746569604498"/>
    <n v="1846.2925465748363"/>
  </r>
  <r>
    <s v="Regular"/>
    <x v="0"/>
    <x v="0"/>
    <x v="1"/>
    <x v="0"/>
    <x v="0"/>
    <x v="0"/>
    <x v="2"/>
    <x v="9"/>
    <n v="0"/>
    <n v="0"/>
    <n v="5.6840000000000002"/>
    <n v="5.6840000000000002"/>
    <n v="5.6840000000000002"/>
    <n v="5.6840000000000002"/>
    <n v="0"/>
    <x v="0"/>
    <n v="0"/>
    <n v="0"/>
    <n v="7"/>
    <n v="50"/>
    <n v="0"/>
    <n v="1419.25"/>
    <n v="518.44000000000005"/>
    <m/>
    <n v="1280.1851911342412"/>
    <n v="469.6750309272033"/>
    <n v="0"/>
    <n v="8067.0169999999998"/>
    <n v="2946.8129600000002"/>
    <n v="0"/>
    <n v="7291.9960188662417"/>
    <n v="2669.6328757902238"/>
  </r>
  <r>
    <s v="Regular"/>
    <x v="0"/>
    <x v="0"/>
    <x v="1"/>
    <x v="0"/>
    <x v="0"/>
    <x v="0"/>
    <x v="2"/>
    <x v="10"/>
    <n v="0"/>
    <n v="0"/>
    <n v="5.5490000000000004"/>
    <n v="5.5490000000000004"/>
    <n v="5.5490000000000004"/>
    <n v="5.5490000000000004"/>
    <n v="0"/>
    <x v="0"/>
    <n v="0"/>
    <n v="0"/>
    <n v="7"/>
    <n v="50"/>
    <n v="0"/>
    <n v="1419.25"/>
    <n v="518.44000000000005"/>
    <m/>
    <n v="1280.1851911342412"/>
    <n v="469.6750309272033"/>
    <n v="0"/>
    <n v="7875.4182500000006"/>
    <n v="2876.8235600000007"/>
    <n v="0"/>
    <n v="7118.8046989248378"/>
    <n v="2606.2267466150511"/>
  </r>
  <r>
    <s v="Regular"/>
    <x v="0"/>
    <x v="0"/>
    <x v="1"/>
    <x v="0"/>
    <x v="0"/>
    <x v="0"/>
    <x v="2"/>
    <x v="11"/>
    <n v="0"/>
    <n v="0"/>
    <n v="4.47"/>
    <n v="4.47"/>
    <n v="4.47"/>
    <n v="4.47"/>
    <n v="0"/>
    <x v="0"/>
    <n v="0"/>
    <n v="0"/>
    <n v="7"/>
    <n v="50"/>
    <n v="0"/>
    <n v="1419.25"/>
    <n v="518.44000000000005"/>
    <m/>
    <n v="1280.1851911342412"/>
    <n v="469.6750309272033"/>
    <n v="0"/>
    <n v="6344.0474999999997"/>
    <n v="2317.4268000000002"/>
    <n v="0"/>
    <n v="5734.5570380598338"/>
    <n v="2099.4473882445986"/>
  </r>
  <r>
    <s v="Regular"/>
    <x v="1"/>
    <x v="1"/>
    <x v="2"/>
    <x v="1"/>
    <x v="0"/>
    <x v="0"/>
    <x v="1"/>
    <x v="0"/>
    <n v="0"/>
    <n v="0"/>
    <n v="542.63900000000001"/>
    <n v="542.63900000000001"/>
    <n v="542.63900000000001"/>
    <n v="542.63900000000001"/>
    <n v="2963"/>
    <x v="0"/>
    <n v="0"/>
    <n v="0"/>
    <n v="18"/>
    <n v="56"/>
    <n v="0"/>
    <n v="404.34"/>
    <n v="320.60000000000002"/>
    <m/>
    <n v="491.3677083274257"/>
    <n v="290.53979172761228"/>
    <n v="0"/>
    <n v="219410.65325999999"/>
    <n v="173970.06340000001"/>
    <n v="0"/>
    <n v="266499.95664332778"/>
    <n v="157658.22204327979"/>
  </r>
  <r>
    <s v="Sistema de Compensação"/>
    <x v="1"/>
    <x v="1"/>
    <x v="2"/>
    <x v="1"/>
    <x v="0"/>
    <x v="0"/>
    <x v="1"/>
    <x v="0"/>
    <n v="0"/>
    <n v="0"/>
    <n v="2.3889999999999998"/>
    <n v="2.3889999999999998"/>
    <n v="2.3889999999999998"/>
    <n v="2.3889999999999998"/>
    <n v="21"/>
    <x v="0"/>
    <n v="0"/>
    <n v="0"/>
    <n v="18"/>
    <n v="56"/>
    <n v="0"/>
    <n v="404.34"/>
    <n v="320.60000000000002"/>
    <m/>
    <n v="491.3677083274257"/>
    <n v="290.53979172761228"/>
    <n v="0"/>
    <n v="965.96825999999987"/>
    <n v="765.91340000000002"/>
    <n v="0"/>
    <n v="1173.2816779127745"/>
    <n v="694.09956243726572"/>
  </r>
  <r>
    <s v="Regular"/>
    <x v="1"/>
    <x v="1"/>
    <x v="2"/>
    <x v="1"/>
    <x v="0"/>
    <x v="0"/>
    <x v="1"/>
    <x v="1"/>
    <n v="0"/>
    <n v="0"/>
    <n v="502.65699999999998"/>
    <n v="502.65699999999998"/>
    <n v="502.65699999999998"/>
    <n v="502.65699999999998"/>
    <n v="2965"/>
    <x v="0"/>
    <n v="0"/>
    <n v="0"/>
    <n v="18"/>
    <n v="56"/>
    <n v="0"/>
    <n v="404.34"/>
    <n v="320.60000000000002"/>
    <m/>
    <n v="491.3677083274257"/>
    <n v="290.53979172761228"/>
    <n v="0"/>
    <n v="203244.33137999999"/>
    <n v="161151.83420000001"/>
    <n v="0"/>
    <n v="246864.0637817503"/>
    <n v="146041.8600904264"/>
  </r>
  <r>
    <s v="Sistema de Compensação"/>
    <x v="1"/>
    <x v="1"/>
    <x v="2"/>
    <x v="1"/>
    <x v="0"/>
    <x v="0"/>
    <x v="1"/>
    <x v="1"/>
    <n v="0"/>
    <n v="0"/>
    <n v="2.5299999999999998"/>
    <n v="2.5299999999999998"/>
    <n v="2.5299999999999998"/>
    <n v="2.5299999999999998"/>
    <n v="23"/>
    <x v="0"/>
    <n v="0"/>
    <n v="0"/>
    <n v="18"/>
    <n v="56"/>
    <n v="0"/>
    <n v="404.34"/>
    <n v="320.60000000000002"/>
    <m/>
    <n v="491.3677083274257"/>
    <n v="290.53979172761228"/>
    <n v="0"/>
    <n v="1022.9801999999999"/>
    <n v="811.11799999999994"/>
    <n v="0"/>
    <n v="1242.5293617075426"/>
    <n v="735.06567307085902"/>
  </r>
  <r>
    <s v="Regular"/>
    <x v="1"/>
    <x v="1"/>
    <x v="2"/>
    <x v="1"/>
    <x v="0"/>
    <x v="0"/>
    <x v="1"/>
    <x v="2"/>
    <n v="0"/>
    <n v="0"/>
    <n v="562.58399999999995"/>
    <n v="562.58399999999995"/>
    <n v="562.58399999999995"/>
    <n v="562.58399999999995"/>
    <n v="2968"/>
    <x v="0"/>
    <n v="0"/>
    <n v="0"/>
    <n v="18"/>
    <n v="56"/>
    <n v="0"/>
    <n v="404.34"/>
    <n v="320.60000000000002"/>
    <m/>
    <n v="491.3677083274257"/>
    <n v="290.53979172761228"/>
    <n v="0"/>
    <n v="227475.21455999996"/>
    <n v="180364.43039999998"/>
    <n v="0"/>
    <n v="276295.31163117633"/>
    <n v="163453.03818928701"/>
  </r>
  <r>
    <s v="Sistema de Compensação"/>
    <x v="1"/>
    <x v="1"/>
    <x v="2"/>
    <x v="1"/>
    <x v="0"/>
    <x v="0"/>
    <x v="1"/>
    <x v="2"/>
    <n v="0"/>
    <n v="0"/>
    <n v="2.69"/>
    <n v="2.69"/>
    <n v="2.69"/>
    <n v="2.69"/>
    <n v="24"/>
    <x v="0"/>
    <n v="0"/>
    <n v="0"/>
    <n v="18"/>
    <n v="56"/>
    <n v="0"/>
    <n v="404.34"/>
    <n v="320.60000000000002"/>
    <m/>
    <n v="491.3677083274257"/>
    <n v="290.53979172761228"/>
    <n v="0"/>
    <n v="1087.6745999999998"/>
    <n v="862.41399999999999"/>
    <n v="0"/>
    <n v="1321.1082936732371"/>
    <n v="781.55203974727704"/>
  </r>
  <r>
    <s v="Regular"/>
    <x v="1"/>
    <x v="1"/>
    <x v="2"/>
    <x v="1"/>
    <x v="0"/>
    <x v="0"/>
    <x v="1"/>
    <x v="3"/>
    <n v="0"/>
    <n v="0"/>
    <n v="559.34100000000001"/>
    <n v="559.34100000000001"/>
    <n v="559.34100000000001"/>
    <n v="559.34100000000001"/>
    <n v="2956"/>
    <x v="0"/>
    <n v="0"/>
    <n v="0"/>
    <n v="18"/>
    <n v="56"/>
    <n v="0"/>
    <n v="404.34"/>
    <n v="320.60000000000002"/>
    <m/>
    <n v="491.3677083274257"/>
    <n v="290.53979172761228"/>
    <n v="0"/>
    <n v="226163.93993999998"/>
    <n v="179324.72460000002"/>
    <n v="0"/>
    <n v="274702.6149038967"/>
    <n v="162510.81764471438"/>
  </r>
  <r>
    <s v="Sistema de Compensação"/>
    <x v="1"/>
    <x v="1"/>
    <x v="2"/>
    <x v="1"/>
    <x v="0"/>
    <x v="0"/>
    <x v="1"/>
    <x v="3"/>
    <n v="0"/>
    <n v="0"/>
    <n v="2.0569999999999999"/>
    <n v="2.0569999999999999"/>
    <n v="2.0569999999999999"/>
    <n v="2.0569999999999999"/>
    <n v="24"/>
    <x v="0"/>
    <n v="0"/>
    <n v="0"/>
    <n v="18"/>
    <n v="56"/>
    <n v="0"/>
    <n v="404.34"/>
    <n v="320.60000000000002"/>
    <m/>
    <n v="491.3677083274257"/>
    <n v="290.53979172761228"/>
    <n v="0"/>
    <n v="831.72737999999993"/>
    <n v="659.4742"/>
    <n v="0"/>
    <n v="1010.2303940839586"/>
    <n v="597.64035158369848"/>
  </r>
  <r>
    <s v="Regular"/>
    <x v="1"/>
    <x v="1"/>
    <x v="2"/>
    <x v="1"/>
    <x v="0"/>
    <x v="0"/>
    <x v="1"/>
    <x v="4"/>
    <n v="0"/>
    <n v="0"/>
    <n v="530.17100000000005"/>
    <n v="530.17100000000005"/>
    <n v="530.17100000000005"/>
    <n v="530.17100000000005"/>
    <n v="2952"/>
    <x v="0"/>
    <n v="0"/>
    <n v="0"/>
    <n v="18"/>
    <n v="56"/>
    <n v="0"/>
    <n v="404.34"/>
    <n v="320.60000000000002"/>
    <m/>
    <n v="491.3677083274257"/>
    <n v="290.53979172761228"/>
    <n v="0"/>
    <n v="214369.34213999999"/>
    <n v="169972.82260000001"/>
    <n v="0"/>
    <n v="260376.69336990107"/>
    <n v="154035.77192001994"/>
  </r>
  <r>
    <s v="Sistema de Compensação"/>
    <x v="1"/>
    <x v="1"/>
    <x v="2"/>
    <x v="1"/>
    <x v="0"/>
    <x v="0"/>
    <x v="1"/>
    <x v="4"/>
    <n v="0"/>
    <n v="0"/>
    <n v="2.0190000000000001"/>
    <n v="2.0190000000000001"/>
    <n v="2.0190000000000001"/>
    <n v="2.0190000000000001"/>
    <n v="27"/>
    <x v="0"/>
    <n v="0"/>
    <n v="0"/>
    <n v="18"/>
    <n v="56"/>
    <n v="0"/>
    <n v="404.34"/>
    <n v="320.60000000000002"/>
    <m/>
    <n v="491.3677083274257"/>
    <n v="290.53979172761228"/>
    <n v="0"/>
    <n v="816.36246000000006"/>
    <n v="647.29140000000007"/>
    <n v="0"/>
    <n v="991.56789774210631"/>
    <n v="586.59983949804928"/>
  </r>
  <r>
    <s v="Regular"/>
    <x v="1"/>
    <x v="1"/>
    <x v="2"/>
    <x v="1"/>
    <x v="0"/>
    <x v="0"/>
    <x v="1"/>
    <x v="5"/>
    <n v="0"/>
    <n v="0"/>
    <n v="510.87900000000002"/>
    <n v="510.87900000000002"/>
    <n v="510.87900000000002"/>
    <n v="510.87900000000002"/>
    <n v="2977"/>
    <x v="0"/>
    <n v="0"/>
    <n v="0"/>
    <n v="18"/>
    <n v="56"/>
    <n v="0"/>
    <n v="404.34"/>
    <n v="320.60000000000002"/>
    <m/>
    <n v="491.3677083274257"/>
    <n v="290.53979172761228"/>
    <n v="0"/>
    <n v="206568.81485999998"/>
    <n v="163787.80740000002"/>
    <n v="0"/>
    <n v="250902.03864813744"/>
    <n v="148430.67825801083"/>
  </r>
  <r>
    <s v="Sistema de Compensação"/>
    <x v="1"/>
    <x v="1"/>
    <x v="2"/>
    <x v="1"/>
    <x v="0"/>
    <x v="0"/>
    <x v="1"/>
    <x v="5"/>
    <n v="0"/>
    <n v="0"/>
    <n v="3.1949999999999998"/>
    <n v="3.1949999999999998"/>
    <n v="3.1949999999999998"/>
    <n v="3.1949999999999998"/>
    <n v="38"/>
    <x v="0"/>
    <n v="0"/>
    <n v="0"/>
    <n v="18"/>
    <n v="56"/>
    <n v="0"/>
    <n v="404.34"/>
    <n v="320.60000000000002"/>
    <m/>
    <n v="491.3677083274257"/>
    <n v="290.53979172761228"/>
    <n v="0"/>
    <n v="1291.8662999999999"/>
    <n v="1024.317"/>
    <n v="0"/>
    <n v="1569.12304768996"/>
    <n v="928.27463456972123"/>
  </r>
  <r>
    <s v="Regular"/>
    <x v="1"/>
    <x v="1"/>
    <x v="2"/>
    <x v="1"/>
    <x v="0"/>
    <x v="0"/>
    <x v="1"/>
    <x v="6"/>
    <n v="0"/>
    <n v="0"/>
    <n v="683.03399999999999"/>
    <n v="683.03399999999999"/>
    <n v="683.03399999999999"/>
    <n v="683.03399999999999"/>
    <n v="2972"/>
    <x v="0"/>
    <n v="0"/>
    <n v="0"/>
    <n v="18"/>
    <n v="56"/>
    <n v="0"/>
    <n v="404.34"/>
    <n v="320.60000000000002"/>
    <m/>
    <n v="491.3677083274257"/>
    <n v="290.53979172761228"/>
    <n v="0"/>
    <n v="276177.96755999996"/>
    <n v="218980.7004"/>
    <n v="0"/>
    <n v="335450.5138516007"/>
    <n v="198448.55610287792"/>
  </r>
  <r>
    <s v="Sistema de Compensação"/>
    <x v="1"/>
    <x v="1"/>
    <x v="2"/>
    <x v="1"/>
    <x v="0"/>
    <x v="0"/>
    <x v="1"/>
    <x v="6"/>
    <n v="0"/>
    <n v="0"/>
    <n v="4.5869999999999997"/>
    <n v="4.5869999999999997"/>
    <n v="4.5869999999999997"/>
    <n v="4.5869999999999997"/>
    <n v="44"/>
    <x v="0"/>
    <n v="0"/>
    <n v="0"/>
    <n v="18"/>
    <n v="56"/>
    <n v="0"/>
    <n v="404.34"/>
    <n v="320.60000000000002"/>
    <m/>
    <n v="491.3677083274257"/>
    <n v="290.53979172761228"/>
    <n v="0"/>
    <n v="1854.7075799999998"/>
    <n v="1470.5922"/>
    <n v="0"/>
    <n v="2252.7597557915014"/>
    <n v="1332.7060246545575"/>
  </r>
  <r>
    <s v="Regular"/>
    <x v="1"/>
    <x v="1"/>
    <x v="2"/>
    <x v="1"/>
    <x v="0"/>
    <x v="0"/>
    <x v="1"/>
    <x v="7"/>
    <n v="0"/>
    <n v="0"/>
    <n v="543.96900000000005"/>
    <n v="543.96900000000005"/>
    <n v="543.96900000000005"/>
    <n v="543.96900000000005"/>
    <n v="2975"/>
    <x v="0"/>
    <n v="0"/>
    <n v="0"/>
    <n v="18"/>
    <n v="56"/>
    <n v="0"/>
    <n v="404.34"/>
    <n v="320.60000000000002"/>
    <m/>
    <n v="491.3677083274257"/>
    <n v="290.53979172761228"/>
    <n v="0"/>
    <n v="219948.42546"/>
    <n v="174396.46140000003"/>
    <n v="0"/>
    <n v="267153.14401529264"/>
    <n v="158044.63996627755"/>
  </r>
  <r>
    <s v="Sistema de Compensação"/>
    <x v="1"/>
    <x v="1"/>
    <x v="2"/>
    <x v="1"/>
    <x v="0"/>
    <x v="0"/>
    <x v="1"/>
    <x v="7"/>
    <n v="0"/>
    <n v="0"/>
    <n v="3.645"/>
    <n v="3.645"/>
    <n v="3.645"/>
    <n v="3.645"/>
    <n v="48"/>
    <x v="0"/>
    <n v="0"/>
    <n v="0"/>
    <n v="18"/>
    <n v="56"/>
    <n v="0"/>
    <n v="404.34"/>
    <n v="320.60000000000002"/>
    <m/>
    <n v="491.3677083274257"/>
    <n v="290.53979172761228"/>
    <n v="0"/>
    <n v="1473.8192999999999"/>
    <n v="1168.587"/>
    <n v="0"/>
    <n v="1790.1262938434757"/>
    <n v="1059.0175408471468"/>
  </r>
  <r>
    <s v="Regular"/>
    <x v="1"/>
    <x v="1"/>
    <x v="2"/>
    <x v="1"/>
    <x v="0"/>
    <x v="0"/>
    <x v="1"/>
    <x v="8"/>
    <n v="0"/>
    <n v="0"/>
    <n v="587.64499999999998"/>
    <n v="587.64499999999998"/>
    <n v="587.64499999999998"/>
    <n v="587.64499999999998"/>
    <n v="2968"/>
    <x v="0"/>
    <n v="0"/>
    <n v="0"/>
    <n v="18"/>
    <n v="56"/>
    <n v="0"/>
    <n v="404.34"/>
    <n v="320.60000000000002"/>
    <m/>
    <n v="491.3677083274257"/>
    <n v="290.53979172761228"/>
    <n v="0"/>
    <n v="237608.37929999997"/>
    <n v="188398.98699999999"/>
    <n v="0"/>
    <n v="288603.22796862805"/>
    <n v="170734.25590977271"/>
  </r>
  <r>
    <s v="Sistema de Compensação"/>
    <x v="1"/>
    <x v="1"/>
    <x v="2"/>
    <x v="1"/>
    <x v="0"/>
    <x v="0"/>
    <x v="1"/>
    <x v="8"/>
    <n v="0"/>
    <n v="0"/>
    <n v="6.05"/>
    <n v="6.05"/>
    <n v="6.05"/>
    <n v="6.05"/>
    <n v="56"/>
    <x v="0"/>
    <n v="0"/>
    <n v="0"/>
    <n v="18"/>
    <n v="56"/>
    <n v="0"/>
    <n v="404.34"/>
    <n v="320.60000000000002"/>
    <m/>
    <n v="491.3677083274257"/>
    <n v="290.53979172761228"/>
    <n v="0"/>
    <n v="2446.2569999999996"/>
    <n v="1939.63"/>
    <n v="0"/>
    <n v="2971.2658649528194"/>
    <n v="1757.7657399520542"/>
  </r>
  <r>
    <s v="Regular"/>
    <x v="1"/>
    <x v="1"/>
    <x v="2"/>
    <x v="1"/>
    <x v="0"/>
    <x v="0"/>
    <x v="1"/>
    <x v="9"/>
    <n v="0"/>
    <n v="0"/>
    <n v="522.48199999999997"/>
    <n v="522.48199999999997"/>
    <n v="522.48199999999997"/>
    <n v="522.48199999999997"/>
    <n v="2948"/>
    <x v="0"/>
    <n v="0"/>
    <n v="0"/>
    <n v="18"/>
    <n v="56"/>
    <n v="0"/>
    <n v="404.34"/>
    <n v="320.60000000000002"/>
    <m/>
    <n v="491.3677083274257"/>
    <n v="290.53979172761228"/>
    <n v="0"/>
    <n v="211260.37187999996"/>
    <n v="167507.7292"/>
    <n v="0"/>
    <n v="256600.48457062463"/>
    <n v="151801.81146142632"/>
  </r>
  <r>
    <s v="Sistema de Compensação"/>
    <x v="1"/>
    <x v="1"/>
    <x v="2"/>
    <x v="1"/>
    <x v="0"/>
    <x v="0"/>
    <x v="1"/>
    <x v="9"/>
    <n v="0"/>
    <n v="0"/>
    <n v="5.3959999999999999"/>
    <n v="5.3959999999999999"/>
    <n v="5.3959999999999999"/>
    <n v="5.3959999999999999"/>
    <n v="58"/>
    <x v="0"/>
    <n v="0"/>
    <n v="0"/>
    <n v="18"/>
    <n v="56"/>
    <n v="0"/>
    <n v="404.34"/>
    <n v="320.60000000000002"/>
    <m/>
    <n v="491.3677083274257"/>
    <n v="290.53979172761228"/>
    <n v="0"/>
    <n v="2181.81864"/>
    <n v="1729.9576000000002"/>
    <n v="0"/>
    <n v="2650.0744805430436"/>
    <n v="1567.7527161621958"/>
  </r>
  <r>
    <s v="Regular"/>
    <x v="1"/>
    <x v="1"/>
    <x v="2"/>
    <x v="1"/>
    <x v="0"/>
    <x v="0"/>
    <x v="1"/>
    <x v="10"/>
    <n v="0"/>
    <n v="0"/>
    <n v="504.49299999999999"/>
    <n v="504.49299999999999"/>
    <n v="504.49299999999999"/>
    <n v="504.49299999999999"/>
    <n v="2998"/>
    <x v="0"/>
    <n v="0"/>
    <n v="0"/>
    <n v="18"/>
    <n v="56"/>
    <n v="0"/>
    <n v="404.34"/>
    <n v="320.60000000000002"/>
    <m/>
    <n v="491.3677083274257"/>
    <n v="290.53979172761228"/>
    <n v="0"/>
    <n v="203986.69962"/>
    <n v="161740.4558"/>
    <n v="0"/>
    <n v="247765.75702605664"/>
    <n v="146575.29114803829"/>
  </r>
  <r>
    <s v="Sistema de Compensação"/>
    <x v="1"/>
    <x v="1"/>
    <x v="2"/>
    <x v="1"/>
    <x v="0"/>
    <x v="0"/>
    <x v="1"/>
    <x v="10"/>
    <n v="0"/>
    <n v="0"/>
    <n v="4.7649999999999997"/>
    <n v="4.7649999999999997"/>
    <n v="4.7649999999999997"/>
    <n v="4.7649999999999997"/>
    <n v="58"/>
    <x v="0"/>
    <n v="0"/>
    <n v="0"/>
    <n v="18"/>
    <n v="56"/>
    <n v="0"/>
    <n v="404.34"/>
    <n v="320.60000000000002"/>
    <m/>
    <n v="491.3677083274257"/>
    <n v="290.53979172761228"/>
    <n v="0"/>
    <n v="1926.6800999999998"/>
    <n v="1527.6590000000001"/>
    <n v="0"/>
    <n v="2340.178817603336"/>
    <n v="1384.4221075820724"/>
  </r>
  <r>
    <s v="Regular"/>
    <x v="1"/>
    <x v="1"/>
    <x v="2"/>
    <x v="1"/>
    <x v="0"/>
    <x v="0"/>
    <x v="1"/>
    <x v="11"/>
    <n v="0"/>
    <n v="0"/>
    <n v="570.91700000000003"/>
    <n v="570.91700000000003"/>
    <n v="570.91700000000003"/>
    <n v="570.91700000000003"/>
    <n v="3004"/>
    <x v="0"/>
    <n v="0"/>
    <n v="0"/>
    <n v="18"/>
    <n v="56"/>
    <n v="0"/>
    <n v="404.34"/>
    <n v="320.60000000000002"/>
    <m/>
    <n v="491.3677083274257"/>
    <n v="290.53979172761228"/>
    <n v="0"/>
    <n v="230844.57978"/>
    <n v="183035.99020000003"/>
    <n v="0"/>
    <n v="280387.80063161469"/>
    <n v="165874.10627375322"/>
  </r>
  <r>
    <s v="Sistema de Compensação"/>
    <x v="1"/>
    <x v="1"/>
    <x v="2"/>
    <x v="1"/>
    <x v="0"/>
    <x v="0"/>
    <x v="1"/>
    <x v="11"/>
    <n v="0"/>
    <n v="0"/>
    <n v="9.89"/>
    <n v="9.89"/>
    <n v="9.89"/>
    <n v="9.89"/>
    <n v="62"/>
    <x v="0"/>
    <n v="0"/>
    <n v="0"/>
    <n v="18"/>
    <n v="56"/>
    <n v="0"/>
    <n v="404.34"/>
    <n v="320.60000000000002"/>
    <m/>
    <n v="491.3677083274257"/>
    <n v="290.53979172761228"/>
    <n v="0"/>
    <n v="3998.9225999999999"/>
    <n v="3170.7340000000004"/>
    <n v="0"/>
    <n v="4857.1602321294858"/>
    <n v="2873.4385401860854"/>
  </r>
  <r>
    <s v="Regular"/>
    <x v="1"/>
    <x v="1"/>
    <x v="2"/>
    <x v="2"/>
    <x v="0"/>
    <x v="0"/>
    <x v="1"/>
    <x v="0"/>
    <n v="0"/>
    <n v="0"/>
    <n v="10.5"/>
    <n v="10.5"/>
    <n v="10.5"/>
    <n v="10.5"/>
    <n v="12"/>
    <x v="0"/>
    <n v="0"/>
    <n v="0"/>
    <n v="19"/>
    <n v="57"/>
    <n v="0"/>
    <n v="115.28"/>
    <n v="112.21"/>
    <m/>
    <n v="128.62854238992742"/>
    <n v="101.68892710466429"/>
    <n v="0"/>
    <n v="1210.44"/>
    <n v="1178.2049999999999"/>
    <n v="0"/>
    <n v="1349.6832105779918"/>
    <n v="1067.7337345989749"/>
  </r>
  <r>
    <s v="Regular"/>
    <x v="1"/>
    <x v="1"/>
    <x v="2"/>
    <x v="2"/>
    <x v="0"/>
    <x v="0"/>
    <x v="1"/>
    <x v="1"/>
    <n v="0"/>
    <n v="0"/>
    <n v="10.35"/>
    <n v="10.35"/>
    <n v="10.35"/>
    <n v="10.35"/>
    <n v="12"/>
    <x v="0"/>
    <n v="0"/>
    <n v="0"/>
    <n v="19"/>
    <n v="57"/>
    <n v="0"/>
    <n v="115.28"/>
    <n v="112.21"/>
    <m/>
    <n v="128.62854238992742"/>
    <n v="101.68892710466429"/>
    <n v="0"/>
    <n v="1193.1479999999999"/>
    <n v="1161.3734999999999"/>
    <n v="0"/>
    <n v="1330.402021855449"/>
    <n v="1052.4803955332754"/>
  </r>
  <r>
    <s v="Regular"/>
    <x v="1"/>
    <x v="1"/>
    <x v="2"/>
    <x v="2"/>
    <x v="0"/>
    <x v="0"/>
    <x v="1"/>
    <x v="2"/>
    <n v="0"/>
    <n v="0"/>
    <n v="10.38"/>
    <n v="10.38"/>
    <n v="10.38"/>
    <n v="10.38"/>
    <n v="10"/>
    <x v="0"/>
    <n v="0"/>
    <n v="0"/>
    <n v="19"/>
    <n v="57"/>
    <n v="0"/>
    <n v="115.28"/>
    <n v="112.21"/>
    <m/>
    <n v="128.62854238992742"/>
    <n v="101.68892710466429"/>
    <n v="0"/>
    <n v="1196.6064000000001"/>
    <n v="1164.7398000000001"/>
    <n v="0"/>
    <n v="1334.2582595999577"/>
    <n v="1055.5310633464153"/>
  </r>
  <r>
    <s v="Regular"/>
    <x v="1"/>
    <x v="1"/>
    <x v="2"/>
    <x v="2"/>
    <x v="0"/>
    <x v="0"/>
    <x v="1"/>
    <x v="3"/>
    <n v="0"/>
    <n v="0"/>
    <n v="10.59"/>
    <n v="10.59"/>
    <n v="10.59"/>
    <n v="10.59"/>
    <n v="10"/>
    <x v="0"/>
    <n v="0"/>
    <n v="0"/>
    <n v="19"/>
    <n v="57"/>
    <n v="0"/>
    <n v="115.28"/>
    <n v="112.21"/>
    <m/>
    <n v="128.62854238992742"/>
    <n v="101.68892710466429"/>
    <n v="0"/>
    <n v="1220.8152"/>
    <n v="1188.3038999999999"/>
    <n v="0"/>
    <n v="1361.2519238115174"/>
    <n v="1076.8857380383947"/>
  </r>
  <r>
    <s v="Regular"/>
    <x v="1"/>
    <x v="1"/>
    <x v="2"/>
    <x v="2"/>
    <x v="0"/>
    <x v="0"/>
    <x v="1"/>
    <x v="4"/>
    <n v="0"/>
    <n v="0"/>
    <n v="10.74"/>
    <n v="10.74"/>
    <n v="10.74"/>
    <n v="10.74"/>
    <n v="6"/>
    <x v="0"/>
    <n v="0"/>
    <n v="0"/>
    <n v="19"/>
    <n v="57"/>
    <n v="0"/>
    <n v="115.28"/>
    <n v="112.21"/>
    <m/>
    <n v="128.62854238992742"/>
    <n v="101.68892710466429"/>
    <n v="0"/>
    <n v="1238.1072000000001"/>
    <n v="1205.1353999999999"/>
    <n v="0"/>
    <n v="1380.5331125340601"/>
    <n v="1092.1390771040944"/>
  </r>
  <r>
    <s v="Regular"/>
    <x v="1"/>
    <x v="1"/>
    <x v="2"/>
    <x v="2"/>
    <x v="0"/>
    <x v="0"/>
    <x v="1"/>
    <x v="5"/>
    <n v="0"/>
    <n v="0"/>
    <n v="10.8"/>
    <n v="10.8"/>
    <n v="10.8"/>
    <n v="10.8"/>
    <n v="9"/>
    <x v="0"/>
    <n v="0"/>
    <n v="0"/>
    <n v="19"/>
    <n v="57"/>
    <n v="0"/>
    <n v="115.28"/>
    <n v="112.21"/>
    <m/>
    <n v="128.62854238992742"/>
    <n v="101.68892710466429"/>
    <n v="0"/>
    <n v="1245.0240000000001"/>
    <n v="1211.8679999999999"/>
    <n v="0"/>
    <n v="1388.2455880230773"/>
    <n v="1098.2404127303744"/>
  </r>
  <r>
    <s v="Regular"/>
    <x v="1"/>
    <x v="1"/>
    <x v="2"/>
    <x v="2"/>
    <x v="0"/>
    <x v="0"/>
    <x v="1"/>
    <x v="6"/>
    <n v="0"/>
    <n v="0"/>
    <n v="10.8"/>
    <n v="10.8"/>
    <n v="10.8"/>
    <n v="10.8"/>
    <n v="7"/>
    <x v="0"/>
    <n v="0"/>
    <n v="0"/>
    <n v="19"/>
    <n v="57"/>
    <n v="0"/>
    <n v="115.28"/>
    <n v="112.21"/>
    <m/>
    <n v="128.62854238992742"/>
    <n v="101.68892710466429"/>
    <n v="0"/>
    <n v="1245.0240000000001"/>
    <n v="1211.8679999999999"/>
    <n v="0"/>
    <n v="1388.2455880230773"/>
    <n v="1098.2404127303744"/>
  </r>
  <r>
    <s v="Regular"/>
    <x v="1"/>
    <x v="1"/>
    <x v="2"/>
    <x v="2"/>
    <x v="0"/>
    <x v="0"/>
    <x v="1"/>
    <x v="7"/>
    <n v="0"/>
    <n v="0"/>
    <n v="10.92"/>
    <n v="10.92"/>
    <n v="10.92"/>
    <n v="10.92"/>
    <n v="8"/>
    <x v="0"/>
    <n v="0"/>
    <n v="0"/>
    <n v="19"/>
    <n v="57"/>
    <n v="0"/>
    <n v="115.28"/>
    <n v="112.21"/>
    <m/>
    <n v="128.62854238992742"/>
    <n v="101.68892710466429"/>
    <n v="0"/>
    <n v="1258.8576"/>
    <n v="1225.3332"/>
    <n v="0"/>
    <n v="1403.6705390011114"/>
    <n v="1110.443083982934"/>
  </r>
  <r>
    <s v="Regular"/>
    <x v="1"/>
    <x v="1"/>
    <x v="2"/>
    <x v="2"/>
    <x v="0"/>
    <x v="0"/>
    <x v="1"/>
    <x v="8"/>
    <n v="0"/>
    <n v="0"/>
    <n v="11.13"/>
    <n v="11.13"/>
    <n v="11.13"/>
    <n v="11.13"/>
    <n v="9"/>
    <x v="0"/>
    <n v="0"/>
    <n v="0"/>
    <n v="19"/>
    <n v="57"/>
    <n v="0"/>
    <n v="115.28"/>
    <n v="112.21"/>
    <m/>
    <n v="128.62854238992742"/>
    <n v="101.68892710466429"/>
    <n v="0"/>
    <n v="1283.0664000000002"/>
    <n v="1248.8973000000001"/>
    <n v="0"/>
    <n v="1430.6642032126713"/>
    <n v="1131.7977586749137"/>
  </r>
  <r>
    <s v="Regular"/>
    <x v="1"/>
    <x v="1"/>
    <x v="2"/>
    <x v="2"/>
    <x v="0"/>
    <x v="0"/>
    <x v="1"/>
    <x v="9"/>
    <n v="0"/>
    <n v="0"/>
    <n v="11.34"/>
    <n v="11.34"/>
    <n v="11.34"/>
    <n v="11.34"/>
    <n v="10"/>
    <x v="0"/>
    <n v="0"/>
    <n v="0"/>
    <n v="19"/>
    <n v="57"/>
    <n v="0"/>
    <n v="115.28"/>
    <n v="112.21"/>
    <m/>
    <n v="128.62854238992742"/>
    <n v="101.68892710466429"/>
    <n v="0"/>
    <n v="1307.2752"/>
    <n v="1272.4613999999999"/>
    <n v="0"/>
    <n v="1457.6578674242312"/>
    <n v="1153.1524333668931"/>
  </r>
  <r>
    <s v="Regular"/>
    <x v="1"/>
    <x v="1"/>
    <x v="2"/>
    <x v="2"/>
    <x v="0"/>
    <x v="0"/>
    <x v="1"/>
    <x v="10"/>
    <n v="0"/>
    <n v="0"/>
    <n v="9.99"/>
    <n v="9.99"/>
    <n v="9.99"/>
    <n v="9.99"/>
    <n v="5"/>
    <x v="0"/>
    <n v="0"/>
    <n v="0"/>
    <n v="19"/>
    <n v="57"/>
    <n v="0"/>
    <n v="115.28"/>
    <n v="112.21"/>
    <m/>
    <n v="128.62854238992742"/>
    <n v="101.68892710466429"/>
    <n v="0"/>
    <n v="1151.6472000000001"/>
    <n v="1120.9778999999999"/>
    <n v="0"/>
    <n v="1284.1271689213465"/>
    <n v="1015.8723817755963"/>
  </r>
  <r>
    <s v="Regular"/>
    <x v="1"/>
    <x v="1"/>
    <x v="2"/>
    <x v="2"/>
    <x v="0"/>
    <x v="0"/>
    <x v="1"/>
    <x v="11"/>
    <n v="0"/>
    <n v="0"/>
    <n v="9.8699999999999992"/>
    <n v="9.8699999999999992"/>
    <n v="9.8699999999999992"/>
    <n v="9.8699999999999992"/>
    <n v="7"/>
    <x v="0"/>
    <n v="0"/>
    <n v="0"/>
    <n v="19"/>
    <n v="57"/>
    <n v="0"/>
    <n v="115.28"/>
    <n v="112.21"/>
    <m/>
    <n v="128.62854238992742"/>
    <n v="101.68892710466429"/>
    <n v="0"/>
    <n v="1137.8136"/>
    <n v="1107.5126999999998"/>
    <n v="0"/>
    <n v="1268.7022179433122"/>
    <n v="1003.6697105230364"/>
  </r>
  <r>
    <s v="Regular"/>
    <x v="1"/>
    <x v="1"/>
    <x v="2"/>
    <x v="3"/>
    <x v="0"/>
    <x v="0"/>
    <x v="1"/>
    <x v="0"/>
    <n v="0"/>
    <n v="0"/>
    <n v="21.623999999999999"/>
    <n v="21.623999999999999"/>
    <n v="21.623999999999999"/>
    <n v="21.623999999999999"/>
    <n v="60"/>
    <x v="0"/>
    <n v="0"/>
    <n v="0"/>
    <n v="20"/>
    <n v="58"/>
    <n v="0"/>
    <n v="197.62"/>
    <n v="192.36"/>
    <m/>
    <n v="220.50607266844699"/>
    <n v="174.32387503656736"/>
    <n v="0"/>
    <n v="4273.3348799999994"/>
    <n v="4159.5926399999998"/>
    <n v="0"/>
    <n v="4764.9877135573051"/>
    <n v="3769.5794737907322"/>
  </r>
  <r>
    <s v="Regular"/>
    <x v="1"/>
    <x v="1"/>
    <x v="2"/>
    <x v="3"/>
    <x v="0"/>
    <x v="0"/>
    <x v="1"/>
    <x v="1"/>
    <n v="0"/>
    <n v="0"/>
    <n v="21.747"/>
    <n v="21.747"/>
    <n v="21.747"/>
    <n v="21.747"/>
    <n v="56"/>
    <x v="0"/>
    <n v="0"/>
    <n v="0"/>
    <n v="20"/>
    <n v="58"/>
    <n v="0"/>
    <n v="197.62"/>
    <n v="192.36"/>
    <m/>
    <n v="220.50607266844699"/>
    <n v="174.32387503656736"/>
    <n v="0"/>
    <n v="4297.6421399999999"/>
    <n v="4183.2529199999999"/>
    <n v="0"/>
    <n v="4792.0915559901368"/>
    <n v="3791.0213104202303"/>
  </r>
  <r>
    <s v="Regular"/>
    <x v="1"/>
    <x v="1"/>
    <x v="2"/>
    <x v="3"/>
    <x v="0"/>
    <x v="0"/>
    <x v="1"/>
    <x v="2"/>
    <n v="0"/>
    <n v="0"/>
    <n v="22.292000000000002"/>
    <n v="22.292000000000002"/>
    <n v="22.292000000000002"/>
    <n v="22.292000000000002"/>
    <n v="46"/>
    <x v="0"/>
    <n v="0"/>
    <n v="0"/>
    <n v="20"/>
    <n v="58"/>
    <n v="0"/>
    <n v="197.62"/>
    <n v="192.36"/>
    <m/>
    <n v="220.50607266844699"/>
    <n v="174.32387503656736"/>
    <n v="0"/>
    <n v="4405.3450400000002"/>
    <n v="4288.0891200000005"/>
    <n v="0"/>
    <n v="4912.1858171762606"/>
    <n v="3886.0278223151599"/>
  </r>
  <r>
    <s v="Regular"/>
    <x v="1"/>
    <x v="1"/>
    <x v="2"/>
    <x v="3"/>
    <x v="0"/>
    <x v="0"/>
    <x v="1"/>
    <x v="3"/>
    <n v="0"/>
    <n v="0"/>
    <n v="22.673999999999999"/>
    <n v="22.673999999999999"/>
    <n v="22.673999999999999"/>
    <n v="22.673999999999999"/>
    <n v="52"/>
    <x v="0"/>
    <n v="0"/>
    <n v="0"/>
    <n v="20"/>
    <n v="58"/>
    <n v="0"/>
    <n v="197.62"/>
    <n v="192.36"/>
    <m/>
    <n v="220.50607266844699"/>
    <n v="174.32387503656736"/>
    <n v="0"/>
    <n v="4480.8358799999996"/>
    <n v="4361.5706399999999"/>
    <n v="0"/>
    <n v="4996.3619782278183"/>
    <n v="3952.6195425791284"/>
  </r>
  <r>
    <s v="Regular"/>
    <x v="1"/>
    <x v="1"/>
    <x v="2"/>
    <x v="3"/>
    <x v="0"/>
    <x v="0"/>
    <x v="1"/>
    <x v="4"/>
    <n v="0"/>
    <n v="0"/>
    <n v="23.405999999999999"/>
    <n v="23.405999999999999"/>
    <n v="23.405999999999999"/>
    <n v="23.405999999999999"/>
    <n v="44"/>
    <x v="0"/>
    <n v="0"/>
    <n v="0"/>
    <n v="20"/>
    <n v="58"/>
    <n v="0"/>
    <n v="197.62"/>
    <n v="192.36"/>
    <m/>
    <n v="220.50607266844699"/>
    <n v="174.32387503656736"/>
    <n v="0"/>
    <n v="4625.4937199999995"/>
    <n v="4502.3781600000002"/>
    <n v="0"/>
    <n v="5157.6628941695471"/>
    <n v="4080.2246191058953"/>
  </r>
  <r>
    <s v="Regular"/>
    <x v="1"/>
    <x v="1"/>
    <x v="2"/>
    <x v="3"/>
    <x v="0"/>
    <x v="0"/>
    <x v="1"/>
    <x v="5"/>
    <n v="0"/>
    <n v="0"/>
    <n v="23.407"/>
    <n v="23.407"/>
    <n v="23.407"/>
    <n v="23.407"/>
    <n v="45"/>
    <x v="0"/>
    <n v="0"/>
    <n v="0"/>
    <n v="20"/>
    <n v="58"/>
    <n v="0"/>
    <n v="197.62"/>
    <n v="192.36"/>
    <m/>
    <n v="220.50607266844699"/>
    <n v="174.32387503656736"/>
    <n v="0"/>
    <n v="4625.6913400000003"/>
    <n v="4502.5705200000002"/>
    <n v="0"/>
    <n v="5157.8832506120907"/>
    <n v="4080.3989429809321"/>
  </r>
  <r>
    <s v="Regular"/>
    <x v="1"/>
    <x v="1"/>
    <x v="2"/>
    <x v="3"/>
    <x v="0"/>
    <x v="0"/>
    <x v="1"/>
    <x v="6"/>
    <n v="0"/>
    <n v="0"/>
    <n v="24.22"/>
    <n v="24.22"/>
    <n v="24.22"/>
    <n v="24.22"/>
    <n v="21"/>
    <x v="0"/>
    <n v="0"/>
    <n v="0"/>
    <n v="20"/>
    <n v="58"/>
    <n v="0"/>
    <n v="197.62"/>
    <n v="192.36"/>
    <m/>
    <n v="220.50607266844699"/>
    <n v="174.32387503656736"/>
    <n v="0"/>
    <n v="4786.3563999999997"/>
    <n v="4658.9592000000002"/>
    <n v="0"/>
    <n v="5337.0330383998307"/>
    <n v="4222.1242533856612"/>
  </r>
  <r>
    <s v="Regular"/>
    <x v="1"/>
    <x v="1"/>
    <x v="2"/>
    <x v="3"/>
    <x v="0"/>
    <x v="0"/>
    <x v="1"/>
    <x v="7"/>
    <n v="0"/>
    <n v="0"/>
    <n v="24.114000000000001"/>
    <n v="24.114000000000001"/>
    <n v="24.114000000000001"/>
    <n v="24.114000000000001"/>
    <n v="43"/>
    <x v="0"/>
    <n v="0"/>
    <n v="0"/>
    <n v="20"/>
    <n v="58"/>
    <n v="0"/>
    <n v="197.62"/>
    <n v="192.36"/>
    <m/>
    <n v="220.50607266844699"/>
    <n v="174.32387503656736"/>
    <n v="0"/>
    <n v="4765.4086800000005"/>
    <n v="4638.5690400000003"/>
    <n v="0"/>
    <n v="5313.6752554902369"/>
    <n v="4203.6459226317857"/>
  </r>
  <r>
    <s v="Regular"/>
    <x v="1"/>
    <x v="1"/>
    <x v="2"/>
    <x v="3"/>
    <x v="0"/>
    <x v="0"/>
    <x v="1"/>
    <x v="8"/>
    <n v="0"/>
    <n v="0"/>
    <n v="24.617999999999999"/>
    <n v="24.617999999999999"/>
    <n v="24.617999999999999"/>
    <n v="24.617999999999999"/>
    <n v="35"/>
    <x v="0"/>
    <n v="0"/>
    <n v="0"/>
    <n v="20"/>
    <n v="58"/>
    <n v="0"/>
    <n v="197.62"/>
    <n v="192.36"/>
    <m/>
    <n v="220.50607266844699"/>
    <n v="174.32387503656736"/>
    <n v="0"/>
    <n v="4865.0091599999996"/>
    <n v="4735.5184799999997"/>
    <n v="0"/>
    <n v="5424.7349025320818"/>
    <n v="4291.5051556502149"/>
  </r>
  <r>
    <s v="Regular"/>
    <x v="1"/>
    <x v="1"/>
    <x v="2"/>
    <x v="3"/>
    <x v="0"/>
    <x v="0"/>
    <x v="1"/>
    <x v="9"/>
    <n v="0"/>
    <n v="0"/>
    <n v="24.742000000000001"/>
    <n v="24.742000000000001"/>
    <n v="24.742000000000001"/>
    <n v="24.742000000000001"/>
    <n v="45"/>
    <x v="0"/>
    <n v="0"/>
    <n v="0"/>
    <n v="20"/>
    <n v="58"/>
    <n v="0"/>
    <n v="197.62"/>
    <n v="192.36"/>
    <m/>
    <n v="220.50607266844699"/>
    <n v="174.32387503656736"/>
    <n v="0"/>
    <n v="4889.51404"/>
    <n v="4759.3711200000007"/>
    <n v="0"/>
    <n v="5452.059101407458"/>
    <n v="4313.1213161547494"/>
  </r>
  <r>
    <s v="Regular"/>
    <x v="1"/>
    <x v="1"/>
    <x v="2"/>
    <x v="3"/>
    <x v="0"/>
    <x v="0"/>
    <x v="1"/>
    <x v="10"/>
    <n v="0"/>
    <n v="0"/>
    <n v="21.544"/>
    <n v="21.544"/>
    <n v="21.544"/>
    <n v="21.544"/>
    <n v="54"/>
    <x v="0"/>
    <n v="0"/>
    <n v="0"/>
    <n v="20"/>
    <n v="58"/>
    <n v="0"/>
    <n v="197.62"/>
    <n v="192.36"/>
    <m/>
    <n v="220.50607266844699"/>
    <n v="174.32387503656736"/>
    <n v="0"/>
    <n v="4257.5252799999998"/>
    <n v="4144.2038400000001"/>
    <n v="0"/>
    <n v="4747.3591981538384"/>
    <n v="3755.6335637878074"/>
  </r>
  <r>
    <s v="Regular"/>
    <x v="1"/>
    <x v="1"/>
    <x v="2"/>
    <x v="3"/>
    <x v="0"/>
    <x v="0"/>
    <x v="1"/>
    <x v="11"/>
    <n v="0"/>
    <n v="0"/>
    <n v="21.042999999999999"/>
    <n v="21.042999999999999"/>
    <n v="21.042999999999999"/>
    <n v="21.042999999999999"/>
    <n v="57"/>
    <x v="0"/>
    <n v="0"/>
    <n v="0"/>
    <n v="20"/>
    <n v="58"/>
    <n v="0"/>
    <n v="197.62"/>
    <n v="192.36"/>
    <m/>
    <n v="220.50607266844699"/>
    <n v="174.32387503656736"/>
    <n v="0"/>
    <n v="4158.5176599999995"/>
    <n v="4047.8314800000003"/>
    <n v="0"/>
    <n v="4636.9606204396214"/>
    <n v="3668.2973023944869"/>
  </r>
  <r>
    <s v="Regular"/>
    <x v="1"/>
    <x v="1"/>
    <x v="2"/>
    <x v="4"/>
    <x v="0"/>
    <x v="0"/>
    <x v="1"/>
    <x v="0"/>
    <n v="0"/>
    <n v="0"/>
    <n v="23.725999999999999"/>
    <n v="23.725999999999999"/>
    <n v="23.725999999999999"/>
    <n v="23.725999999999999"/>
    <n v="169"/>
    <x v="0"/>
    <n v="0"/>
    <n v="0"/>
    <n v="21"/>
    <n v="59"/>
    <n v="0"/>
    <n v="296.43"/>
    <n v="288.54000000000002"/>
    <m/>
    <n v="330.75910900267053"/>
    <n v="261.48581255485107"/>
    <n v="0"/>
    <n v="7033.09818"/>
    <n v="6845.9000400000004"/>
    <n v="0"/>
    <n v="7842.2654336751275"/>
    <n v="6204.0123886763959"/>
  </r>
  <r>
    <s v="Regular"/>
    <x v="1"/>
    <x v="1"/>
    <x v="2"/>
    <x v="4"/>
    <x v="0"/>
    <x v="0"/>
    <x v="1"/>
    <x v="1"/>
    <n v="0"/>
    <n v="0"/>
    <n v="21.268999999999998"/>
    <n v="21.268999999999998"/>
    <n v="21.268999999999998"/>
    <n v="21.268999999999998"/>
    <n v="196"/>
    <x v="0"/>
    <n v="0"/>
    <n v="0"/>
    <n v="21"/>
    <n v="59"/>
    <n v="0"/>
    <n v="296.43"/>
    <n v="288.54000000000002"/>
    <m/>
    <n v="330.75910900267053"/>
    <n v="261.48581255485107"/>
    <n v="0"/>
    <n v="6304.7696699999997"/>
    <n v="6136.9572600000001"/>
    <n v="0"/>
    <n v="7030.1417646816271"/>
    <n v="5561.5417472291265"/>
  </r>
  <r>
    <s v="Regular"/>
    <x v="1"/>
    <x v="1"/>
    <x v="2"/>
    <x v="4"/>
    <x v="0"/>
    <x v="0"/>
    <x v="1"/>
    <x v="2"/>
    <n v="0"/>
    <n v="0"/>
    <n v="26.408000000000001"/>
    <n v="26.408000000000001"/>
    <n v="26.408000000000001"/>
    <n v="26.408000000000001"/>
    <n v="164"/>
    <x v="0"/>
    <n v="0"/>
    <n v="0"/>
    <n v="21"/>
    <n v="59"/>
    <n v="0"/>
    <n v="296.43"/>
    <n v="288.54000000000002"/>
    <m/>
    <n v="330.75910900267053"/>
    <n v="261.48581255485107"/>
    <n v="0"/>
    <n v="7828.1234400000003"/>
    <n v="7619.7643200000011"/>
    <n v="0"/>
    <n v="8728.759402027008"/>
    <n v="6905.317337948507"/>
  </r>
  <r>
    <s v="Regular"/>
    <x v="1"/>
    <x v="1"/>
    <x v="2"/>
    <x v="4"/>
    <x v="0"/>
    <x v="0"/>
    <x v="1"/>
    <x v="3"/>
    <n v="0"/>
    <n v="0"/>
    <n v="22.603999999999999"/>
    <n v="22.603999999999999"/>
    <n v="22.603999999999999"/>
    <n v="22.603999999999999"/>
    <n v="207"/>
    <x v="0"/>
    <n v="0"/>
    <n v="0"/>
    <n v="21"/>
    <n v="59"/>
    <n v="0"/>
    <n v="296.43"/>
    <n v="288.54000000000002"/>
    <m/>
    <n v="330.75910900267053"/>
    <n v="261.48581255485107"/>
    <n v="0"/>
    <n v="6700.5037199999997"/>
    <n v="6522.15816"/>
    <n v="0"/>
    <n v="7471.4055408746772"/>
    <n v="5910.625306989853"/>
  </r>
  <r>
    <s v="Regular"/>
    <x v="1"/>
    <x v="1"/>
    <x v="2"/>
    <x v="4"/>
    <x v="0"/>
    <x v="0"/>
    <x v="1"/>
    <x v="4"/>
    <n v="0"/>
    <n v="0"/>
    <n v="25.882999999999999"/>
    <n v="25.882999999999999"/>
    <n v="25.882999999999999"/>
    <n v="25.882999999999999"/>
    <n v="196"/>
    <x v="0"/>
    <n v="0"/>
    <n v="0"/>
    <n v="21"/>
    <n v="59"/>
    <n v="0"/>
    <n v="296.43"/>
    <n v="288.54000000000002"/>
    <m/>
    <n v="330.75910900267053"/>
    <n v="261.48581255485107"/>
    <n v="0"/>
    <n v="7672.4976900000001"/>
    <n v="7468.2808199999999"/>
    <n v="0"/>
    <n v="8555.2287035241225"/>
    <n v="6768.0372863572102"/>
  </r>
  <r>
    <s v="Regular"/>
    <x v="1"/>
    <x v="1"/>
    <x v="2"/>
    <x v="4"/>
    <x v="0"/>
    <x v="0"/>
    <x v="1"/>
    <x v="5"/>
    <n v="0"/>
    <n v="0"/>
    <n v="24.427"/>
    <n v="24.427"/>
    <n v="24.427"/>
    <n v="24.427"/>
    <n v="208"/>
    <x v="0"/>
    <n v="0"/>
    <n v="0"/>
    <n v="21"/>
    <n v="59"/>
    <n v="0"/>
    <n v="296.43"/>
    <n v="288.54000000000002"/>
    <m/>
    <n v="330.75910900267053"/>
    <n v="261.48581255485107"/>
    <n v="0"/>
    <n v="7240.8956100000005"/>
    <n v="7048.1665800000001"/>
    <n v="0"/>
    <n v="8073.970233009456"/>
    <n v="6387.3139432773469"/>
  </r>
  <r>
    <s v="Regular"/>
    <x v="1"/>
    <x v="1"/>
    <x v="2"/>
    <x v="4"/>
    <x v="0"/>
    <x v="0"/>
    <x v="1"/>
    <x v="6"/>
    <n v="0"/>
    <n v="0"/>
    <n v="31.364000000000001"/>
    <n v="31.364000000000001"/>
    <n v="31.364000000000001"/>
    <n v="31.364000000000001"/>
    <n v="152"/>
    <x v="0"/>
    <n v="0"/>
    <n v="0"/>
    <n v="21"/>
    <n v="59"/>
    <n v="0"/>
    <n v="296.43"/>
    <n v="288.54000000000002"/>
    <m/>
    <n v="330.75910900267053"/>
    <n v="261.48581255485107"/>
    <n v="0"/>
    <n v="9297.230520000001"/>
    <n v="9049.7685600000004"/>
    <n v="0"/>
    <n v="10366.889195894239"/>
    <n v="8201.2410249703498"/>
  </r>
  <r>
    <s v="Regular"/>
    <x v="1"/>
    <x v="1"/>
    <x v="2"/>
    <x v="4"/>
    <x v="0"/>
    <x v="0"/>
    <x v="1"/>
    <x v="7"/>
    <n v="0"/>
    <n v="0"/>
    <n v="26.513999999999999"/>
    <n v="26.513999999999999"/>
    <n v="26.513999999999999"/>
    <n v="26.513999999999999"/>
    <n v="192"/>
    <x v="0"/>
    <n v="0"/>
    <n v="0"/>
    <n v="21"/>
    <n v="59"/>
    <n v="0"/>
    <n v="296.43"/>
    <n v="288.54000000000002"/>
    <m/>
    <n v="330.75910900267053"/>
    <n v="261.48581255485107"/>
    <n v="0"/>
    <n v="7859.5450199999996"/>
    <n v="7650.3495600000006"/>
    <n v="0"/>
    <n v="8763.7960763913998"/>
    <n v="6933.0348340793207"/>
  </r>
  <r>
    <s v="Regular"/>
    <x v="1"/>
    <x v="1"/>
    <x v="2"/>
    <x v="4"/>
    <x v="0"/>
    <x v="0"/>
    <x v="1"/>
    <x v="8"/>
    <n v="0"/>
    <n v="0"/>
    <n v="29.779"/>
    <n v="29.779"/>
    <n v="29.779"/>
    <n v="29.779"/>
    <n v="175"/>
    <x v="0"/>
    <n v="0"/>
    <n v="0"/>
    <n v="21"/>
    <n v="59"/>
    <n v="0"/>
    <n v="296.43"/>
    <n v="288.54000000000002"/>
    <m/>
    <n v="330.75910900267053"/>
    <n v="261.48581255485107"/>
    <n v="0"/>
    <n v="8827.38897"/>
    <n v="8592.4326600000004"/>
    <n v="0"/>
    <n v="9842.9917537474339"/>
    <n v="7786.7860120709101"/>
  </r>
  <r>
    <s v="Regular"/>
    <x v="1"/>
    <x v="1"/>
    <x v="2"/>
    <x v="4"/>
    <x v="0"/>
    <x v="0"/>
    <x v="1"/>
    <x v="9"/>
    <n v="0"/>
    <n v="0"/>
    <n v="28.013000000000002"/>
    <n v="28.013000000000002"/>
    <n v="28.013000000000002"/>
    <n v="28.013000000000002"/>
    <n v="201"/>
    <x v="0"/>
    <n v="0"/>
    <n v="0"/>
    <n v="21"/>
    <n v="59"/>
    <n v="0"/>
    <n v="296.43"/>
    <n v="288.54000000000002"/>
    <m/>
    <n v="330.75910900267053"/>
    <n v="261.48581255485107"/>
    <n v="0"/>
    <n v="8303.8935900000015"/>
    <n v="8082.8710200000014"/>
    <n v="0"/>
    <n v="9259.2675374501123"/>
    <n v="7325.0020670990434"/>
  </r>
  <r>
    <s v="Regular"/>
    <x v="1"/>
    <x v="1"/>
    <x v="2"/>
    <x v="4"/>
    <x v="0"/>
    <x v="0"/>
    <x v="1"/>
    <x v="10"/>
    <n v="0"/>
    <n v="0"/>
    <n v="22.375"/>
    <n v="22.375"/>
    <n v="22.375"/>
    <n v="22.375"/>
    <n v="181"/>
    <x v="0"/>
    <n v="0"/>
    <n v="0"/>
    <n v="21"/>
    <n v="59"/>
    <n v="0"/>
    <n v="296.43"/>
    <n v="288.54000000000002"/>
    <m/>
    <n v="330.75910900267053"/>
    <n v="261.48581255485107"/>
    <n v="0"/>
    <n v="6632.6212500000001"/>
    <n v="6456.0825000000004"/>
    <n v="0"/>
    <n v="7395.7131028610384"/>
    <n v="5850.7450559147928"/>
  </r>
  <r>
    <s v="Regular"/>
    <x v="1"/>
    <x v="1"/>
    <x v="2"/>
    <x v="4"/>
    <x v="0"/>
    <x v="0"/>
    <x v="1"/>
    <x v="11"/>
    <n v="0"/>
    <n v="0"/>
    <n v="22.675000000000001"/>
    <n v="22.675000000000001"/>
    <n v="22.675000000000001"/>
    <n v="22.675000000000001"/>
    <n v="157"/>
    <x v="0"/>
    <n v="0"/>
    <n v="0"/>
    <n v="21"/>
    <n v="59"/>
    <n v="0"/>
    <n v="296.43"/>
    <n v="288.54000000000002"/>
    <m/>
    <n v="330.75910900267053"/>
    <n v="261.48581255485107"/>
    <n v="0"/>
    <n v="6721.5502500000002"/>
    <n v="6542.6445000000003"/>
    <n v="0"/>
    <n v="7494.8735020055437"/>
    <n v="5929.1907996812479"/>
  </r>
  <r>
    <s v="Regular"/>
    <x v="1"/>
    <x v="1"/>
    <x v="2"/>
    <x v="5"/>
    <x v="0"/>
    <x v="0"/>
    <x v="1"/>
    <x v="0"/>
    <n v="0"/>
    <n v="0"/>
    <n v="7.9669999999999996"/>
    <n v="7.9669999999999996"/>
    <n v="7.9669999999999996"/>
    <n v="7.9669999999999996"/>
    <n v="109"/>
    <x v="0"/>
    <n v="0"/>
    <n v="0"/>
    <n v="22"/>
    <n v="60"/>
    <n v="0"/>
    <n v="329.37"/>
    <n v="320.60000000000002"/>
    <m/>
    <n v="367.51012111407834"/>
    <n v="290.53979172761228"/>
    <n v="0"/>
    <n v="2624.0907899999997"/>
    <n v="2554.2202000000002"/>
    <n v="0"/>
    <n v="2925.9662962380576"/>
    <n v="2314.7305206938868"/>
  </r>
  <r>
    <s v="Regular"/>
    <x v="1"/>
    <x v="1"/>
    <x v="2"/>
    <x v="5"/>
    <x v="0"/>
    <x v="0"/>
    <x v="1"/>
    <x v="1"/>
    <n v="0"/>
    <n v="0"/>
    <n v="5.3879999999999999"/>
    <n v="5.3879999999999999"/>
    <n v="5.3879999999999999"/>
    <n v="5.3879999999999999"/>
    <n v="81"/>
    <x v="0"/>
    <n v="0"/>
    <n v="0"/>
    <n v="22"/>
    <n v="60"/>
    <n v="0"/>
    <n v="329.37"/>
    <n v="320.60000000000002"/>
    <m/>
    <n v="367.51012111407834"/>
    <n v="290.53979172761228"/>
    <n v="0"/>
    <n v="1774.6455599999999"/>
    <n v="1727.3928000000001"/>
    <n v="0"/>
    <n v="1978.8008540392436"/>
    <n v="1565.428397828375"/>
  </r>
  <r>
    <s v="Regular"/>
    <x v="1"/>
    <x v="1"/>
    <x v="2"/>
    <x v="5"/>
    <x v="0"/>
    <x v="0"/>
    <x v="1"/>
    <x v="2"/>
    <n v="0"/>
    <n v="0"/>
    <n v="9.2989999999999995"/>
    <n v="9.2989999999999995"/>
    <n v="9.2989999999999995"/>
    <n v="9.2989999999999995"/>
    <n v="126"/>
    <x v="0"/>
    <n v="0"/>
    <n v="0"/>
    <n v="22"/>
    <n v="60"/>
    <n v="0"/>
    <n v="329.37"/>
    <n v="320.60000000000002"/>
    <m/>
    <n v="367.51012111407834"/>
    <n v="290.53979172761228"/>
    <n v="0"/>
    <n v="3062.8116299999997"/>
    <n v="2981.2593999999999"/>
    <n v="0"/>
    <n v="3415.1575986842845"/>
    <n v="2701.7295232750666"/>
  </r>
  <r>
    <s v="Regular"/>
    <x v="1"/>
    <x v="1"/>
    <x v="2"/>
    <x v="5"/>
    <x v="0"/>
    <x v="0"/>
    <x v="1"/>
    <x v="3"/>
    <n v="0"/>
    <n v="0"/>
    <n v="5.3890000000000002"/>
    <n v="5.3890000000000002"/>
    <n v="5.3890000000000002"/>
    <n v="5.3890000000000002"/>
    <n v="84"/>
    <x v="0"/>
    <n v="0"/>
    <n v="0"/>
    <n v="22"/>
    <n v="60"/>
    <n v="0"/>
    <n v="329.37"/>
    <n v="320.60000000000002"/>
    <m/>
    <n v="367.51012111407834"/>
    <n v="290.53979172761228"/>
    <n v="0"/>
    <n v="1774.9749300000001"/>
    <n v="1727.7134000000001"/>
    <n v="0"/>
    <n v="1979.1681147768161"/>
    <n v="1565.7189376201027"/>
  </r>
  <r>
    <s v="Regular"/>
    <x v="1"/>
    <x v="1"/>
    <x v="2"/>
    <x v="5"/>
    <x v="0"/>
    <x v="0"/>
    <x v="1"/>
    <x v="4"/>
    <n v="0"/>
    <n v="0"/>
    <n v="8.0939999999999994"/>
    <n v="8.0939999999999994"/>
    <n v="8.0939999999999994"/>
    <n v="8.0939999999999994"/>
    <n v="112"/>
    <x v="0"/>
    <n v="0"/>
    <n v="0"/>
    <n v="22"/>
    <n v="60"/>
    <n v="0"/>
    <n v="329.37"/>
    <n v="320.60000000000002"/>
    <m/>
    <n v="367.51012111407834"/>
    <n v="290.53979172761228"/>
    <n v="0"/>
    <n v="2665.9207799999999"/>
    <n v="2594.9364"/>
    <n v="0"/>
    <n v="2972.608409909732"/>
    <n v="2351.6290742432939"/>
  </r>
  <r>
    <s v="Regular"/>
    <x v="1"/>
    <x v="1"/>
    <x v="2"/>
    <x v="5"/>
    <x v="0"/>
    <x v="0"/>
    <x v="1"/>
    <x v="5"/>
    <n v="0"/>
    <n v="0"/>
    <n v="6.9139999999999997"/>
    <n v="6.9139999999999997"/>
    <n v="6.9139999999999997"/>
    <n v="6.9139999999999997"/>
    <n v="98"/>
    <x v="0"/>
    <n v="0"/>
    <n v="0"/>
    <n v="22"/>
    <n v="60"/>
    <n v="0"/>
    <n v="329.37"/>
    <n v="320.60000000000002"/>
    <m/>
    <n v="367.51012111407834"/>
    <n v="290.53979172761228"/>
    <n v="0"/>
    <n v="2277.2641800000001"/>
    <n v="2216.6284000000001"/>
    <n v="0"/>
    <n v="2539.2407395744858"/>
    <n v="2008.7921200047113"/>
  </r>
  <r>
    <s v="Regular"/>
    <x v="1"/>
    <x v="1"/>
    <x v="2"/>
    <x v="5"/>
    <x v="0"/>
    <x v="0"/>
    <x v="1"/>
    <x v="6"/>
    <n v="0"/>
    <n v="0"/>
    <n v="18.236999999999998"/>
    <n v="18.236999999999998"/>
    <n v="18.236999999999998"/>
    <n v="18.236999999999998"/>
    <n v="180"/>
    <x v="0"/>
    <n v="0"/>
    <n v="0"/>
    <n v="22"/>
    <n v="60"/>
    <n v="0"/>
    <n v="329.37"/>
    <n v="320.60000000000002"/>
    <m/>
    <n v="367.51012111407834"/>
    <n v="290.53979172761228"/>
    <n v="0"/>
    <n v="6006.7206899999992"/>
    <n v="5846.7821999999996"/>
    <n v="0"/>
    <n v="6697.7340711049892"/>
    <n v="5298.5741817364651"/>
  </r>
  <r>
    <s v="Regular"/>
    <x v="1"/>
    <x v="1"/>
    <x v="2"/>
    <x v="5"/>
    <x v="0"/>
    <x v="0"/>
    <x v="1"/>
    <x v="7"/>
    <n v="0"/>
    <n v="0"/>
    <n v="9.5129999999999999"/>
    <n v="9.5129999999999999"/>
    <n v="9.5129999999999999"/>
    <n v="9.5129999999999999"/>
    <n v="121"/>
    <x v="0"/>
    <n v="0"/>
    <n v="0"/>
    <n v="22"/>
    <n v="60"/>
    <n v="0"/>
    <n v="329.37"/>
    <n v="320.60000000000002"/>
    <m/>
    <n v="367.51012111407834"/>
    <n v="290.53979172761228"/>
    <n v="0"/>
    <n v="3133.2968099999998"/>
    <n v="3049.8678"/>
    <n v="0"/>
    <n v="3493.7513965247449"/>
    <n v="2763.9050387047755"/>
  </r>
  <r>
    <s v="Regular"/>
    <x v="1"/>
    <x v="1"/>
    <x v="2"/>
    <x v="5"/>
    <x v="0"/>
    <x v="0"/>
    <x v="1"/>
    <x v="8"/>
    <n v="0"/>
    <n v="0"/>
    <n v="13.606999999999999"/>
    <n v="13.606999999999999"/>
    <n v="13.606999999999999"/>
    <n v="13.606999999999999"/>
    <n v="152"/>
    <x v="0"/>
    <n v="0"/>
    <n v="0"/>
    <n v="22"/>
    <n v="60"/>
    <n v="0"/>
    <n v="329.37"/>
    <n v="320.60000000000002"/>
    <m/>
    <n v="367.51012111407834"/>
    <n v="290.53979172761228"/>
    <n v="0"/>
    <n v="4481.7375899999997"/>
    <n v="4362.4041999999999"/>
    <n v="0"/>
    <n v="4997.3168561455059"/>
    <n v="3953.3749460376202"/>
  </r>
  <r>
    <s v="Regular"/>
    <x v="1"/>
    <x v="1"/>
    <x v="2"/>
    <x v="5"/>
    <x v="0"/>
    <x v="0"/>
    <x v="1"/>
    <x v="9"/>
    <n v="0"/>
    <n v="0"/>
    <n v="8.8539999999999992"/>
    <n v="8.8539999999999992"/>
    <n v="8.8539999999999992"/>
    <n v="8.8539999999999992"/>
    <n v="122"/>
    <x v="0"/>
    <n v="0"/>
    <n v="0"/>
    <n v="22"/>
    <n v="60"/>
    <n v="0"/>
    <n v="329.37"/>
    <n v="320.60000000000002"/>
    <m/>
    <n v="367.51012111407834"/>
    <n v="290.53979172761228"/>
    <n v="0"/>
    <n v="2916.2419799999998"/>
    <n v="2838.5924"/>
    <n v="0"/>
    <n v="3251.7265704646366"/>
    <n v="2572.4393159562787"/>
  </r>
  <r>
    <s v="Regular"/>
    <x v="1"/>
    <x v="1"/>
    <x v="2"/>
    <x v="5"/>
    <x v="0"/>
    <x v="0"/>
    <x v="1"/>
    <x v="10"/>
    <n v="0"/>
    <n v="0"/>
    <n v="5.9820000000000002"/>
    <n v="5.9820000000000002"/>
    <n v="5.9820000000000002"/>
    <n v="5.9820000000000002"/>
    <n v="93"/>
    <x v="0"/>
    <n v="0"/>
    <n v="0"/>
    <n v="22"/>
    <n v="60"/>
    <n v="0"/>
    <n v="329.37"/>
    <n v="320.60000000000002"/>
    <m/>
    <n v="367.51012111407834"/>
    <n v="290.53979172761228"/>
    <n v="0"/>
    <n v="1970.29134"/>
    <n v="1917.8292000000001"/>
    <n v="0"/>
    <n v="2196.9537321571561"/>
    <n v="1738.0090341145767"/>
  </r>
  <r>
    <s v="Regular"/>
    <x v="1"/>
    <x v="1"/>
    <x v="2"/>
    <x v="5"/>
    <x v="0"/>
    <x v="0"/>
    <x v="1"/>
    <x v="11"/>
    <n v="0"/>
    <n v="0"/>
    <n v="10.238"/>
    <n v="10.238"/>
    <n v="10.238"/>
    <n v="10.238"/>
    <n v="108"/>
    <x v="0"/>
    <n v="0"/>
    <n v="0"/>
    <n v="22"/>
    <n v="60"/>
    <n v="0"/>
    <n v="329.37"/>
    <n v="320.60000000000002"/>
    <m/>
    <n v="367.51012111407834"/>
    <n v="290.53979172761228"/>
    <n v="0"/>
    <n v="3372.09006"/>
    <n v="3282.3027999999999"/>
    <n v="0"/>
    <n v="3760.0154312646205"/>
    <n v="2974.5463877072943"/>
  </r>
  <r>
    <s v="Regular"/>
    <x v="2"/>
    <x v="1"/>
    <x v="3"/>
    <x v="0"/>
    <x v="0"/>
    <x v="0"/>
    <x v="1"/>
    <x v="0"/>
    <n v="0"/>
    <n v="0"/>
    <n v="0.85299999999999998"/>
    <n v="0.85299999999999998"/>
    <n v="0.85299999999999998"/>
    <n v="0.85299999999999998"/>
    <n v="4"/>
    <x v="0"/>
    <n v="0"/>
    <n v="0"/>
    <n v="31"/>
    <n v="69"/>
    <n v="0"/>
    <n v="355.82"/>
    <n v="282.13"/>
    <m/>
    <n v="461.88564582778014"/>
    <n v="273.10740422395554"/>
    <n v="0"/>
    <n v="303.51445999999999"/>
    <n v="240.65689"/>
    <n v="0"/>
    <n v="393.78849517958173"/>
    <n v="232.96061580303407"/>
  </r>
  <r>
    <s v="Regular"/>
    <x v="2"/>
    <x v="1"/>
    <x v="3"/>
    <x v="0"/>
    <x v="0"/>
    <x v="0"/>
    <x v="1"/>
    <x v="1"/>
    <n v="0"/>
    <n v="0"/>
    <n v="0.92300000000000004"/>
    <n v="0.92300000000000004"/>
    <n v="0.92300000000000004"/>
    <n v="0.92300000000000004"/>
    <n v="4"/>
    <x v="0"/>
    <n v="0"/>
    <n v="0"/>
    <n v="31"/>
    <n v="69"/>
    <n v="0"/>
    <n v="355.82"/>
    <n v="282.13"/>
    <m/>
    <n v="461.88564582778014"/>
    <n v="273.10740422395554"/>
    <n v="0"/>
    <n v="328.42185999999998"/>
    <n v="260.40599000000003"/>
    <n v="0"/>
    <n v="426.10408095047359"/>
    <n v="252.07813409871099"/>
  </r>
  <r>
    <s v="Regular"/>
    <x v="2"/>
    <x v="1"/>
    <x v="3"/>
    <x v="0"/>
    <x v="0"/>
    <x v="0"/>
    <x v="1"/>
    <x v="2"/>
    <n v="0"/>
    <n v="0"/>
    <n v="1.0189999999999999"/>
    <n v="1.0189999999999999"/>
    <n v="1.0189999999999999"/>
    <n v="1.0189999999999999"/>
    <n v="4"/>
    <x v="0"/>
    <n v="0"/>
    <n v="0"/>
    <n v="31"/>
    <n v="69"/>
    <n v="0"/>
    <n v="355.82"/>
    <n v="282.13"/>
    <m/>
    <n v="461.88564582778014"/>
    <n v="273.10740422395554"/>
    <n v="0"/>
    <n v="362.58057999999994"/>
    <n v="287.49046999999996"/>
    <n v="0"/>
    <n v="470.42259857912518"/>
    <n v="278.29644490421066"/>
  </r>
  <r>
    <s v="Regular"/>
    <x v="2"/>
    <x v="1"/>
    <x v="3"/>
    <x v="0"/>
    <x v="0"/>
    <x v="0"/>
    <x v="1"/>
    <x v="3"/>
    <n v="0"/>
    <n v="0"/>
    <n v="0.93100000000000005"/>
    <n v="0.93100000000000005"/>
    <n v="0.93100000000000005"/>
    <n v="0.93100000000000005"/>
    <n v="4"/>
    <x v="0"/>
    <n v="0"/>
    <n v="0"/>
    <n v="31"/>
    <n v="69"/>
    <n v="0"/>
    <n v="355.82"/>
    <n v="282.13"/>
    <m/>
    <n v="461.88564582778014"/>
    <n v="273.10740422395554"/>
    <n v="0"/>
    <n v="331.26841999999999"/>
    <n v="262.66302999999999"/>
    <n v="0"/>
    <n v="429.79729075286122"/>
    <n v="254.26299333250262"/>
  </r>
  <r>
    <s v="Regular"/>
    <x v="2"/>
    <x v="1"/>
    <x v="3"/>
    <x v="0"/>
    <x v="0"/>
    <x v="0"/>
    <x v="1"/>
    <x v="4"/>
    <n v="0"/>
    <n v="0"/>
    <n v="1.1719999999999999"/>
    <n v="1.1719999999999999"/>
    <n v="1.1719999999999999"/>
    <n v="1.1719999999999999"/>
    <n v="4"/>
    <x v="0"/>
    <n v="0"/>
    <n v="0"/>
    <n v="31"/>
    <n v="69"/>
    <n v="0"/>
    <n v="355.82"/>
    <n v="282.13"/>
    <m/>
    <n v="461.88564582778014"/>
    <n v="273.10740422395554"/>
    <n v="0"/>
    <n v="417.02103999999997"/>
    <n v="330.65635999999995"/>
    <n v="0"/>
    <n v="541.05523604978873"/>
    <n v="320.08187775047588"/>
  </r>
  <r>
    <s v="Regular"/>
    <x v="2"/>
    <x v="1"/>
    <x v="3"/>
    <x v="0"/>
    <x v="0"/>
    <x v="0"/>
    <x v="1"/>
    <x v="5"/>
    <n v="0"/>
    <n v="0"/>
    <n v="1.1339999999999999"/>
    <n v="1.1339999999999999"/>
    <n v="1.1339999999999999"/>
    <n v="1.1339999999999999"/>
    <n v="4"/>
    <x v="0"/>
    <n v="0"/>
    <n v="0"/>
    <n v="31"/>
    <n v="69"/>
    <n v="0"/>
    <n v="355.82"/>
    <n v="282.13"/>
    <m/>
    <n v="461.88564582778014"/>
    <n v="273.10740422395554"/>
    <n v="0"/>
    <n v="403.49987999999996"/>
    <n v="319.93541999999997"/>
    <n v="0"/>
    <n v="523.51248948844739"/>
    <n v="309.70379638996553"/>
  </r>
  <r>
    <s v="Regular"/>
    <x v="2"/>
    <x v="1"/>
    <x v="3"/>
    <x v="0"/>
    <x v="0"/>
    <x v="0"/>
    <x v="1"/>
    <x v="6"/>
    <n v="0"/>
    <n v="0"/>
    <n v="1.478"/>
    <n v="1.478"/>
    <n v="1.478"/>
    <n v="1.478"/>
    <n v="4"/>
    <x v="0"/>
    <n v="0"/>
    <n v="0"/>
    <n v="31"/>
    <n v="69"/>
    <n v="0"/>
    <n v="355.82"/>
    <n v="282.13"/>
    <m/>
    <n v="461.88564582778014"/>
    <n v="273.10740422395554"/>
    <n v="0"/>
    <n v="525.90196000000003"/>
    <n v="416.98813999999999"/>
    <n v="0"/>
    <n v="682.32051099111584"/>
    <n v="403.65274344300627"/>
  </r>
  <r>
    <s v="Regular"/>
    <x v="2"/>
    <x v="1"/>
    <x v="3"/>
    <x v="0"/>
    <x v="0"/>
    <x v="0"/>
    <x v="1"/>
    <x v="7"/>
    <n v="0"/>
    <n v="0"/>
    <n v="1.0720000000000001"/>
    <n v="1.0720000000000001"/>
    <n v="1.0720000000000001"/>
    <n v="1.0720000000000001"/>
    <n v="4"/>
    <x v="0"/>
    <n v="0"/>
    <n v="0"/>
    <n v="31"/>
    <n v="69"/>
    <n v="0"/>
    <n v="355.82"/>
    <n v="282.13"/>
    <m/>
    <n v="461.88564582778014"/>
    <n v="273.10740422395554"/>
    <n v="0"/>
    <n v="381.43904000000003"/>
    <n v="302.44336000000004"/>
    <n v="0"/>
    <n v="494.89011351994333"/>
    <n v="292.77113732808039"/>
  </r>
  <r>
    <s v="Regular"/>
    <x v="2"/>
    <x v="1"/>
    <x v="3"/>
    <x v="0"/>
    <x v="0"/>
    <x v="0"/>
    <x v="1"/>
    <x v="8"/>
    <n v="0"/>
    <n v="0"/>
    <n v="1.143"/>
    <n v="1.143"/>
    <n v="1.143"/>
    <n v="1.143"/>
    <n v="4"/>
    <x v="0"/>
    <n v="0"/>
    <n v="0"/>
    <n v="31"/>
    <n v="69"/>
    <n v="0"/>
    <n v="355.82"/>
    <n v="282.13"/>
    <m/>
    <n v="461.88564582778014"/>
    <n v="273.10740422395554"/>
    <n v="0"/>
    <n v="406.70226000000002"/>
    <n v="322.47458999999998"/>
    <n v="0"/>
    <n v="527.66735051613352"/>
    <n v="312.16176302798118"/>
  </r>
  <r>
    <s v="Regular"/>
    <x v="2"/>
    <x v="1"/>
    <x v="3"/>
    <x v="0"/>
    <x v="0"/>
    <x v="0"/>
    <x v="1"/>
    <x v="9"/>
    <n v="0"/>
    <n v="0"/>
    <n v="0.77100000000000002"/>
    <n v="0.77100000000000002"/>
    <n v="0.77100000000000002"/>
    <n v="0.77100000000000002"/>
    <n v="4"/>
    <x v="0"/>
    <n v="0"/>
    <n v="0"/>
    <n v="31"/>
    <n v="69"/>
    <n v="0"/>
    <n v="355.82"/>
    <n v="282.13"/>
    <m/>
    <n v="461.88564582778014"/>
    <n v="273.10740422395554"/>
    <n v="0"/>
    <n v="274.33722"/>
    <n v="217.52223000000001"/>
    <n v="0"/>
    <n v="355.93309470510849"/>
    <n v="210.56580865666973"/>
  </r>
  <r>
    <s v="Regular"/>
    <x v="2"/>
    <x v="1"/>
    <x v="3"/>
    <x v="0"/>
    <x v="0"/>
    <x v="0"/>
    <x v="1"/>
    <x v="10"/>
    <n v="0"/>
    <n v="0"/>
    <n v="0.69299999999999995"/>
    <n v="0.69299999999999995"/>
    <n v="0.69299999999999995"/>
    <n v="0.69299999999999995"/>
    <n v="4"/>
    <x v="0"/>
    <n v="0"/>
    <n v="0"/>
    <n v="31"/>
    <n v="69"/>
    <n v="0"/>
    <n v="355.82"/>
    <n v="282.13"/>
    <m/>
    <n v="461.88564582778014"/>
    <n v="273.10740422395554"/>
    <n v="0"/>
    <n v="246.58325999999997"/>
    <n v="195.51608999999999"/>
    <n v="0"/>
    <n v="319.924299131829"/>
    <n v="189.26343112720119"/>
  </r>
  <r>
    <s v="Regular"/>
    <x v="2"/>
    <x v="1"/>
    <x v="3"/>
    <x v="0"/>
    <x v="0"/>
    <x v="0"/>
    <x v="1"/>
    <x v="11"/>
    <n v="0"/>
    <n v="0"/>
    <n v="0.65100000000000002"/>
    <n v="0.65100000000000002"/>
    <n v="0.65100000000000002"/>
    <n v="0.65100000000000002"/>
    <n v="4"/>
    <x v="0"/>
    <n v="0"/>
    <n v="0"/>
    <n v="31"/>
    <n v="69"/>
    <n v="0"/>
    <n v="355.82"/>
    <n v="282.13"/>
    <m/>
    <n v="461.88564582778014"/>
    <n v="273.10740422395554"/>
    <n v="0"/>
    <n v="231.63882000000001"/>
    <n v="183.66663"/>
    <n v="0"/>
    <n v="300.53494766929396"/>
    <n v="177.79292014979507"/>
  </r>
  <r>
    <s v="Regular"/>
    <x v="3"/>
    <x v="2"/>
    <x v="0"/>
    <x v="0"/>
    <x v="0"/>
    <x v="0"/>
    <x v="0"/>
    <x v="0"/>
    <n v="0"/>
    <n v="0"/>
    <n v="8.2989999999999995"/>
    <n v="8.2989999999999995"/>
    <n v="8.2989999999999995"/>
    <n v="8.2989999999999995"/>
    <n v="0"/>
    <x v="0"/>
    <n v="0"/>
    <n v="0"/>
    <n v="45"/>
    <n v="83"/>
    <n v="0"/>
    <n v="325.17"/>
    <n v="302.62"/>
    <m/>
    <n v="401.29122532453738"/>
    <n v="274.25476998219489"/>
    <n v="0"/>
    <n v="2698.58583"/>
    <n v="2511.4433799999997"/>
    <n v="0"/>
    <n v="3328.784351080119"/>
    <n v="2276.0403360822352"/>
  </r>
  <r>
    <s v="Regular"/>
    <x v="3"/>
    <x v="2"/>
    <x v="0"/>
    <x v="0"/>
    <x v="0"/>
    <x v="0"/>
    <x v="0"/>
    <x v="1"/>
    <n v="0"/>
    <n v="0"/>
    <n v="8.4309999999999992"/>
    <n v="8.4309999999999992"/>
    <n v="8.4309999999999992"/>
    <n v="8.4309999999999992"/>
    <n v="0"/>
    <x v="0"/>
    <n v="0"/>
    <n v="0"/>
    <n v="45"/>
    <n v="83"/>
    <n v="0"/>
    <n v="325.17"/>
    <n v="302.62"/>
    <m/>
    <n v="401.29122532453738"/>
    <n v="274.25476998219489"/>
    <n v="0"/>
    <n v="2741.5082699999998"/>
    <n v="2551.3892199999996"/>
    <n v="0"/>
    <n v="3381.7304330589809"/>
    <n v="2312.2419657198848"/>
  </r>
  <r>
    <s v="Regular"/>
    <x v="3"/>
    <x v="2"/>
    <x v="0"/>
    <x v="0"/>
    <x v="0"/>
    <x v="0"/>
    <x v="0"/>
    <x v="2"/>
    <n v="0"/>
    <n v="0"/>
    <n v="7.63"/>
    <n v="7.63"/>
    <n v="7.63"/>
    <n v="7.63"/>
    <n v="0"/>
    <x v="0"/>
    <n v="0"/>
    <n v="0"/>
    <n v="45"/>
    <n v="83"/>
    <n v="0"/>
    <n v="325.17"/>
    <n v="302.62"/>
    <m/>
    <n v="401.29122532453738"/>
    <n v="274.25476998219489"/>
    <n v="0"/>
    <n v="2481.0471000000002"/>
    <n v="2308.9906000000001"/>
    <n v="0"/>
    <n v="3060.4439810508866"/>
    <n v="2092.563894964147"/>
  </r>
  <r>
    <s v="Regular"/>
    <x v="3"/>
    <x v="2"/>
    <x v="0"/>
    <x v="0"/>
    <x v="0"/>
    <x v="0"/>
    <x v="0"/>
    <x v="3"/>
    <n v="0"/>
    <n v="0"/>
    <n v="7.742"/>
    <n v="7.742"/>
    <n v="7.742"/>
    <n v="7.742"/>
    <n v="0"/>
    <x v="0"/>
    <n v="0"/>
    <n v="0"/>
    <n v="45"/>
    <n v="83"/>
    <n v="0"/>
    <n v="325.17"/>
    <n v="302.62"/>
    <m/>
    <n v="401.29122532453738"/>
    <n v="274.25476998219489"/>
    <n v="0"/>
    <n v="2517.46614"/>
    <n v="2342.8840399999999"/>
    <n v="0"/>
    <n v="3105.3679293965879"/>
    <n v="2123.2804292021528"/>
  </r>
  <r>
    <s v="Regular"/>
    <x v="3"/>
    <x v="2"/>
    <x v="0"/>
    <x v="0"/>
    <x v="0"/>
    <x v="0"/>
    <x v="0"/>
    <x v="4"/>
    <n v="0"/>
    <n v="0"/>
    <n v="8.7270000000000003"/>
    <n v="8.7270000000000003"/>
    <n v="8.7270000000000003"/>
    <n v="8.7270000000000003"/>
    <n v="0"/>
    <x v="0"/>
    <n v="0"/>
    <n v="0"/>
    <n v="45"/>
    <n v="83"/>
    <n v="0"/>
    <n v="325.17"/>
    <n v="302.62"/>
    <m/>
    <n v="401.29122532453738"/>
    <n v="274.25476998219489"/>
    <n v="0"/>
    <n v="2837.7585900000004"/>
    <n v="2640.9647400000003"/>
    <n v="0"/>
    <n v="3500.4580108297628"/>
    <n v="2393.4213776346151"/>
  </r>
  <r>
    <s v="Regular"/>
    <x v="3"/>
    <x v="2"/>
    <x v="0"/>
    <x v="0"/>
    <x v="0"/>
    <x v="0"/>
    <x v="0"/>
    <x v="5"/>
    <n v="0"/>
    <n v="0"/>
    <n v="7.1580000000000004"/>
    <n v="7.1580000000000004"/>
    <n v="7.1580000000000004"/>
    <n v="7.1580000000000004"/>
    <n v="0"/>
    <x v="0"/>
    <n v="0"/>
    <n v="0"/>
    <n v="45"/>
    <n v="83"/>
    <n v="0"/>
    <n v="325.17"/>
    <n v="302.62"/>
    <m/>
    <n v="401.29122532453738"/>
    <n v="274.25476998219489"/>
    <n v="0"/>
    <n v="2327.5668600000004"/>
    <n v="2166.1539600000001"/>
    <n v="0"/>
    <n v="2871.1216273082891"/>
    <n v="1963.1156435325511"/>
  </r>
  <r>
    <s v="Regular"/>
    <x v="3"/>
    <x v="2"/>
    <x v="0"/>
    <x v="0"/>
    <x v="0"/>
    <x v="0"/>
    <x v="0"/>
    <x v="6"/>
    <n v="0"/>
    <n v="0"/>
    <n v="9.8309999999999995"/>
    <n v="9.8309999999999995"/>
    <n v="9.8309999999999995"/>
    <n v="9.8309999999999995"/>
    <n v="0"/>
    <x v="0"/>
    <n v="0"/>
    <n v="0"/>
    <n v="45"/>
    <n v="83"/>
    <n v="0"/>
    <n v="325.17"/>
    <n v="302.62"/>
    <m/>
    <n v="401.29122532453738"/>
    <n v="274.25476998219489"/>
    <n v="0"/>
    <n v="3196.7462700000001"/>
    <n v="2975.0572199999997"/>
    <n v="0"/>
    <n v="3943.2797873802447"/>
    <n v="2696.1986436949578"/>
  </r>
  <r>
    <s v="Regular"/>
    <x v="3"/>
    <x v="2"/>
    <x v="0"/>
    <x v="0"/>
    <x v="0"/>
    <x v="0"/>
    <x v="0"/>
    <x v="7"/>
    <n v="0"/>
    <n v="0"/>
    <n v="10.012"/>
    <n v="10.012"/>
    <n v="10.012"/>
    <n v="10.012"/>
    <n v="0"/>
    <x v="0"/>
    <n v="0"/>
    <n v="0"/>
    <n v="45"/>
    <n v="83"/>
    <n v="0"/>
    <n v="325.17"/>
    <n v="302.62"/>
    <m/>
    <n v="401.29122532453738"/>
    <n v="274.25476998219489"/>
    <n v="0"/>
    <n v="3255.6020400000002"/>
    <n v="3029.8314400000004"/>
    <n v="0"/>
    <n v="4015.8800967603511"/>
    <n v="2745.8387570617351"/>
  </r>
  <r>
    <s v="Regular"/>
    <x v="3"/>
    <x v="2"/>
    <x v="0"/>
    <x v="0"/>
    <x v="0"/>
    <x v="0"/>
    <x v="0"/>
    <x v="8"/>
    <n v="0"/>
    <n v="0"/>
    <n v="10.441000000000001"/>
    <n v="10.441000000000001"/>
    <n v="10.441000000000001"/>
    <n v="10.441000000000001"/>
    <n v="0"/>
    <x v="0"/>
    <n v="0"/>
    <n v="0"/>
    <n v="45"/>
    <n v="83"/>
    <n v="0"/>
    <n v="325.17"/>
    <n v="302.62"/>
    <m/>
    <n v="401.29122532453738"/>
    <n v="274.25476998219489"/>
    <n v="0"/>
    <n v="3395.0999700000002"/>
    <n v="3159.65542"/>
    <n v="0"/>
    <n v="4187.9548631916523"/>
    <n v="2863.4940533840968"/>
  </r>
  <r>
    <s v="Regular"/>
    <x v="3"/>
    <x v="2"/>
    <x v="0"/>
    <x v="0"/>
    <x v="0"/>
    <x v="0"/>
    <x v="0"/>
    <x v="9"/>
    <n v="0"/>
    <n v="0"/>
    <n v="7.8769999999999998"/>
    <n v="7.8769999999999998"/>
    <n v="7.8769999999999998"/>
    <n v="7.8769999999999998"/>
    <n v="0"/>
    <x v="0"/>
    <n v="0"/>
    <n v="0"/>
    <n v="45"/>
    <n v="83"/>
    <n v="0"/>
    <n v="325.17"/>
    <n v="302.62"/>
    <m/>
    <n v="401.29122532453738"/>
    <n v="274.25476998219489"/>
    <n v="0"/>
    <n v="2561.36409"/>
    <n v="2383.73774"/>
    <n v="0"/>
    <n v="3159.5173314204239"/>
    <n v="2160.3048231497492"/>
  </r>
  <r>
    <s v="Regular"/>
    <x v="3"/>
    <x v="2"/>
    <x v="0"/>
    <x v="0"/>
    <x v="0"/>
    <x v="0"/>
    <x v="0"/>
    <x v="10"/>
    <n v="0"/>
    <n v="0"/>
    <n v="7.9480000000000004"/>
    <n v="7.9480000000000004"/>
    <n v="7.9480000000000004"/>
    <n v="7.9480000000000004"/>
    <n v="0"/>
    <x v="0"/>
    <n v="0"/>
    <n v="0"/>
    <n v="45"/>
    <n v="83"/>
    <n v="0"/>
    <n v="325.17"/>
    <n v="302.62"/>
    <m/>
    <n v="401.29122532453738"/>
    <n v="274.25476998219489"/>
    <n v="0"/>
    <n v="2584.4511600000001"/>
    <n v="2405.2237600000003"/>
    <n v="0"/>
    <n v="3187.9959058181453"/>
    <n v="2179.7769118184851"/>
  </r>
  <r>
    <s v="Regular"/>
    <x v="3"/>
    <x v="2"/>
    <x v="0"/>
    <x v="0"/>
    <x v="0"/>
    <x v="0"/>
    <x v="0"/>
    <x v="11"/>
    <n v="0"/>
    <n v="0"/>
    <n v="7.3920000000000003"/>
    <n v="7.3920000000000003"/>
    <n v="7.3920000000000003"/>
    <n v="7.3920000000000003"/>
    <n v="0"/>
    <x v="0"/>
    <n v="0"/>
    <n v="0"/>
    <n v="45"/>
    <n v="83"/>
    <n v="0"/>
    <n v="325.17"/>
    <n v="302.62"/>
    <m/>
    <n v="401.29122532453738"/>
    <n v="274.25476998219489"/>
    <n v="0"/>
    <n v="2403.6566400000002"/>
    <n v="2236.96704"/>
    <n v="0"/>
    <n v="2964.9805908162721"/>
    <n v="2027.2912597083846"/>
  </r>
  <r>
    <s v="Regular"/>
    <x v="3"/>
    <x v="2"/>
    <x v="0"/>
    <x v="0"/>
    <x v="0"/>
    <x v="0"/>
    <x v="3"/>
    <x v="0"/>
    <n v="0"/>
    <n v="0"/>
    <n v="0.38200000000000001"/>
    <n v="0.38200000000000001"/>
    <n v="0.38200000000000001"/>
    <n v="0.38200000000000001"/>
    <n v="0"/>
    <x v="0"/>
    <n v="0"/>
    <n v="0"/>
    <n v="44"/>
    <n v="82"/>
    <n v="0"/>
    <n v="775.82"/>
    <n v="302.62"/>
    <m/>
    <n v="914.03407875343055"/>
    <n v="274.25476998219489"/>
    <n v="0"/>
    <n v="296.36324000000002"/>
    <n v="115.60084000000001"/>
    <n v="0"/>
    <n v="348.94953091908116"/>
    <n v="104.76532213319845"/>
  </r>
  <r>
    <s v="Regular"/>
    <x v="3"/>
    <x v="2"/>
    <x v="0"/>
    <x v="0"/>
    <x v="0"/>
    <x v="0"/>
    <x v="3"/>
    <x v="1"/>
    <n v="0"/>
    <n v="0"/>
    <n v="0.318"/>
    <n v="0.318"/>
    <n v="0.318"/>
    <n v="0.318"/>
    <n v="0"/>
    <x v="0"/>
    <n v="0"/>
    <n v="0"/>
    <n v="44"/>
    <n v="82"/>
    <n v="0"/>
    <n v="775.82"/>
    <n v="302.62"/>
    <m/>
    <n v="914.03407875343055"/>
    <n v="274.25476998219489"/>
    <n v="0"/>
    <n v="246.71076000000002"/>
    <n v="96.233159999999998"/>
    <n v="0"/>
    <n v="290.48678228342357"/>
    <n v="87.21301685433798"/>
  </r>
  <r>
    <s v="Regular"/>
    <x v="3"/>
    <x v="2"/>
    <x v="0"/>
    <x v="0"/>
    <x v="0"/>
    <x v="0"/>
    <x v="3"/>
    <x v="2"/>
    <n v="0"/>
    <n v="0"/>
    <n v="0.28100000000000003"/>
    <n v="0.28100000000000003"/>
    <n v="0.28100000000000003"/>
    <n v="0.28100000000000003"/>
    <n v="0"/>
    <x v="0"/>
    <n v="0"/>
    <n v="0"/>
    <n v="44"/>
    <n v="82"/>
    <n v="0"/>
    <n v="775.82"/>
    <n v="302.62"/>
    <m/>
    <n v="914.03407875343055"/>
    <n v="274.25476998219489"/>
    <n v="0"/>
    <n v="218.00542000000004"/>
    <n v="85.036220000000014"/>
    <n v="0"/>
    <n v="256.68800572843406"/>
    <n v="77.065590364996766"/>
  </r>
  <r>
    <s v="Regular"/>
    <x v="3"/>
    <x v="2"/>
    <x v="0"/>
    <x v="0"/>
    <x v="0"/>
    <x v="0"/>
    <x v="3"/>
    <x v="3"/>
    <n v="0"/>
    <n v="0"/>
    <n v="0.29799999999999999"/>
    <n v="0.29799999999999999"/>
    <n v="0.29799999999999999"/>
    <n v="0.29799999999999999"/>
    <n v="0"/>
    <x v="0"/>
    <n v="0"/>
    <n v="0"/>
    <n v="44"/>
    <n v="82"/>
    <n v="0"/>
    <n v="775.82"/>
    <n v="302.62"/>
    <m/>
    <n v="914.03407875343055"/>
    <n v="274.25476998219489"/>
    <n v="0"/>
    <n v="231.19436000000002"/>
    <n v="90.180759999999992"/>
    <n v="0"/>
    <n v="272.21717333478057"/>
    <n v="81.727921454694069"/>
  </r>
  <r>
    <s v="Regular"/>
    <x v="3"/>
    <x v="2"/>
    <x v="0"/>
    <x v="0"/>
    <x v="0"/>
    <x v="0"/>
    <x v="3"/>
    <x v="4"/>
    <n v="0"/>
    <n v="0"/>
    <n v="0.375"/>
    <n v="0.375"/>
    <n v="0.375"/>
    <n v="0.375"/>
    <n v="0"/>
    <x v="0"/>
    <n v="0"/>
    <n v="0"/>
    <n v="44"/>
    <n v="82"/>
    <n v="0"/>
    <n v="775.82"/>
    <n v="302.62"/>
    <m/>
    <n v="914.03407875343055"/>
    <n v="274.25476998219489"/>
    <n v="0"/>
    <n v="290.9325"/>
    <n v="113.4825"/>
    <n v="0"/>
    <n v="342.55516778705612"/>
    <n v="102.84553874332309"/>
  </r>
  <r>
    <s v="Regular"/>
    <x v="3"/>
    <x v="2"/>
    <x v="0"/>
    <x v="0"/>
    <x v="0"/>
    <x v="0"/>
    <x v="3"/>
    <x v="5"/>
    <n v="0"/>
    <n v="0"/>
    <n v="0.34100000000000003"/>
    <n v="0.34100000000000003"/>
    <n v="0.34100000000000003"/>
    <n v="0.34100000000000003"/>
    <n v="0"/>
    <x v="0"/>
    <n v="0"/>
    <n v="0"/>
    <n v="44"/>
    <n v="82"/>
    <n v="0"/>
    <n v="775.82"/>
    <n v="302.62"/>
    <m/>
    <n v="914.03407875343055"/>
    <n v="274.25476998219489"/>
    <n v="0"/>
    <n v="264.55462000000006"/>
    <n v="103.19342"/>
    <n v="0"/>
    <n v="311.49683257436305"/>
    <n v="93.520876563928468"/>
  </r>
  <r>
    <s v="Regular"/>
    <x v="3"/>
    <x v="2"/>
    <x v="0"/>
    <x v="0"/>
    <x v="0"/>
    <x v="0"/>
    <x v="3"/>
    <x v="6"/>
    <n v="0"/>
    <n v="0"/>
    <n v="0.36"/>
    <n v="0.36"/>
    <n v="0.36"/>
    <n v="0.36"/>
    <n v="0"/>
    <x v="0"/>
    <n v="0"/>
    <n v="0"/>
    <n v="44"/>
    <n v="82"/>
    <n v="0"/>
    <n v="775.82"/>
    <n v="302.62"/>
    <m/>
    <n v="914.03407875343055"/>
    <n v="274.25476998219489"/>
    <n v="0"/>
    <n v="279.29520000000002"/>
    <n v="108.9432"/>
    <n v="0"/>
    <n v="328.85296107557383"/>
    <n v="98.731717193590157"/>
  </r>
  <r>
    <s v="Regular"/>
    <x v="3"/>
    <x v="2"/>
    <x v="0"/>
    <x v="0"/>
    <x v="0"/>
    <x v="0"/>
    <x v="3"/>
    <x v="7"/>
    <n v="0"/>
    <n v="0"/>
    <n v="0.32100000000000001"/>
    <n v="0.32100000000000001"/>
    <n v="0.32100000000000001"/>
    <n v="0.32100000000000001"/>
    <n v="0"/>
    <x v="0"/>
    <n v="0"/>
    <n v="0"/>
    <n v="44"/>
    <n v="82"/>
    <n v="0"/>
    <n v="775.82"/>
    <n v="302.62"/>
    <m/>
    <n v="914.03407875343055"/>
    <n v="274.25476998219489"/>
    <n v="0"/>
    <n v="249.03822000000002"/>
    <n v="97.141019999999997"/>
    <n v="0"/>
    <n v="293.22722362572006"/>
    <n v="88.035781164284558"/>
  </r>
  <r>
    <s v="Regular"/>
    <x v="3"/>
    <x v="2"/>
    <x v="0"/>
    <x v="0"/>
    <x v="0"/>
    <x v="0"/>
    <x v="3"/>
    <x v="8"/>
    <n v="0"/>
    <n v="0"/>
    <n v="0.26300000000000001"/>
    <n v="0.26300000000000001"/>
    <n v="0.26300000000000001"/>
    <n v="0.26300000000000001"/>
    <n v="0"/>
    <x v="0"/>
    <n v="0"/>
    <n v="0"/>
    <n v="44"/>
    <n v="82"/>
    <n v="0"/>
    <n v="775.82"/>
    <n v="302.62"/>
    <m/>
    <n v="914.03407875343055"/>
    <n v="274.25476998219489"/>
    <n v="0"/>
    <n v="204.04066000000003"/>
    <n v="79.589060000000003"/>
    <n v="0"/>
    <n v="240.24535767465537"/>
    <n v="72.129004505317255"/>
  </r>
  <r>
    <s v="Regular"/>
    <x v="3"/>
    <x v="2"/>
    <x v="0"/>
    <x v="0"/>
    <x v="0"/>
    <x v="0"/>
    <x v="3"/>
    <x v="9"/>
    <n v="0"/>
    <n v="0"/>
    <n v="0.19600000000000001"/>
    <n v="0.19600000000000001"/>
    <n v="0.19600000000000001"/>
    <n v="0.19600000000000001"/>
    <n v="0"/>
    <x v="0"/>
    <n v="0"/>
    <n v="0"/>
    <n v="44"/>
    <n v="82"/>
    <n v="0"/>
    <n v="775.82"/>
    <n v="302.62"/>
    <m/>
    <n v="914.03407875343055"/>
    <n v="274.25476998219489"/>
    <n v="0"/>
    <n v="152.06072"/>
    <n v="59.313520000000004"/>
    <n v="0"/>
    <n v="179.04216769670134"/>
    <n v="53.753934916510197"/>
  </r>
  <r>
    <s v="Regular"/>
    <x v="3"/>
    <x v="2"/>
    <x v="0"/>
    <x v="0"/>
    <x v="0"/>
    <x v="0"/>
    <x v="3"/>
    <x v="10"/>
    <n v="0"/>
    <n v="0"/>
    <n v="0.17599999999999999"/>
    <n v="0.17599999999999999"/>
    <n v="0.17599999999999999"/>
    <n v="0.17599999999999999"/>
    <n v="0"/>
    <x v="0"/>
    <n v="0"/>
    <n v="0"/>
    <n v="44"/>
    <n v="82"/>
    <n v="0"/>
    <n v="775.82"/>
    <n v="302.62"/>
    <m/>
    <n v="914.03407875343055"/>
    <n v="274.25476998219489"/>
    <n v="0"/>
    <n v="136.54432"/>
    <n v="53.261119999999998"/>
    <n v="0"/>
    <n v="160.77255874805832"/>
    <n v="48.268839516866301"/>
  </r>
  <r>
    <s v="Regular"/>
    <x v="3"/>
    <x v="2"/>
    <x v="0"/>
    <x v="0"/>
    <x v="0"/>
    <x v="0"/>
    <x v="3"/>
    <x v="11"/>
    <n v="0"/>
    <n v="0"/>
    <n v="0.183"/>
    <n v="0.183"/>
    <n v="0.183"/>
    <n v="0.183"/>
    <n v="0"/>
    <x v="0"/>
    <n v="0"/>
    <n v="0"/>
    <n v="44"/>
    <n v="82"/>
    <n v="0"/>
    <n v="775.82"/>
    <n v="302.62"/>
    <m/>
    <n v="914.03407875343055"/>
    <n v="274.25476998219489"/>
    <n v="0"/>
    <n v="141.97506000000001"/>
    <n v="55.379460000000002"/>
    <n v="0"/>
    <n v="167.16692188008338"/>
    <n v="50.188622906741664"/>
  </r>
  <r>
    <s v="Regular"/>
    <x v="3"/>
    <x v="2"/>
    <x v="0"/>
    <x v="0"/>
    <x v="0"/>
    <x v="0"/>
    <x v="2"/>
    <x v="0"/>
    <n v="0"/>
    <n v="0"/>
    <n v="0.73499999999999999"/>
    <n v="0.73499999999999999"/>
    <n v="0.73499999999999999"/>
    <n v="0.73499999999999999"/>
    <n v="0"/>
    <x v="0"/>
    <n v="0"/>
    <n v="0"/>
    <n v="43"/>
    <n v="81"/>
    <n v="0"/>
    <n v="1226.48"/>
    <n v="518.44000000000005"/>
    <m/>
    <n v="1426.7769321823234"/>
    <n v="469.6750309272033"/>
    <n v="0"/>
    <n v="901.46280000000002"/>
    <n v="381.05340000000001"/>
    <n v="0"/>
    <n v="1048.0028467065963"/>
    <n v="345.21114773149441"/>
  </r>
  <r>
    <s v="Regular"/>
    <x v="3"/>
    <x v="2"/>
    <x v="0"/>
    <x v="0"/>
    <x v="0"/>
    <x v="0"/>
    <x v="2"/>
    <x v="1"/>
    <n v="0"/>
    <n v="0"/>
    <n v="0.53100000000000003"/>
    <n v="0.53100000000000003"/>
    <n v="0.53100000000000003"/>
    <n v="0.53100000000000003"/>
    <n v="0"/>
    <x v="0"/>
    <n v="0"/>
    <n v="0"/>
    <n v="43"/>
    <n v="81"/>
    <n v="0"/>
    <n v="1226.48"/>
    <n v="518.44000000000005"/>
    <m/>
    <n v="1426.7769321823234"/>
    <n v="469.6750309272033"/>
    <n v="0"/>
    <n v="651.26088000000004"/>
    <n v="275.29164000000003"/>
    <n v="0"/>
    <n v="757.12858721252064"/>
    <n v="249.39744142234497"/>
  </r>
  <r>
    <s v="Regular"/>
    <x v="3"/>
    <x v="2"/>
    <x v="0"/>
    <x v="0"/>
    <x v="0"/>
    <x v="0"/>
    <x v="2"/>
    <x v="2"/>
    <n v="0"/>
    <n v="0"/>
    <n v="0.46300000000000002"/>
    <n v="0.46300000000000002"/>
    <n v="0.46300000000000002"/>
    <n v="0.46300000000000002"/>
    <n v="0"/>
    <x v="0"/>
    <n v="0"/>
    <n v="0"/>
    <n v="43"/>
    <n v="81"/>
    <n v="0"/>
    <n v="1226.48"/>
    <n v="518.44000000000005"/>
    <m/>
    <n v="1426.7769321823234"/>
    <n v="469.6750309272033"/>
    <n v="0"/>
    <n v="567.86024000000009"/>
    <n v="240.03772000000004"/>
    <n v="0"/>
    <n v="660.17050071449535"/>
    <n v="217.45953931929515"/>
  </r>
  <r>
    <s v="Regular"/>
    <x v="3"/>
    <x v="2"/>
    <x v="0"/>
    <x v="0"/>
    <x v="0"/>
    <x v="0"/>
    <x v="2"/>
    <x v="3"/>
    <n v="0"/>
    <n v="0"/>
    <n v="0.51600000000000001"/>
    <n v="0.51600000000000001"/>
    <n v="0.51600000000000001"/>
    <n v="0.51600000000000001"/>
    <n v="0"/>
    <x v="0"/>
    <n v="0"/>
    <n v="0"/>
    <n v="43"/>
    <n v="81"/>
    <n v="0"/>
    <n v="1226.48"/>
    <n v="518.44000000000005"/>
    <m/>
    <n v="1426.7769321823234"/>
    <n v="469.6750309272033"/>
    <n v="0"/>
    <n v="632.86368000000004"/>
    <n v="267.51504000000006"/>
    <n v="0"/>
    <n v="735.74077401442685"/>
    <n v="242.35231595843692"/>
  </r>
  <r>
    <s v="Regular"/>
    <x v="3"/>
    <x v="2"/>
    <x v="0"/>
    <x v="0"/>
    <x v="0"/>
    <x v="0"/>
    <x v="2"/>
    <x v="4"/>
    <n v="0"/>
    <n v="0"/>
    <n v="0.61199999999999999"/>
    <n v="0.61199999999999999"/>
    <n v="0.61199999999999999"/>
    <n v="0.61199999999999999"/>
    <n v="0"/>
    <x v="0"/>
    <n v="0"/>
    <n v="0"/>
    <n v="43"/>
    <n v="81"/>
    <n v="0"/>
    <n v="1226.48"/>
    <n v="518.44000000000005"/>
    <m/>
    <n v="1426.7769321823234"/>
    <n v="469.6750309272033"/>
    <n v="0"/>
    <n v="750.60576000000003"/>
    <n v="317.28528"/>
    <n v="0"/>
    <n v="872.62277848222709"/>
    <n v="287.44111892744843"/>
  </r>
  <r>
    <s v="Regular"/>
    <x v="3"/>
    <x v="2"/>
    <x v="0"/>
    <x v="0"/>
    <x v="0"/>
    <x v="0"/>
    <x v="2"/>
    <x v="5"/>
    <n v="0"/>
    <n v="0"/>
    <n v="0.60899999999999999"/>
    <n v="0.60899999999999999"/>
    <n v="0.60899999999999999"/>
    <n v="0.60899999999999999"/>
    <n v="0"/>
    <x v="0"/>
    <n v="0"/>
    <n v="0"/>
    <n v="43"/>
    <n v="81"/>
    <n v="0"/>
    <n v="1226.48"/>
    <n v="518.44000000000005"/>
    <m/>
    <n v="1426.7769321823234"/>
    <n v="469.6750309272033"/>
    <n v="0"/>
    <n v="746.92632000000003"/>
    <n v="315.72996000000001"/>
    <n v="0"/>
    <n v="868.34521584260835"/>
    <n v="286.0320938346668"/>
  </r>
  <r>
    <s v="Regular"/>
    <x v="3"/>
    <x v="2"/>
    <x v="0"/>
    <x v="0"/>
    <x v="0"/>
    <x v="0"/>
    <x v="2"/>
    <x v="6"/>
    <n v="0"/>
    <n v="0"/>
    <n v="0.30199999999999999"/>
    <n v="0.30199999999999999"/>
    <n v="0.30199999999999999"/>
    <n v="0.30199999999999999"/>
    <n v="0"/>
    <x v="0"/>
    <n v="0"/>
    <n v="0"/>
    <n v="43"/>
    <n v="81"/>
    <n v="0"/>
    <n v="1226.48"/>
    <n v="518.44000000000005"/>
    <m/>
    <n v="1426.7769321823234"/>
    <n v="469.6750309272033"/>
    <n v="0"/>
    <n v="370.39695999999998"/>
    <n v="156.56888000000001"/>
    <n v="0"/>
    <n v="430.60797238828854"/>
    <n v="141.84185934001539"/>
  </r>
  <r>
    <s v="Regular"/>
    <x v="3"/>
    <x v="2"/>
    <x v="0"/>
    <x v="0"/>
    <x v="0"/>
    <x v="0"/>
    <x v="2"/>
    <x v="7"/>
    <n v="0"/>
    <n v="0"/>
    <n v="0.21199999999999999"/>
    <n v="0.21199999999999999"/>
    <n v="0.21199999999999999"/>
    <n v="0.21199999999999999"/>
    <n v="0"/>
    <x v="0"/>
    <n v="0"/>
    <n v="0"/>
    <n v="43"/>
    <n v="81"/>
    <n v="0"/>
    <n v="1226.48"/>
    <n v="518.44000000000005"/>
    <m/>
    <n v="1426.7769321823234"/>
    <n v="469.6750309272033"/>
    <n v="0"/>
    <n v="260.01375999999999"/>
    <n v="109.90928000000001"/>
    <n v="0"/>
    <n v="302.28109319972572"/>
    <n v="99.571106556567102"/>
  </r>
  <r>
    <s v="Regular"/>
    <x v="3"/>
    <x v="2"/>
    <x v="0"/>
    <x v="0"/>
    <x v="0"/>
    <x v="0"/>
    <x v="2"/>
    <x v="8"/>
    <n v="0"/>
    <n v="0"/>
    <n v="0.17599999999999999"/>
    <n v="0.17599999999999999"/>
    <n v="0.17599999999999999"/>
    <n v="0.17599999999999999"/>
    <n v="0"/>
    <x v="0"/>
    <n v="0"/>
    <n v="0"/>
    <n v="43"/>
    <n v="81"/>
    <n v="0"/>
    <n v="1226.48"/>
    <n v="518.44000000000005"/>
    <m/>
    <n v="1426.7769321823234"/>
    <n v="469.6750309272033"/>
    <n v="0"/>
    <n v="215.86048"/>
    <n v="91.245440000000002"/>
    <n v="0"/>
    <n v="250.9503415243006"/>
    <n v="82.662805443187779"/>
  </r>
  <r>
    <s v="Regular"/>
    <x v="3"/>
    <x v="2"/>
    <x v="0"/>
    <x v="0"/>
    <x v="0"/>
    <x v="0"/>
    <x v="2"/>
    <x v="9"/>
    <n v="0"/>
    <n v="0"/>
    <n v="0.13900000000000001"/>
    <n v="0.13900000000000001"/>
    <n v="0.13900000000000001"/>
    <n v="0.13900000000000001"/>
    <n v="0"/>
    <x v="0"/>
    <n v="0"/>
    <n v="0"/>
    <n v="43"/>
    <n v="81"/>
    <n v="0"/>
    <n v="1226.48"/>
    <n v="518.44000000000005"/>
    <m/>
    <n v="1426.7769321823234"/>
    <n v="469.6750309272033"/>
    <n v="0"/>
    <n v="170.48072000000002"/>
    <n v="72.063160000000011"/>
    <n v="0"/>
    <n v="198.19373563566924"/>
    <n v="65.284829298881263"/>
  </r>
  <r>
    <s v="Regular"/>
    <x v="3"/>
    <x v="2"/>
    <x v="0"/>
    <x v="0"/>
    <x v="0"/>
    <x v="0"/>
    <x v="2"/>
    <x v="10"/>
    <n v="0"/>
    <n v="0"/>
    <n v="0.14699999999999999"/>
    <n v="0.14699999999999999"/>
    <n v="0.14699999999999999"/>
    <n v="0.14699999999999999"/>
    <n v="0"/>
    <x v="0"/>
    <n v="0"/>
    <n v="0"/>
    <n v="43"/>
    <n v="81"/>
    <n v="0"/>
    <n v="1226.48"/>
    <n v="518.44000000000005"/>
    <m/>
    <n v="1426.7769321823234"/>
    <n v="469.6750309272033"/>
    <n v="0"/>
    <n v="180.29255999999998"/>
    <n v="76.210680000000011"/>
    <n v="0"/>
    <n v="209.60056934131924"/>
    <n v="69.042229546298884"/>
  </r>
  <r>
    <s v="Regular"/>
    <x v="3"/>
    <x v="2"/>
    <x v="0"/>
    <x v="0"/>
    <x v="0"/>
    <x v="0"/>
    <x v="2"/>
    <x v="11"/>
    <n v="0"/>
    <n v="0"/>
    <n v="0.14499999999999999"/>
    <n v="0.14499999999999999"/>
    <n v="0.14499999999999999"/>
    <n v="0.14499999999999999"/>
    <n v="0"/>
    <x v="0"/>
    <n v="0"/>
    <n v="0"/>
    <n v="43"/>
    <n v="81"/>
    <n v="0"/>
    <n v="1226.48"/>
    <n v="518.44000000000005"/>
    <m/>
    <n v="1426.7769321823234"/>
    <n v="469.6750309272033"/>
    <n v="0"/>
    <n v="177.83959999999999"/>
    <n v="75.1738"/>
    <n v="0"/>
    <n v="206.74886091490674"/>
    <n v="68.102879484444472"/>
  </r>
  <r>
    <s v="Regular"/>
    <x v="3"/>
    <x v="2"/>
    <x v="1"/>
    <x v="0"/>
    <x v="0"/>
    <x v="0"/>
    <x v="0"/>
    <x v="0"/>
    <n v="0"/>
    <n v="0"/>
    <n v="2.0550000000000002"/>
    <n v="2.0550000000000002"/>
    <n v="2.0550000000000002"/>
    <n v="2.0550000000000002"/>
    <n v="0"/>
    <x v="0"/>
    <n v="0"/>
    <n v="0"/>
    <n v="45"/>
    <n v="83"/>
    <n v="0"/>
    <n v="325.17"/>
    <n v="302.62"/>
    <m/>
    <n v="401.29122532453738"/>
    <n v="274.25476998219489"/>
    <n v="0"/>
    <n v="668.22435000000007"/>
    <n v="621.8841000000001"/>
    <n v="0"/>
    <n v="824.2742308072834"/>
    <n v="563.59355231341056"/>
  </r>
  <r>
    <s v="Regular"/>
    <x v="3"/>
    <x v="2"/>
    <x v="1"/>
    <x v="0"/>
    <x v="0"/>
    <x v="0"/>
    <x v="0"/>
    <x v="1"/>
    <n v="0"/>
    <n v="0"/>
    <n v="2.2200000000000002"/>
    <n v="2.2200000000000002"/>
    <n v="2.2200000000000002"/>
    <n v="2.2200000000000002"/>
    <n v="0"/>
    <x v="0"/>
    <n v="0"/>
    <n v="0"/>
    <n v="45"/>
    <n v="83"/>
    <n v="0"/>
    <n v="325.17"/>
    <n v="302.62"/>
    <m/>
    <n v="401.29122532453738"/>
    <n v="274.25476998219489"/>
    <n v="0"/>
    <n v="721.87740000000008"/>
    <n v="671.81640000000004"/>
    <n v="0"/>
    <n v="890.45683328086091"/>
    <n v="608.84558936047267"/>
  </r>
  <r>
    <s v="Regular"/>
    <x v="3"/>
    <x v="2"/>
    <x v="1"/>
    <x v="0"/>
    <x v="0"/>
    <x v="0"/>
    <x v="0"/>
    <x v="2"/>
    <n v="0"/>
    <n v="0"/>
    <n v="3.2949999999999999"/>
    <n v="3.2949999999999999"/>
    <n v="3.2949999999999999"/>
    <n v="3.2949999999999999"/>
    <n v="0"/>
    <x v="0"/>
    <n v="0"/>
    <n v="0"/>
    <n v="45"/>
    <n v="83"/>
    <n v="0"/>
    <n v="325.17"/>
    <n v="302.62"/>
    <m/>
    <n v="401.29122532453738"/>
    <n v="274.25476998219489"/>
    <n v="0"/>
    <n v="1071.43515"/>
    <n v="997.13289999999995"/>
    <n v="0"/>
    <n v="1321.6465160632597"/>
    <n v="903.66946709133208"/>
  </r>
  <r>
    <s v="Regular"/>
    <x v="3"/>
    <x v="2"/>
    <x v="1"/>
    <x v="0"/>
    <x v="0"/>
    <x v="0"/>
    <x v="0"/>
    <x v="3"/>
    <n v="0"/>
    <n v="0"/>
    <n v="2.5990000000000002"/>
    <n v="2.5990000000000002"/>
    <n v="2.5990000000000002"/>
    <n v="2.5990000000000002"/>
    <n v="0"/>
    <x v="0"/>
    <n v="0"/>
    <n v="0"/>
    <n v="45"/>
    <n v="83"/>
    <n v="0"/>
    <n v="325.17"/>
    <n v="302.62"/>
    <m/>
    <n v="401.29122532453738"/>
    <n v="274.25476998219489"/>
    <n v="0"/>
    <n v="845.11683000000005"/>
    <n v="786.50938000000008"/>
    <n v="0"/>
    <n v="1042.4762656292601"/>
    <n v="712.78814718372462"/>
  </r>
  <r>
    <s v="Regular"/>
    <x v="3"/>
    <x v="2"/>
    <x v="1"/>
    <x v="0"/>
    <x v="0"/>
    <x v="0"/>
    <x v="0"/>
    <x v="4"/>
    <n v="0"/>
    <n v="0"/>
    <n v="3.3460000000000001"/>
    <n v="3.3460000000000001"/>
    <n v="3.3460000000000001"/>
    <n v="3.3460000000000001"/>
    <n v="0"/>
    <x v="0"/>
    <n v="0"/>
    <n v="0"/>
    <n v="45"/>
    <n v="83"/>
    <n v="0"/>
    <n v="325.17"/>
    <n v="302.62"/>
    <m/>
    <n v="401.29122532453738"/>
    <n v="274.25476998219489"/>
    <n v="0"/>
    <n v="1088.01882"/>
    <n v="1012.5665200000001"/>
    <n v="0"/>
    <n v="1342.10295682782"/>
    <n v="917.65646036042415"/>
  </r>
  <r>
    <s v="Regular"/>
    <x v="3"/>
    <x v="2"/>
    <x v="1"/>
    <x v="0"/>
    <x v="0"/>
    <x v="0"/>
    <x v="0"/>
    <x v="5"/>
    <n v="0"/>
    <n v="0"/>
    <n v="1.5740000000000001"/>
    <n v="1.5740000000000001"/>
    <n v="1.5740000000000001"/>
    <n v="1.5740000000000001"/>
    <n v="0"/>
    <x v="0"/>
    <n v="0"/>
    <n v="0"/>
    <n v="45"/>
    <n v="83"/>
    <n v="0"/>
    <n v="325.17"/>
    <n v="302.62"/>
    <m/>
    <n v="401.29122532453738"/>
    <n v="274.25476998219489"/>
    <n v="0"/>
    <n v="511.81758000000002"/>
    <n v="476.32388000000003"/>
    <n v="0"/>
    <n v="631.34191692976356"/>
    <n v="431.67700795197476"/>
  </r>
  <r>
    <s v="Regular"/>
    <x v="3"/>
    <x v="2"/>
    <x v="1"/>
    <x v="0"/>
    <x v="0"/>
    <x v="0"/>
    <x v="3"/>
    <x v="0"/>
    <n v="0"/>
    <n v="0"/>
    <n v="2E-3"/>
    <n v="2E-3"/>
    <n v="2E-3"/>
    <n v="2E-3"/>
    <n v="0"/>
    <x v="0"/>
    <n v="0"/>
    <n v="0"/>
    <n v="44"/>
    <n v="82"/>
    <n v="0"/>
    <n v="775.82"/>
    <n v="302.62"/>
    <m/>
    <n v="914.03407875343055"/>
    <n v="274.25476998219489"/>
    <n v="0"/>
    <n v="1.5516400000000001"/>
    <n v="0.60524"/>
    <n v="0"/>
    <n v="1.8269608948642992"/>
    <n v="0.54850953996438978"/>
  </r>
  <r>
    <s v="Regular"/>
    <x v="3"/>
    <x v="2"/>
    <x v="1"/>
    <x v="0"/>
    <x v="0"/>
    <x v="0"/>
    <x v="3"/>
    <x v="1"/>
    <n v="0"/>
    <n v="0"/>
    <n v="3.0000000000000001E-3"/>
    <n v="3.0000000000000001E-3"/>
    <n v="3.0000000000000001E-3"/>
    <n v="3.0000000000000001E-3"/>
    <n v="0"/>
    <x v="0"/>
    <n v="0"/>
    <n v="0"/>
    <n v="44"/>
    <n v="82"/>
    <n v="0"/>
    <n v="775.82"/>
    <n v="302.62"/>
    <m/>
    <n v="914.03407875343055"/>
    <n v="274.25476998219489"/>
    <n v="0"/>
    <n v="2.3274600000000003"/>
    <n v="0.90786"/>
    <n v="0"/>
    <n v="2.7404413422964491"/>
    <n v="0.82276430994658467"/>
  </r>
  <r>
    <s v="Regular"/>
    <x v="3"/>
    <x v="2"/>
    <x v="1"/>
    <x v="0"/>
    <x v="0"/>
    <x v="0"/>
    <x v="3"/>
    <x v="2"/>
    <n v="0"/>
    <n v="0"/>
    <n v="1E-3"/>
    <n v="1E-3"/>
    <n v="1E-3"/>
    <n v="1E-3"/>
    <n v="0"/>
    <x v="0"/>
    <n v="0"/>
    <n v="0"/>
    <n v="44"/>
    <n v="82"/>
    <n v="0"/>
    <n v="775.82"/>
    <n v="302.62"/>
    <m/>
    <n v="914.03407875343055"/>
    <n v="274.25476998219489"/>
    <n v="0"/>
    <n v="0.77582000000000007"/>
    <n v="0.30262"/>
    <n v="0"/>
    <n v="0.91348044743214962"/>
    <n v="0.27425476998219489"/>
  </r>
  <r>
    <s v="Regular"/>
    <x v="3"/>
    <x v="2"/>
    <x v="1"/>
    <x v="0"/>
    <x v="0"/>
    <x v="0"/>
    <x v="3"/>
    <x v="3"/>
    <n v="0"/>
    <n v="0"/>
    <n v="1E-3"/>
    <n v="1E-3"/>
    <n v="1E-3"/>
    <n v="1E-3"/>
    <n v="0"/>
    <x v="0"/>
    <n v="0"/>
    <n v="0"/>
    <n v="44"/>
    <n v="82"/>
    <n v="0"/>
    <n v="775.82"/>
    <n v="302.62"/>
    <m/>
    <n v="914.03407875343055"/>
    <n v="274.25476998219489"/>
    <n v="0"/>
    <n v="0.77582000000000007"/>
    <n v="0.30262"/>
    <n v="0"/>
    <n v="0.91348044743214962"/>
    <n v="0.27425476998219489"/>
  </r>
  <r>
    <s v="Regular"/>
    <x v="3"/>
    <x v="2"/>
    <x v="1"/>
    <x v="0"/>
    <x v="0"/>
    <x v="0"/>
    <x v="3"/>
    <x v="4"/>
    <n v="0"/>
    <n v="0"/>
    <n v="2E-3"/>
    <n v="2E-3"/>
    <n v="2E-3"/>
    <n v="2E-3"/>
    <n v="0"/>
    <x v="0"/>
    <n v="0"/>
    <n v="0"/>
    <n v="44"/>
    <n v="82"/>
    <n v="0"/>
    <n v="775.82"/>
    <n v="302.62"/>
    <m/>
    <n v="914.03407875343055"/>
    <n v="274.25476998219489"/>
    <n v="0"/>
    <n v="1.5516400000000001"/>
    <n v="0.60524"/>
    <n v="0"/>
    <n v="1.8269608948642992"/>
    <n v="0.54850953996438978"/>
  </r>
  <r>
    <s v="Regular"/>
    <x v="3"/>
    <x v="2"/>
    <x v="1"/>
    <x v="0"/>
    <x v="0"/>
    <x v="0"/>
    <x v="3"/>
    <x v="5"/>
    <n v="0"/>
    <n v="0"/>
    <n v="1E-3"/>
    <n v="1E-3"/>
    <n v="1E-3"/>
    <n v="1E-3"/>
    <n v="0"/>
    <x v="0"/>
    <n v="0"/>
    <n v="0"/>
    <n v="44"/>
    <n v="82"/>
    <n v="0"/>
    <n v="775.82"/>
    <n v="302.62"/>
    <m/>
    <n v="914.03407875343055"/>
    <n v="274.25476998219489"/>
    <n v="0"/>
    <n v="0.77582000000000007"/>
    <n v="0.30262"/>
    <n v="0"/>
    <n v="0.91348044743214962"/>
    <n v="0.27425476998219489"/>
  </r>
  <r>
    <s v="Regular"/>
    <x v="3"/>
    <x v="2"/>
    <x v="1"/>
    <x v="0"/>
    <x v="0"/>
    <x v="0"/>
    <x v="2"/>
    <x v="0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6.7769321823234"/>
    <n v="469.6750309272033"/>
    <n v="0"/>
    <n v="1.22648"/>
    <n v="0.51844000000000001"/>
    <n v="0"/>
    <n v="1.4258542132062535"/>
    <n v="0.46967503092720331"/>
  </r>
  <r>
    <s v="Regular"/>
    <x v="3"/>
    <x v="2"/>
    <x v="1"/>
    <x v="0"/>
    <x v="0"/>
    <x v="0"/>
    <x v="2"/>
    <x v="1"/>
    <n v="0"/>
    <n v="0"/>
    <n v="3.0000000000000001E-3"/>
    <n v="3.0000000000000001E-3"/>
    <n v="3.0000000000000001E-3"/>
    <n v="3.0000000000000001E-3"/>
    <n v="0"/>
    <x v="0"/>
    <n v="0"/>
    <n v="0"/>
    <n v="43"/>
    <n v="81"/>
    <n v="0"/>
    <n v="1226.48"/>
    <n v="518.44000000000005"/>
    <m/>
    <n v="1426.7769321823234"/>
    <n v="469.6750309272033"/>
    <n v="0"/>
    <n v="3.67944"/>
    <n v="1.5553200000000003"/>
    <n v="0"/>
    <n v="4.2775626396187603"/>
    <n v="1.4090250927816099"/>
  </r>
  <r>
    <s v="Regular"/>
    <x v="3"/>
    <x v="2"/>
    <x v="1"/>
    <x v="0"/>
    <x v="0"/>
    <x v="0"/>
    <x v="2"/>
    <x v="2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6.7769321823234"/>
    <n v="469.6750309272033"/>
    <n v="0"/>
    <n v="1.22648"/>
    <n v="0.51844000000000001"/>
    <n v="0"/>
    <n v="1.4258542132062535"/>
    <n v="0.46967503092720331"/>
  </r>
  <r>
    <s v="Regular"/>
    <x v="3"/>
    <x v="2"/>
    <x v="1"/>
    <x v="0"/>
    <x v="0"/>
    <x v="0"/>
    <x v="2"/>
    <x v="3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6.7769321823234"/>
    <n v="469.6750309272033"/>
    <n v="0"/>
    <n v="1.22648"/>
    <n v="0.51844000000000001"/>
    <n v="0"/>
    <n v="1.4258542132062535"/>
    <n v="0.46967503092720331"/>
  </r>
  <r>
    <s v="Regular"/>
    <x v="3"/>
    <x v="2"/>
    <x v="1"/>
    <x v="0"/>
    <x v="0"/>
    <x v="0"/>
    <x v="2"/>
    <x v="4"/>
    <n v="0"/>
    <n v="0"/>
    <n v="8.0000000000000002E-3"/>
    <n v="8.0000000000000002E-3"/>
    <n v="8.0000000000000002E-3"/>
    <n v="8.0000000000000002E-3"/>
    <n v="0"/>
    <x v="0"/>
    <n v="0"/>
    <n v="0"/>
    <n v="43"/>
    <n v="81"/>
    <n v="0"/>
    <n v="1226.48"/>
    <n v="518.44000000000005"/>
    <m/>
    <n v="1426.7769321823234"/>
    <n v="469.6750309272033"/>
    <n v="0"/>
    <n v="9.8118400000000001"/>
    <n v="4.1475200000000001"/>
    <n v="0"/>
    <n v="11.406833705650028"/>
    <n v="3.7574002474176265"/>
  </r>
  <r>
    <s v="Regular"/>
    <x v="3"/>
    <x v="2"/>
    <x v="1"/>
    <x v="0"/>
    <x v="0"/>
    <x v="0"/>
    <x v="2"/>
    <x v="5"/>
    <n v="0"/>
    <n v="0"/>
    <n v="1E-3"/>
    <n v="1E-3"/>
    <n v="1E-3"/>
    <n v="1E-3"/>
    <n v="0"/>
    <x v="0"/>
    <n v="0"/>
    <n v="0"/>
    <n v="43"/>
    <n v="81"/>
    <n v="0"/>
    <n v="1226.48"/>
    <n v="518.44000000000005"/>
    <m/>
    <n v="1426.7769321823234"/>
    <n v="469.6750309272033"/>
    <n v="0"/>
    <n v="1.22648"/>
    <n v="0.51844000000000001"/>
    <n v="0"/>
    <n v="1.4258542132062535"/>
    <n v="0.46967503092720331"/>
  </r>
  <r>
    <s v="Regular"/>
    <x v="3"/>
    <x v="2"/>
    <x v="4"/>
    <x v="0"/>
    <x v="0"/>
    <x v="0"/>
    <x v="0"/>
    <x v="0"/>
    <n v="0"/>
    <n v="0"/>
    <n v="4.6429999999999998"/>
    <n v="4.6429999999999998"/>
    <n v="4.6429999999999998"/>
    <n v="4.6429999999999998"/>
    <n v="0"/>
    <x v="0"/>
    <n v="0"/>
    <n v="0"/>
    <n v="45"/>
    <n v="83"/>
    <n v="0"/>
    <n v="325.17"/>
    <n v="302.62"/>
    <m/>
    <n v="401.29122532453738"/>
    <n v="274.25476998219489"/>
    <n v="0"/>
    <n v="1509.76431"/>
    <n v="1405.06466"/>
    <n v="0"/>
    <n v="1862.3383229383048"/>
    <n v="1273.3648970273307"/>
  </r>
  <r>
    <s v="Regular"/>
    <x v="3"/>
    <x v="2"/>
    <x v="4"/>
    <x v="0"/>
    <x v="0"/>
    <x v="0"/>
    <x v="0"/>
    <x v="1"/>
    <n v="0"/>
    <n v="0"/>
    <n v="4.452"/>
    <n v="4.452"/>
    <n v="4.452"/>
    <n v="4.452"/>
    <n v="0"/>
    <x v="0"/>
    <n v="0"/>
    <n v="0"/>
    <n v="45"/>
    <n v="83"/>
    <n v="0"/>
    <n v="325.17"/>
    <n v="302.62"/>
    <m/>
    <n v="401.29122532453738"/>
    <n v="274.25476998219489"/>
    <n v="0"/>
    <n v="1447.6568400000001"/>
    <n v="1347.26424"/>
    <n v="0"/>
    <n v="1785.7269467416183"/>
    <n v="1220.9822359607317"/>
  </r>
  <r>
    <s v="Regular"/>
    <x v="3"/>
    <x v="2"/>
    <x v="4"/>
    <x v="0"/>
    <x v="0"/>
    <x v="0"/>
    <x v="0"/>
    <x v="2"/>
    <n v="0"/>
    <n v="0"/>
    <n v="4.3840000000000003"/>
    <n v="4.3840000000000003"/>
    <n v="4.3840000000000003"/>
    <n v="4.3840000000000003"/>
    <n v="0"/>
    <x v="0"/>
    <n v="0"/>
    <n v="0"/>
    <n v="45"/>
    <n v="83"/>
    <n v="0"/>
    <n v="325.17"/>
    <n v="302.62"/>
    <m/>
    <n v="401.29122532453738"/>
    <n v="274.25476998219489"/>
    <n v="0"/>
    <n v="1425.5452800000003"/>
    <n v="1326.6860800000002"/>
    <n v="0"/>
    <n v="1758.4516923888714"/>
    <n v="1202.3329116019424"/>
  </r>
  <r>
    <s v="Regular"/>
    <x v="3"/>
    <x v="2"/>
    <x v="4"/>
    <x v="0"/>
    <x v="0"/>
    <x v="0"/>
    <x v="0"/>
    <x v="3"/>
    <n v="0"/>
    <n v="0"/>
    <n v="4.9059999999999997"/>
    <n v="4.9059999999999997"/>
    <n v="4.9059999999999997"/>
    <n v="4.9059999999999997"/>
    <n v="0"/>
    <x v="0"/>
    <n v="0"/>
    <n v="0"/>
    <n v="45"/>
    <n v="83"/>
    <n v="0"/>
    <n v="325.17"/>
    <n v="302.62"/>
    <m/>
    <n v="401.29122532453738"/>
    <n v="274.25476998219489"/>
    <n v="0"/>
    <n v="1595.2840200000001"/>
    <n v="1484.65372"/>
    <n v="0"/>
    <n v="1967.8293802143708"/>
    <n v="1345.4939015326481"/>
  </r>
  <r>
    <s v="Regular"/>
    <x v="3"/>
    <x v="2"/>
    <x v="4"/>
    <x v="0"/>
    <x v="0"/>
    <x v="0"/>
    <x v="0"/>
    <x v="4"/>
    <n v="0"/>
    <n v="0"/>
    <n v="5.53"/>
    <n v="5.53"/>
    <n v="5.53"/>
    <n v="5.53"/>
    <n v="0"/>
    <x v="0"/>
    <n v="0"/>
    <n v="0"/>
    <n v="45"/>
    <n v="83"/>
    <n v="0"/>
    <n v="325.17"/>
    <n v="302.62"/>
    <m/>
    <n v="401.29122532453738"/>
    <n v="274.25476998219489"/>
    <n v="0"/>
    <n v="1798.1901000000003"/>
    <n v="1673.4886000000001"/>
    <n v="0"/>
    <n v="2218.1199495689912"/>
    <n v="1516.6288780015377"/>
  </r>
  <r>
    <s v="Regular"/>
    <x v="3"/>
    <x v="2"/>
    <x v="4"/>
    <x v="0"/>
    <x v="0"/>
    <x v="0"/>
    <x v="0"/>
    <x v="5"/>
    <n v="0"/>
    <n v="0"/>
    <n v="6.5960000000000001"/>
    <n v="6.5960000000000001"/>
    <n v="6.5960000000000001"/>
    <n v="6.5960000000000001"/>
    <n v="0"/>
    <x v="0"/>
    <n v="0"/>
    <n v="0"/>
    <n v="45"/>
    <n v="83"/>
    <n v="0"/>
    <n v="325.17"/>
    <n v="302.62"/>
    <m/>
    <n v="401.29122532453738"/>
    <n v="274.25476998219489"/>
    <n v="0"/>
    <n v="2144.82132"/>
    <n v="1996.08152"/>
    <n v="0"/>
    <n v="2645.6996722164677"/>
    <n v="1808.9844628025576"/>
  </r>
  <r>
    <s v="Regular"/>
    <x v="3"/>
    <x v="2"/>
    <x v="4"/>
    <x v="0"/>
    <x v="0"/>
    <x v="0"/>
    <x v="0"/>
    <x v="6"/>
    <n v="0"/>
    <n v="0"/>
    <n v="8.9149999999999991"/>
    <n v="8.9149999999999991"/>
    <n v="8.9149999999999991"/>
    <n v="8.9149999999999991"/>
    <n v="0"/>
    <x v="0"/>
    <n v="0"/>
    <n v="0"/>
    <n v="45"/>
    <n v="83"/>
    <n v="0"/>
    <n v="325.17"/>
    <n v="302.62"/>
    <m/>
    <n v="401.29122532453738"/>
    <n v="274.25476998219489"/>
    <n v="0"/>
    <n v="2898.8905500000001"/>
    <n v="2697.8572999999997"/>
    <n v="0"/>
    <n v="3575.8660669814749"/>
    <n v="2444.9812743912671"/>
  </r>
  <r>
    <s v="Regular"/>
    <x v="3"/>
    <x v="2"/>
    <x v="4"/>
    <x v="0"/>
    <x v="0"/>
    <x v="0"/>
    <x v="0"/>
    <x v="7"/>
    <n v="0"/>
    <n v="0"/>
    <n v="7.0819999999999999"/>
    <n v="7.0819999999999999"/>
    <n v="7.0819999999999999"/>
    <n v="7.0819999999999999"/>
    <n v="0"/>
    <x v="0"/>
    <n v="0"/>
    <n v="0"/>
    <n v="45"/>
    <n v="83"/>
    <n v="0"/>
    <n v="325.17"/>
    <n v="302.62"/>
    <m/>
    <n v="401.29122532453738"/>
    <n v="274.25476998219489"/>
    <n v="0"/>
    <n v="2302.85394"/>
    <n v="2143.1548400000001"/>
    <n v="0"/>
    <n v="2840.6375195022779"/>
    <n v="1942.2722810139041"/>
  </r>
  <r>
    <s v="Regular"/>
    <x v="3"/>
    <x v="2"/>
    <x v="4"/>
    <x v="0"/>
    <x v="0"/>
    <x v="0"/>
    <x v="0"/>
    <x v="8"/>
    <n v="0"/>
    <n v="0"/>
    <n v="7.0330000000000004"/>
    <n v="7.0330000000000004"/>
    <n v="7.0330000000000004"/>
    <n v="7.0330000000000004"/>
    <n v="0"/>
    <x v="0"/>
    <n v="0"/>
    <n v="0"/>
    <n v="45"/>
    <n v="83"/>
    <n v="0"/>
    <n v="325.17"/>
    <n v="302.62"/>
    <m/>
    <n v="401.29122532453738"/>
    <n v="274.25476998219489"/>
    <n v="0"/>
    <n v="2286.9206100000001"/>
    <n v="2128.3264600000002"/>
    <n v="0"/>
    <n v="2820.9832921010338"/>
    <n v="1928.8337972847767"/>
  </r>
  <r>
    <s v="Regular"/>
    <x v="3"/>
    <x v="2"/>
    <x v="4"/>
    <x v="0"/>
    <x v="0"/>
    <x v="0"/>
    <x v="0"/>
    <x v="9"/>
    <n v="0"/>
    <n v="0"/>
    <n v="5.6379999999999999"/>
    <n v="5.6379999999999999"/>
    <n v="5.6379999999999999"/>
    <n v="5.6379999999999999"/>
    <n v="0"/>
    <x v="0"/>
    <n v="0"/>
    <n v="0"/>
    <n v="45"/>
    <n v="83"/>
    <n v="0"/>
    <n v="325.17"/>
    <n v="302.62"/>
    <m/>
    <n v="401.29122532453738"/>
    <n v="274.25476998219489"/>
    <n v="0"/>
    <n v="1833.30846"/>
    <n v="1706.17156"/>
    <n v="0"/>
    <n v="2261.43947118806"/>
    <n v="1546.2483931596148"/>
  </r>
  <r>
    <s v="Regular"/>
    <x v="3"/>
    <x v="2"/>
    <x v="4"/>
    <x v="0"/>
    <x v="0"/>
    <x v="0"/>
    <x v="0"/>
    <x v="10"/>
    <n v="0"/>
    <n v="0"/>
    <n v="4.3520000000000003"/>
    <n v="4.3520000000000003"/>
    <n v="4.3520000000000003"/>
    <n v="4.3520000000000003"/>
    <n v="0"/>
    <x v="0"/>
    <n v="0"/>
    <n v="0"/>
    <n v="45"/>
    <n v="83"/>
    <n v="0"/>
    <n v="325.17"/>
    <n v="302.62"/>
    <m/>
    <n v="401.29122532453738"/>
    <n v="274.25476998219489"/>
    <n v="0"/>
    <n v="1415.1398400000003"/>
    <n v="1317.00224"/>
    <n v="0"/>
    <n v="1745.6162785758138"/>
    <n v="1193.5567589625123"/>
  </r>
  <r>
    <s v="Regular"/>
    <x v="3"/>
    <x v="2"/>
    <x v="4"/>
    <x v="0"/>
    <x v="0"/>
    <x v="0"/>
    <x v="0"/>
    <x v="11"/>
    <n v="0"/>
    <n v="0"/>
    <n v="3.7970000000000002"/>
    <n v="3.7970000000000002"/>
    <n v="3.7970000000000002"/>
    <n v="3.7970000000000002"/>
    <n v="0"/>
    <x v="0"/>
    <n v="0"/>
    <n v="0"/>
    <n v="45"/>
    <n v="83"/>
    <n v="0"/>
    <n v="325.17"/>
    <n v="302.62"/>
    <m/>
    <n v="401.29122532453738"/>
    <n v="274.25476998219489"/>
    <n v="0"/>
    <n v="1234.6704900000002"/>
    <n v="1149.0481400000001"/>
    <n v="0"/>
    <n v="1523.0020702555985"/>
    <n v="1041.345361622394"/>
  </r>
  <r>
    <s v="Regular"/>
    <x v="3"/>
    <x v="2"/>
    <x v="4"/>
    <x v="0"/>
    <x v="0"/>
    <x v="0"/>
    <x v="3"/>
    <x v="0"/>
    <n v="0"/>
    <n v="0"/>
    <n v="0.29099999999999998"/>
    <n v="0.29099999999999998"/>
    <n v="0.29099999999999998"/>
    <n v="0.29099999999999998"/>
    <n v="0"/>
    <x v="0"/>
    <n v="0"/>
    <n v="0"/>
    <n v="44"/>
    <n v="82"/>
    <n v="0"/>
    <n v="775.82"/>
    <n v="302.62"/>
    <m/>
    <n v="914.03407875343055"/>
    <n v="274.25476998219489"/>
    <n v="0"/>
    <n v="225.76362"/>
    <n v="88.062419999999989"/>
    <n v="0"/>
    <n v="265.82281020275553"/>
    <n v="79.808138064818706"/>
  </r>
  <r>
    <s v="Regular"/>
    <x v="3"/>
    <x v="2"/>
    <x v="4"/>
    <x v="0"/>
    <x v="0"/>
    <x v="0"/>
    <x v="3"/>
    <x v="1"/>
    <n v="0"/>
    <n v="0"/>
    <n v="0.27700000000000002"/>
    <n v="0.27700000000000002"/>
    <n v="0.27700000000000002"/>
    <n v="0.27700000000000002"/>
    <n v="0"/>
    <x v="0"/>
    <n v="0"/>
    <n v="0"/>
    <n v="44"/>
    <n v="82"/>
    <n v="0"/>
    <n v="775.82"/>
    <n v="302.62"/>
    <m/>
    <n v="914.03407875343055"/>
    <n v="274.25476998219489"/>
    <n v="0"/>
    <n v="214.90214000000003"/>
    <n v="83.82574000000001"/>
    <n v="0"/>
    <n v="253.03408393870546"/>
    <n v="75.968571285067995"/>
  </r>
  <r>
    <s v="Regular"/>
    <x v="3"/>
    <x v="2"/>
    <x v="4"/>
    <x v="0"/>
    <x v="0"/>
    <x v="0"/>
    <x v="3"/>
    <x v="2"/>
    <n v="0"/>
    <n v="0"/>
    <n v="0.24399999999999999"/>
    <n v="0.24399999999999999"/>
    <n v="0.24399999999999999"/>
    <n v="0.24399999999999999"/>
    <n v="0"/>
    <x v="0"/>
    <n v="0"/>
    <n v="0"/>
    <n v="44"/>
    <n v="82"/>
    <n v="0"/>
    <n v="775.82"/>
    <n v="302.62"/>
    <m/>
    <n v="914.03407875343055"/>
    <n v="274.25476998219489"/>
    <n v="0"/>
    <n v="189.30008000000001"/>
    <n v="73.839280000000002"/>
    <n v="0"/>
    <n v="222.88922917344451"/>
    <n v="66.918163875655551"/>
  </r>
  <r>
    <s v="Regular"/>
    <x v="3"/>
    <x v="2"/>
    <x v="4"/>
    <x v="0"/>
    <x v="0"/>
    <x v="0"/>
    <x v="3"/>
    <x v="3"/>
    <n v="0"/>
    <n v="0"/>
    <n v="0.24399999999999999"/>
    <n v="0.24399999999999999"/>
    <n v="0.24399999999999999"/>
    <n v="0.24399999999999999"/>
    <n v="0"/>
    <x v="0"/>
    <n v="0"/>
    <n v="0"/>
    <n v="44"/>
    <n v="82"/>
    <n v="0"/>
    <n v="775.82"/>
    <n v="302.62"/>
    <m/>
    <n v="914.03407875343055"/>
    <n v="274.25476998219489"/>
    <n v="0"/>
    <n v="189.30008000000001"/>
    <n v="73.839280000000002"/>
    <n v="0"/>
    <n v="222.88922917344451"/>
    <n v="66.918163875655551"/>
  </r>
  <r>
    <s v="Regular"/>
    <x v="3"/>
    <x v="2"/>
    <x v="4"/>
    <x v="0"/>
    <x v="0"/>
    <x v="0"/>
    <x v="3"/>
    <x v="4"/>
    <n v="0"/>
    <n v="0"/>
    <n v="0.34499999999999997"/>
    <n v="0.34499999999999997"/>
    <n v="0.34499999999999997"/>
    <n v="0.34499999999999997"/>
    <n v="0"/>
    <x v="0"/>
    <n v="0"/>
    <n v="0"/>
    <n v="44"/>
    <n v="82"/>
    <n v="0"/>
    <n v="775.82"/>
    <n v="302.62"/>
    <m/>
    <n v="914.03407875343055"/>
    <n v="274.25476998219489"/>
    <n v="0"/>
    <n v="267.65789999999998"/>
    <n v="104.40389999999999"/>
    <n v="0"/>
    <n v="315.1507543640916"/>
    <n v="94.617895643857224"/>
  </r>
  <r>
    <s v="Regular"/>
    <x v="3"/>
    <x v="2"/>
    <x v="4"/>
    <x v="0"/>
    <x v="0"/>
    <x v="0"/>
    <x v="3"/>
    <x v="5"/>
    <n v="0"/>
    <n v="0"/>
    <n v="0.44700000000000001"/>
    <n v="0.44700000000000001"/>
    <n v="0.44700000000000001"/>
    <n v="0.44700000000000001"/>
    <n v="0"/>
    <x v="0"/>
    <n v="0"/>
    <n v="0"/>
    <n v="44"/>
    <n v="82"/>
    <n v="0"/>
    <n v="775.82"/>
    <n v="302.62"/>
    <m/>
    <n v="914.03407875343055"/>
    <n v="274.25476998219489"/>
    <n v="0"/>
    <n v="346.79154000000005"/>
    <n v="135.27114"/>
    <n v="0"/>
    <n v="408.32576000217091"/>
    <n v="122.59188218204112"/>
  </r>
  <r>
    <s v="Regular"/>
    <x v="3"/>
    <x v="2"/>
    <x v="4"/>
    <x v="0"/>
    <x v="0"/>
    <x v="0"/>
    <x v="3"/>
    <x v="6"/>
    <n v="0"/>
    <n v="0"/>
    <n v="0.55300000000000005"/>
    <n v="0.55300000000000005"/>
    <n v="0.55300000000000005"/>
    <n v="0.55300000000000005"/>
    <n v="0"/>
    <x v="0"/>
    <n v="0"/>
    <n v="0"/>
    <n v="44"/>
    <n v="82"/>
    <n v="0"/>
    <n v="775.82"/>
    <n v="302.62"/>
    <m/>
    <n v="914.03407875343055"/>
    <n v="274.25476998219489"/>
    <n v="0"/>
    <n v="429.02846000000005"/>
    <n v="167.34886000000003"/>
    <n v="0"/>
    <n v="505.15468742997876"/>
    <n v="151.66288780015378"/>
  </r>
  <r>
    <s v="Regular"/>
    <x v="3"/>
    <x v="2"/>
    <x v="4"/>
    <x v="0"/>
    <x v="0"/>
    <x v="0"/>
    <x v="3"/>
    <x v="7"/>
    <n v="0"/>
    <n v="0"/>
    <n v="0.23799999999999999"/>
    <n v="0.23799999999999999"/>
    <n v="0.23799999999999999"/>
    <n v="0.23799999999999999"/>
    <n v="0"/>
    <x v="0"/>
    <n v="0"/>
    <n v="0"/>
    <n v="44"/>
    <n v="82"/>
    <n v="0"/>
    <n v="775.82"/>
    <n v="302.62"/>
    <m/>
    <n v="914.03407875343055"/>
    <n v="274.25476998219489"/>
    <n v="0"/>
    <n v="184.64516"/>
    <n v="72.023560000000003"/>
    <n v="0"/>
    <n v="217.40834648885161"/>
    <n v="65.272635255762381"/>
  </r>
  <r>
    <s v="Regular"/>
    <x v="3"/>
    <x v="2"/>
    <x v="4"/>
    <x v="0"/>
    <x v="0"/>
    <x v="0"/>
    <x v="3"/>
    <x v="8"/>
    <n v="0"/>
    <n v="0"/>
    <n v="0.3"/>
    <n v="0.3"/>
    <n v="0.3"/>
    <n v="0.3"/>
    <n v="0"/>
    <x v="0"/>
    <n v="0"/>
    <n v="0"/>
    <n v="44"/>
    <n v="82"/>
    <n v="0"/>
    <n v="775.82"/>
    <n v="302.62"/>
    <m/>
    <n v="914.03407875343055"/>
    <n v="274.25476998219489"/>
    <n v="0"/>
    <n v="232.74600000000001"/>
    <n v="90.786000000000001"/>
    <n v="0"/>
    <n v="274.0441342296449"/>
    <n v="82.276430994658469"/>
  </r>
  <r>
    <s v="Regular"/>
    <x v="3"/>
    <x v="2"/>
    <x v="4"/>
    <x v="0"/>
    <x v="0"/>
    <x v="0"/>
    <x v="3"/>
    <x v="9"/>
    <n v="0"/>
    <n v="0"/>
    <n v="0.19800000000000001"/>
    <n v="0.19800000000000001"/>
    <n v="0.19800000000000001"/>
    <n v="0.19800000000000001"/>
    <n v="0"/>
    <x v="0"/>
    <n v="0"/>
    <n v="0"/>
    <n v="44"/>
    <n v="82"/>
    <n v="0"/>
    <n v="775.82"/>
    <n v="302.62"/>
    <m/>
    <n v="914.03407875343055"/>
    <n v="274.25476998219489"/>
    <n v="0"/>
    <n v="153.61236000000002"/>
    <n v="59.918760000000006"/>
    <n v="0"/>
    <n v="180.86912859156564"/>
    <n v="54.302444456474589"/>
  </r>
  <r>
    <s v="Regular"/>
    <x v="3"/>
    <x v="2"/>
    <x v="4"/>
    <x v="0"/>
    <x v="0"/>
    <x v="0"/>
    <x v="3"/>
    <x v="10"/>
    <n v="0"/>
    <n v="0"/>
    <n v="0.19600000000000001"/>
    <n v="0.19600000000000001"/>
    <n v="0.19600000000000001"/>
    <n v="0.19600000000000001"/>
    <n v="0"/>
    <x v="0"/>
    <n v="0"/>
    <n v="0"/>
    <n v="44"/>
    <n v="82"/>
    <n v="0"/>
    <n v="775.82"/>
    <n v="302.62"/>
    <m/>
    <n v="914.03407875343055"/>
    <n v="274.25476998219489"/>
    <n v="0"/>
    <n v="152.06072"/>
    <n v="59.313520000000004"/>
    <n v="0"/>
    <n v="179.04216769670134"/>
    <n v="53.753934916510197"/>
  </r>
  <r>
    <s v="Regular"/>
    <x v="3"/>
    <x v="2"/>
    <x v="4"/>
    <x v="0"/>
    <x v="0"/>
    <x v="0"/>
    <x v="3"/>
    <x v="11"/>
    <n v="0"/>
    <n v="0"/>
    <n v="0.19600000000000001"/>
    <n v="0.19600000000000001"/>
    <n v="0.19600000000000001"/>
    <n v="0.19600000000000001"/>
    <n v="0"/>
    <x v="0"/>
    <n v="0"/>
    <n v="0"/>
    <n v="44"/>
    <n v="82"/>
    <n v="0"/>
    <n v="775.82"/>
    <n v="302.62"/>
    <m/>
    <n v="914.03407875343055"/>
    <n v="274.25476998219489"/>
    <n v="0"/>
    <n v="152.06072"/>
    <n v="59.313520000000004"/>
    <n v="0"/>
    <n v="179.04216769670134"/>
    <n v="53.753934916510197"/>
  </r>
  <r>
    <s v="Regular"/>
    <x v="3"/>
    <x v="2"/>
    <x v="4"/>
    <x v="0"/>
    <x v="0"/>
    <x v="0"/>
    <x v="2"/>
    <x v="0"/>
    <n v="0"/>
    <n v="0"/>
    <n v="0.38200000000000001"/>
    <n v="0.38200000000000001"/>
    <n v="0.38200000000000001"/>
    <n v="0.38200000000000001"/>
    <n v="0"/>
    <x v="0"/>
    <n v="0"/>
    <n v="0"/>
    <n v="43"/>
    <n v="81"/>
    <n v="0"/>
    <n v="1226.48"/>
    <n v="518.44000000000005"/>
    <m/>
    <n v="1426.7769321823234"/>
    <n v="469.6750309272033"/>
    <n v="0"/>
    <n v="468.51535999999999"/>
    <n v="198.04408000000004"/>
    <n v="0"/>
    <n v="544.67630944478879"/>
    <n v="179.41586181419166"/>
  </r>
  <r>
    <s v="Regular"/>
    <x v="3"/>
    <x v="2"/>
    <x v="4"/>
    <x v="0"/>
    <x v="0"/>
    <x v="0"/>
    <x v="2"/>
    <x v="1"/>
    <n v="0"/>
    <n v="0"/>
    <n v="0.38300000000000001"/>
    <n v="0.38300000000000001"/>
    <n v="0.38300000000000001"/>
    <n v="0.38300000000000001"/>
    <n v="0"/>
    <x v="0"/>
    <n v="0"/>
    <n v="0"/>
    <n v="43"/>
    <n v="81"/>
    <n v="0"/>
    <n v="1226.48"/>
    <n v="518.44000000000005"/>
    <m/>
    <n v="1426.7769321823234"/>
    <n v="469.6750309272033"/>
    <n v="0"/>
    <n v="469.74184000000002"/>
    <n v="198.56252000000003"/>
    <n v="0"/>
    <n v="546.10216365799511"/>
    <n v="179.88553684511888"/>
  </r>
  <r>
    <s v="Regular"/>
    <x v="3"/>
    <x v="2"/>
    <x v="4"/>
    <x v="0"/>
    <x v="0"/>
    <x v="0"/>
    <x v="2"/>
    <x v="2"/>
    <n v="0"/>
    <n v="0"/>
    <n v="0.33900000000000002"/>
    <n v="0.33900000000000002"/>
    <n v="0.33900000000000002"/>
    <n v="0.33900000000000002"/>
    <n v="0"/>
    <x v="0"/>
    <n v="0"/>
    <n v="0"/>
    <n v="43"/>
    <n v="81"/>
    <n v="0"/>
    <n v="1226.48"/>
    <n v="518.44000000000005"/>
    <m/>
    <n v="1426.7769321823234"/>
    <n v="469.6750309272033"/>
    <n v="0"/>
    <n v="415.77672000000001"/>
    <n v="175.75116000000003"/>
    <n v="0"/>
    <n v="483.36457827691999"/>
    <n v="159.21983548432192"/>
  </r>
  <r>
    <s v="Regular"/>
    <x v="3"/>
    <x v="2"/>
    <x v="4"/>
    <x v="0"/>
    <x v="0"/>
    <x v="0"/>
    <x v="2"/>
    <x v="3"/>
    <n v="0"/>
    <n v="0"/>
    <n v="0.33700000000000002"/>
    <n v="0.33700000000000002"/>
    <n v="0.33700000000000002"/>
    <n v="0.33700000000000002"/>
    <n v="0"/>
    <x v="0"/>
    <n v="0"/>
    <n v="0"/>
    <n v="43"/>
    <n v="81"/>
    <n v="0"/>
    <n v="1226.48"/>
    <n v="518.44000000000005"/>
    <m/>
    <n v="1426.7769321823234"/>
    <n v="469.6750309272033"/>
    <n v="0"/>
    <n v="413.32376000000005"/>
    <n v="174.71428000000003"/>
    <n v="0"/>
    <n v="480.51286985050746"/>
    <n v="158.28048542246751"/>
  </r>
  <r>
    <s v="Regular"/>
    <x v="3"/>
    <x v="2"/>
    <x v="4"/>
    <x v="0"/>
    <x v="0"/>
    <x v="0"/>
    <x v="2"/>
    <x v="4"/>
    <n v="0"/>
    <n v="0"/>
    <n v="0.32800000000000001"/>
    <n v="0.32800000000000001"/>
    <n v="0.32800000000000001"/>
    <n v="0.32800000000000001"/>
    <n v="0"/>
    <x v="0"/>
    <n v="0"/>
    <n v="0"/>
    <n v="43"/>
    <n v="81"/>
    <n v="0"/>
    <n v="1226.48"/>
    <n v="518.44000000000005"/>
    <m/>
    <n v="1426.7769321823234"/>
    <n v="469.6750309272033"/>
    <n v="0"/>
    <n v="402.28544000000005"/>
    <n v="170.04832000000002"/>
    <n v="0"/>
    <n v="467.68018193165113"/>
    <n v="154.05341014412269"/>
  </r>
  <r>
    <s v="Regular"/>
    <x v="3"/>
    <x v="2"/>
    <x v="4"/>
    <x v="0"/>
    <x v="0"/>
    <x v="0"/>
    <x v="2"/>
    <x v="5"/>
    <n v="0"/>
    <n v="0"/>
    <n v="0.36499999999999999"/>
    <n v="0.36499999999999999"/>
    <n v="0.36499999999999999"/>
    <n v="0.36499999999999999"/>
    <n v="0"/>
    <x v="0"/>
    <n v="0"/>
    <n v="0"/>
    <n v="43"/>
    <n v="81"/>
    <n v="0"/>
    <n v="1226.48"/>
    <n v="518.44000000000005"/>
    <m/>
    <n v="1426.7769321823234"/>
    <n v="469.6750309272033"/>
    <n v="0"/>
    <n v="447.66519999999997"/>
    <n v="189.23060000000001"/>
    <n v="0"/>
    <n v="520.43678782028246"/>
    <n v="171.4313862884292"/>
  </r>
  <r>
    <s v="Regular"/>
    <x v="3"/>
    <x v="2"/>
    <x v="4"/>
    <x v="0"/>
    <x v="0"/>
    <x v="0"/>
    <x v="2"/>
    <x v="6"/>
    <n v="0"/>
    <n v="0"/>
    <n v="0.48599999999999999"/>
    <n v="0.48599999999999999"/>
    <n v="0.48599999999999999"/>
    <n v="0.48599999999999999"/>
    <n v="0"/>
    <x v="0"/>
    <n v="0"/>
    <n v="0"/>
    <n v="43"/>
    <n v="81"/>
    <n v="0"/>
    <n v="1226.48"/>
    <n v="518.44000000000005"/>
    <m/>
    <n v="1426.7769321823234"/>
    <n v="469.6750309272033"/>
    <n v="0"/>
    <n v="596.06928000000005"/>
    <n v="251.96184000000002"/>
    <n v="0"/>
    <n v="692.96514761823914"/>
    <n v="228.26206503062079"/>
  </r>
  <r>
    <s v="Regular"/>
    <x v="3"/>
    <x v="2"/>
    <x v="4"/>
    <x v="0"/>
    <x v="0"/>
    <x v="0"/>
    <x v="2"/>
    <x v="7"/>
    <n v="0"/>
    <n v="0"/>
    <n v="0.35199999999999998"/>
    <n v="0.35199999999999998"/>
    <n v="0.35199999999999998"/>
    <n v="0.35199999999999998"/>
    <n v="0"/>
    <x v="0"/>
    <n v="0"/>
    <n v="0"/>
    <n v="43"/>
    <n v="81"/>
    <n v="0"/>
    <n v="1226.48"/>
    <n v="518.44000000000005"/>
    <m/>
    <n v="1426.7769321823234"/>
    <n v="469.6750309272033"/>
    <n v="0"/>
    <n v="431.72095999999999"/>
    <n v="182.49088"/>
    <n v="0"/>
    <n v="501.90068304860119"/>
    <n v="165.32561088637556"/>
  </r>
  <r>
    <s v="Regular"/>
    <x v="3"/>
    <x v="2"/>
    <x v="4"/>
    <x v="0"/>
    <x v="0"/>
    <x v="0"/>
    <x v="2"/>
    <x v="8"/>
    <n v="0"/>
    <n v="0"/>
    <n v="0.42299999999999999"/>
    <n v="0.42299999999999999"/>
    <n v="0.42299999999999999"/>
    <n v="0.42299999999999999"/>
    <n v="0"/>
    <x v="0"/>
    <n v="0"/>
    <n v="0"/>
    <n v="43"/>
    <n v="81"/>
    <n v="0"/>
    <n v="1226.48"/>
    <n v="518.44000000000005"/>
    <m/>
    <n v="1426.7769321823234"/>
    <n v="469.6750309272033"/>
    <n v="0"/>
    <n v="518.80103999999994"/>
    <n v="219.30012000000002"/>
    <n v="0"/>
    <n v="603.13633218624523"/>
    <n v="198.67253808220698"/>
  </r>
  <r>
    <s v="Regular"/>
    <x v="3"/>
    <x v="2"/>
    <x v="4"/>
    <x v="0"/>
    <x v="0"/>
    <x v="0"/>
    <x v="2"/>
    <x v="9"/>
    <n v="0"/>
    <n v="0"/>
    <n v="0.29899999999999999"/>
    <n v="0.29899999999999999"/>
    <n v="0.29899999999999999"/>
    <n v="0.29899999999999999"/>
    <n v="0"/>
    <x v="0"/>
    <n v="0"/>
    <n v="0"/>
    <n v="43"/>
    <n v="81"/>
    <n v="0"/>
    <n v="1226.48"/>
    <n v="518.44000000000005"/>
    <m/>
    <n v="1426.7769321823234"/>
    <n v="469.6750309272033"/>
    <n v="0"/>
    <n v="366.71751999999998"/>
    <n v="155.01356000000001"/>
    <n v="0"/>
    <n v="426.33040974866975"/>
    <n v="140.43283424723379"/>
  </r>
  <r>
    <s v="Regular"/>
    <x v="3"/>
    <x v="2"/>
    <x v="4"/>
    <x v="0"/>
    <x v="0"/>
    <x v="0"/>
    <x v="2"/>
    <x v="10"/>
    <n v="0"/>
    <n v="0"/>
    <n v="0.29499999999999998"/>
    <n v="0.29499999999999998"/>
    <n v="0.29499999999999998"/>
    <n v="0.29499999999999998"/>
    <n v="0"/>
    <x v="0"/>
    <n v="0"/>
    <n v="0"/>
    <n v="43"/>
    <n v="81"/>
    <n v="0"/>
    <n v="1226.48"/>
    <n v="518.44000000000005"/>
    <m/>
    <n v="1426.7769321823234"/>
    <n v="469.6750309272033"/>
    <n v="0"/>
    <n v="361.8116"/>
    <n v="152.93980000000002"/>
    <n v="0"/>
    <n v="420.62699289584475"/>
    <n v="138.55413412352496"/>
  </r>
  <r>
    <s v="Regular"/>
    <x v="3"/>
    <x v="2"/>
    <x v="4"/>
    <x v="0"/>
    <x v="0"/>
    <x v="0"/>
    <x v="2"/>
    <x v="11"/>
    <n v="0"/>
    <n v="0"/>
    <n v="0.30599999999999999"/>
    <n v="0.30599999999999999"/>
    <n v="0.30599999999999999"/>
    <n v="0.30599999999999999"/>
    <n v="0"/>
    <x v="0"/>
    <n v="0"/>
    <n v="0"/>
    <n v="43"/>
    <n v="81"/>
    <n v="0"/>
    <n v="1226.48"/>
    <n v="518.44000000000005"/>
    <m/>
    <n v="1426.7769321823234"/>
    <n v="469.6750309272033"/>
    <n v="0"/>
    <n v="375.30288000000002"/>
    <n v="158.64264"/>
    <n v="0"/>
    <n v="436.31138924111355"/>
    <n v="143.72055946372421"/>
  </r>
  <r>
    <s v="Regular"/>
    <x v="3"/>
    <x v="1"/>
    <x v="0"/>
    <x v="0"/>
    <x v="0"/>
    <x v="0"/>
    <x v="1"/>
    <x v="0"/>
    <n v="0"/>
    <n v="0"/>
    <n v="211.33699999999999"/>
    <n v="211.33699999999999"/>
    <n v="211.33699999999999"/>
    <n v="211.33699999999999"/>
    <n v="385"/>
    <x v="0"/>
    <n v="0"/>
    <n v="0"/>
    <n v="46"/>
    <n v="84"/>
    <n v="0"/>
    <n v="404.34"/>
    <n v="320.60000000000002"/>
    <m/>
    <n v="491.3677083274257"/>
    <n v="290.53979172761228"/>
    <n v="0"/>
    <n v="85452.002579999986"/>
    <n v="67754.642200000002"/>
    <n v="0"/>
    <n v="103791.47340521224"/>
    <n v="61401.807964338397"/>
  </r>
  <r>
    <s v="Sistema de Compensação"/>
    <x v="3"/>
    <x v="1"/>
    <x v="0"/>
    <x v="0"/>
    <x v="0"/>
    <x v="0"/>
    <x v="1"/>
    <x v="0"/>
    <n v="0"/>
    <n v="0"/>
    <n v="2.0169999999999999"/>
    <n v="2.0169999999999999"/>
    <n v="2.0169999999999999"/>
    <n v="2.0169999999999999"/>
    <n v="8"/>
    <x v="0"/>
    <n v="0"/>
    <n v="0"/>
    <n v="46"/>
    <n v="84"/>
    <n v="0"/>
    <n v="404.34"/>
    <n v="320.60000000000002"/>
    <m/>
    <n v="491.3677083274257"/>
    <n v="290.53979172761228"/>
    <n v="0"/>
    <n v="815.55377999999996"/>
    <n v="646.65020000000004"/>
    <n v="0"/>
    <n v="990.58566109253502"/>
    <n v="586.01875991459394"/>
  </r>
  <r>
    <s v="Regular"/>
    <x v="3"/>
    <x v="1"/>
    <x v="0"/>
    <x v="0"/>
    <x v="0"/>
    <x v="0"/>
    <x v="1"/>
    <x v="1"/>
    <n v="0"/>
    <n v="0"/>
    <n v="202.76599999999999"/>
    <n v="202.76599999999999"/>
    <n v="202.76599999999999"/>
    <n v="202.76599999999999"/>
    <n v="390"/>
    <x v="0"/>
    <n v="0"/>
    <n v="0"/>
    <n v="46"/>
    <n v="84"/>
    <n v="0"/>
    <n v="404.34"/>
    <n v="320.60000000000002"/>
    <m/>
    <n v="491.3677083274257"/>
    <n v="290.53979172761228"/>
    <n v="0"/>
    <n v="81986.404439999998"/>
    <n v="65006.779600000002"/>
    <n v="0"/>
    <n v="99582.098243474946"/>
    <n v="58911.591409441033"/>
  </r>
  <r>
    <s v="Sistema de Compensação"/>
    <x v="3"/>
    <x v="1"/>
    <x v="0"/>
    <x v="0"/>
    <x v="0"/>
    <x v="0"/>
    <x v="1"/>
    <x v="1"/>
    <n v="0"/>
    <n v="0"/>
    <n v="2.1030000000000002"/>
    <n v="2.1030000000000002"/>
    <n v="2.1030000000000002"/>
    <n v="2.1030000000000002"/>
    <n v="8"/>
    <x v="0"/>
    <n v="0"/>
    <n v="0"/>
    <n v="46"/>
    <n v="84"/>
    <n v="0"/>
    <n v="404.34"/>
    <n v="320.60000000000002"/>
    <m/>
    <n v="491.3677083274257"/>
    <n v="290.53979172761228"/>
    <n v="0"/>
    <n v="850.32702000000006"/>
    <n v="674.22180000000014"/>
    <n v="0"/>
    <n v="1032.8218370240959"/>
    <n v="611.00518200316867"/>
  </r>
  <r>
    <s v="Regular"/>
    <x v="3"/>
    <x v="1"/>
    <x v="0"/>
    <x v="0"/>
    <x v="0"/>
    <x v="0"/>
    <x v="1"/>
    <x v="2"/>
    <n v="0"/>
    <n v="0"/>
    <n v="242.50399999999999"/>
    <n v="242.50399999999999"/>
    <n v="242.50399999999999"/>
    <n v="242.50399999999999"/>
    <n v="391"/>
    <x v="0"/>
    <n v="0"/>
    <n v="0"/>
    <n v="46"/>
    <n v="84"/>
    <n v="0"/>
    <n v="404.34"/>
    <n v="320.60000000000002"/>
    <m/>
    <n v="491.3677083274257"/>
    <n v="290.53979172761228"/>
    <n v="0"/>
    <n v="98054.067359999986"/>
    <n v="77746.782399999996"/>
    <n v="0"/>
    <n v="119098.15823380472"/>
    <n v="70457.061653112891"/>
  </r>
  <r>
    <s v="Sistema de Compensação"/>
    <x v="3"/>
    <x v="1"/>
    <x v="0"/>
    <x v="0"/>
    <x v="0"/>
    <x v="0"/>
    <x v="1"/>
    <x v="2"/>
    <n v="0"/>
    <n v="0"/>
    <n v="6.4560000000000004"/>
    <n v="6.4560000000000004"/>
    <n v="6.4560000000000004"/>
    <n v="6.4560000000000004"/>
    <n v="9"/>
    <x v="0"/>
    <n v="0"/>
    <n v="0"/>
    <n v="46"/>
    <n v="84"/>
    <n v="0"/>
    <n v="404.34"/>
    <n v="320.60000000000002"/>
    <m/>
    <n v="491.3677083274257"/>
    <n v="290.53979172761228"/>
    <n v="0"/>
    <n v="2610.4190400000002"/>
    <n v="2069.7936000000004"/>
    <n v="0"/>
    <n v="3170.6599048157691"/>
    <n v="1875.724895393465"/>
  </r>
  <r>
    <s v="Regular"/>
    <x v="3"/>
    <x v="1"/>
    <x v="0"/>
    <x v="0"/>
    <x v="0"/>
    <x v="0"/>
    <x v="1"/>
    <x v="3"/>
    <n v="0"/>
    <n v="0"/>
    <n v="210.94"/>
    <n v="210.94"/>
    <n v="210.94"/>
    <n v="210.94"/>
    <n v="393"/>
    <x v="0"/>
    <n v="0"/>
    <n v="0"/>
    <n v="46"/>
    <n v="84"/>
    <n v="0"/>
    <n v="404.34"/>
    <n v="320.60000000000002"/>
    <m/>
    <n v="491.3677083274257"/>
    <n v="290.53979172761228"/>
    <n v="0"/>
    <n v="85291.479599999991"/>
    <n v="67627.364000000001"/>
    <n v="0"/>
    <n v="103596.49943027235"/>
    <n v="61286.463667022537"/>
  </r>
  <r>
    <s v="Sistema de Compensação"/>
    <x v="3"/>
    <x v="1"/>
    <x v="0"/>
    <x v="0"/>
    <x v="0"/>
    <x v="0"/>
    <x v="1"/>
    <x v="3"/>
    <n v="0"/>
    <n v="0"/>
    <n v="1.2330000000000001"/>
    <n v="1.2330000000000001"/>
    <n v="1.2330000000000001"/>
    <n v="1.2330000000000001"/>
    <n v="9"/>
    <x v="0"/>
    <n v="0"/>
    <n v="0"/>
    <n v="46"/>
    <n v="84"/>
    <n v="0"/>
    <n v="404.34"/>
    <n v="320.60000000000002"/>
    <m/>
    <n v="491.3677083274257"/>
    <n v="290.53979172761228"/>
    <n v="0"/>
    <n v="498.55122"/>
    <n v="395.29980000000006"/>
    <n v="0"/>
    <n v="605.54889446063248"/>
    <n v="358.23556320014598"/>
  </r>
  <r>
    <s v="Regular"/>
    <x v="3"/>
    <x v="1"/>
    <x v="0"/>
    <x v="0"/>
    <x v="0"/>
    <x v="0"/>
    <x v="1"/>
    <x v="4"/>
    <n v="0"/>
    <n v="0"/>
    <n v="248"/>
    <n v="248"/>
    <n v="248"/>
    <n v="248"/>
    <n v="393"/>
    <x v="0"/>
    <n v="0"/>
    <n v="0"/>
    <n v="46"/>
    <n v="84"/>
    <n v="0"/>
    <n v="404.34"/>
    <n v="320.60000000000002"/>
    <m/>
    <n v="491.3677083274257"/>
    <n v="290.53979172761228"/>
    <n v="0"/>
    <n v="100276.31999999999"/>
    <n v="79508.800000000003"/>
    <n v="0"/>
    <n v="121797.34454682632"/>
    <n v="72053.868348447839"/>
  </r>
  <r>
    <s v="Sistema de Compensação"/>
    <x v="3"/>
    <x v="1"/>
    <x v="0"/>
    <x v="0"/>
    <x v="0"/>
    <x v="0"/>
    <x v="1"/>
    <x v="4"/>
    <n v="0"/>
    <n v="0"/>
    <n v="1.462"/>
    <n v="1.462"/>
    <n v="1.462"/>
    <n v="1.462"/>
    <n v="10"/>
    <x v="0"/>
    <n v="0"/>
    <n v="0"/>
    <n v="46"/>
    <n v="84"/>
    <n v="0"/>
    <n v="404.34"/>
    <n v="320.60000000000002"/>
    <m/>
    <n v="491.3677083274257"/>
    <n v="290.53979172761228"/>
    <n v="0"/>
    <n v="591.14507999999989"/>
    <n v="468.71720000000005"/>
    <n v="0"/>
    <n v="718.01499083653255"/>
    <n v="424.76917550576917"/>
  </r>
  <r>
    <s v="Regular"/>
    <x v="3"/>
    <x v="1"/>
    <x v="0"/>
    <x v="0"/>
    <x v="0"/>
    <x v="0"/>
    <x v="1"/>
    <x v="5"/>
    <n v="0"/>
    <n v="0"/>
    <n v="247.34299999999999"/>
    <n v="247.34299999999999"/>
    <n v="247.34299999999999"/>
    <n v="247.34299999999999"/>
    <n v="402"/>
    <x v="0"/>
    <n v="0"/>
    <n v="0"/>
    <n v="46"/>
    <n v="84"/>
    <n v="0"/>
    <n v="404.34"/>
    <n v="320.60000000000002"/>
    <m/>
    <n v="491.3677083274257"/>
    <n v="290.53979172761228"/>
    <n v="0"/>
    <n v="100010.66862"/>
    <n v="79298.165800000002"/>
    <n v="0"/>
    <n v="121474.67980744218"/>
    <n v="71862.983705282808"/>
  </r>
  <r>
    <s v="Sistema de Compensação"/>
    <x v="3"/>
    <x v="1"/>
    <x v="0"/>
    <x v="0"/>
    <x v="0"/>
    <x v="0"/>
    <x v="1"/>
    <x v="5"/>
    <n v="0"/>
    <n v="0"/>
    <n v="1.47"/>
    <n v="1.47"/>
    <n v="1.47"/>
    <n v="1.47"/>
    <n v="10"/>
    <x v="0"/>
    <n v="0"/>
    <n v="0"/>
    <n v="46"/>
    <n v="84"/>
    <n v="0"/>
    <n v="404.34"/>
    <n v="320.60000000000002"/>
    <m/>
    <n v="491.3677083274257"/>
    <n v="290.53979172761228"/>
    <n v="0"/>
    <n v="594.37979999999993"/>
    <n v="471.28200000000004"/>
    <n v="0"/>
    <n v="721.94393743481726"/>
    <n v="427.09349383959005"/>
  </r>
  <r>
    <s v="Regular"/>
    <x v="3"/>
    <x v="1"/>
    <x v="0"/>
    <x v="0"/>
    <x v="0"/>
    <x v="0"/>
    <x v="1"/>
    <x v="6"/>
    <n v="0"/>
    <n v="0"/>
    <n v="309.64100000000002"/>
    <n v="309.64100000000002"/>
    <n v="309.64100000000002"/>
    <n v="309.64100000000002"/>
    <n v="400"/>
    <x v="0"/>
    <n v="0"/>
    <n v="0"/>
    <n v="46"/>
    <n v="84"/>
    <n v="0"/>
    <n v="404.34"/>
    <n v="320.60000000000002"/>
    <m/>
    <n v="491.3677083274257"/>
    <n v="290.53979172761228"/>
    <n v="0"/>
    <n v="125200.24194000001"/>
    <n v="99270.904600000009"/>
    <n v="0"/>
    <n v="152070.36920493489"/>
    <n v="89963.031650329605"/>
  </r>
  <r>
    <s v="Sistema de Compensação"/>
    <x v="3"/>
    <x v="1"/>
    <x v="0"/>
    <x v="0"/>
    <x v="0"/>
    <x v="0"/>
    <x v="1"/>
    <x v="6"/>
    <n v="0"/>
    <n v="0"/>
    <n v="3.29"/>
    <n v="3.29"/>
    <n v="3.29"/>
    <n v="3.29"/>
    <n v="10"/>
    <x v="0"/>
    <n v="0"/>
    <n v="0"/>
    <n v="46"/>
    <n v="84"/>
    <n v="0"/>
    <n v="404.34"/>
    <n v="320.60000000000002"/>
    <m/>
    <n v="491.3677083274257"/>
    <n v="290.53979172761228"/>
    <n v="0"/>
    <n v="1330.2785999999999"/>
    <n v="1054.7740000000001"/>
    <n v="0"/>
    <n v="1615.7792885445911"/>
    <n v="955.87591478384445"/>
  </r>
  <r>
    <s v="Regular"/>
    <x v="3"/>
    <x v="1"/>
    <x v="0"/>
    <x v="0"/>
    <x v="0"/>
    <x v="0"/>
    <x v="1"/>
    <x v="7"/>
    <n v="0"/>
    <n v="0"/>
    <n v="276.42200000000003"/>
    <n v="276.42200000000003"/>
    <n v="276.42200000000003"/>
    <n v="276.42200000000003"/>
    <n v="396"/>
    <x v="0"/>
    <n v="0"/>
    <n v="0"/>
    <n v="46"/>
    <n v="84"/>
    <n v="0"/>
    <n v="404.34"/>
    <n v="320.60000000000002"/>
    <m/>
    <n v="491.3677083274257"/>
    <n v="290.53979172761228"/>
    <n v="0"/>
    <n v="111768.47148000001"/>
    <n v="88620.89320000002"/>
    <n v="0"/>
    <n v="135755.90957388238"/>
    <n v="80311.590308930055"/>
  </r>
  <r>
    <s v="Sistema de Compensação"/>
    <x v="3"/>
    <x v="1"/>
    <x v="0"/>
    <x v="0"/>
    <x v="0"/>
    <x v="0"/>
    <x v="1"/>
    <x v="7"/>
    <n v="0"/>
    <n v="0"/>
    <n v="2.8769999999999998"/>
    <n v="2.8769999999999998"/>
    <n v="2.8769999999999998"/>
    <n v="2.8769999999999998"/>
    <n v="10"/>
    <x v="0"/>
    <n v="0"/>
    <n v="0"/>
    <n v="46"/>
    <n v="84"/>
    <n v="0"/>
    <n v="404.34"/>
    <n v="320.60000000000002"/>
    <m/>
    <n v="491.3677083274257"/>
    <n v="290.53979172761228"/>
    <n v="0"/>
    <n v="1163.2861799999998"/>
    <n v="922.36620000000005"/>
    <n v="0"/>
    <n v="1412.9474204081423"/>
    <n v="835.88298080034042"/>
  </r>
  <r>
    <s v="Regular"/>
    <x v="3"/>
    <x v="1"/>
    <x v="0"/>
    <x v="0"/>
    <x v="0"/>
    <x v="0"/>
    <x v="1"/>
    <x v="8"/>
    <n v="0"/>
    <n v="0"/>
    <n v="281.46800000000002"/>
    <n v="281.46800000000002"/>
    <n v="281.46800000000002"/>
    <n v="281.46800000000002"/>
    <n v="398"/>
    <x v="0"/>
    <n v="0"/>
    <n v="0"/>
    <n v="46"/>
    <n v="84"/>
    <n v="0"/>
    <n v="404.34"/>
    <n v="320.60000000000002"/>
    <m/>
    <n v="491.3677083274257"/>
    <n v="290.53979172761228"/>
    <n v="0"/>
    <n v="113808.77112"/>
    <n v="90238.640800000008"/>
    <n v="0"/>
    <n v="138234.09264075046"/>
    <n v="81777.654097987586"/>
  </r>
  <r>
    <s v="Sistema de Compensação"/>
    <x v="3"/>
    <x v="1"/>
    <x v="0"/>
    <x v="0"/>
    <x v="0"/>
    <x v="0"/>
    <x v="1"/>
    <x v="8"/>
    <n v="0"/>
    <n v="0"/>
    <n v="7.234"/>
    <n v="7.234"/>
    <n v="7.234"/>
    <n v="7.234"/>
    <n v="13"/>
    <x v="0"/>
    <n v="0"/>
    <n v="0"/>
    <n v="46"/>
    <n v="84"/>
    <n v="0"/>
    <n v="404.34"/>
    <n v="320.60000000000002"/>
    <m/>
    <n v="491.3677083274257"/>
    <n v="290.53979172761228"/>
    <n v="0"/>
    <n v="2924.9955599999998"/>
    <n v="2319.2204000000002"/>
    <n v="0"/>
    <n v="3552.7499614989579"/>
    <n v="2101.7648533575471"/>
  </r>
  <r>
    <s v="Regular"/>
    <x v="3"/>
    <x v="1"/>
    <x v="0"/>
    <x v="0"/>
    <x v="0"/>
    <x v="0"/>
    <x v="1"/>
    <x v="9"/>
    <n v="0"/>
    <n v="0"/>
    <n v="242.637"/>
    <n v="242.637"/>
    <n v="242.637"/>
    <n v="242.637"/>
    <n v="398"/>
    <x v="0"/>
    <n v="0"/>
    <n v="0"/>
    <n v="46"/>
    <n v="84"/>
    <n v="0"/>
    <n v="404.34"/>
    <n v="320.60000000000002"/>
    <m/>
    <n v="491.3677083274257"/>
    <n v="290.53979172761228"/>
    <n v="0"/>
    <n v="98107.84457999999"/>
    <n v="77789.422200000001"/>
    <n v="0"/>
    <n v="119163.4769710012"/>
    <n v="70495.703445412655"/>
  </r>
  <r>
    <s v="Sistema de Compensação"/>
    <x v="3"/>
    <x v="1"/>
    <x v="0"/>
    <x v="0"/>
    <x v="0"/>
    <x v="0"/>
    <x v="1"/>
    <x v="9"/>
    <n v="0"/>
    <n v="0"/>
    <n v="5.7510000000000003"/>
    <n v="5.7510000000000003"/>
    <n v="5.7510000000000003"/>
    <n v="5.7510000000000003"/>
    <n v="15"/>
    <x v="0"/>
    <n v="0"/>
    <n v="0"/>
    <n v="46"/>
    <n v="84"/>
    <n v="0"/>
    <n v="404.34"/>
    <n v="320.60000000000002"/>
    <m/>
    <n v="491.3677083274257"/>
    <n v="290.53979172761228"/>
    <n v="0"/>
    <n v="2325.35934"/>
    <n v="1843.7706000000003"/>
    <n v="0"/>
    <n v="2824.4214858419282"/>
    <n v="1670.8943422254983"/>
  </r>
  <r>
    <s v="Regular"/>
    <x v="3"/>
    <x v="1"/>
    <x v="0"/>
    <x v="0"/>
    <x v="0"/>
    <x v="0"/>
    <x v="1"/>
    <x v="10"/>
    <n v="0"/>
    <n v="0"/>
    <n v="223.96899999999999"/>
    <n v="223.96899999999999"/>
    <n v="223.96899999999999"/>
    <n v="223.96899999999999"/>
    <n v="400"/>
    <x v="0"/>
    <n v="0"/>
    <n v="0"/>
    <n v="46"/>
    <n v="84"/>
    <n v="0"/>
    <n v="404.34"/>
    <n v="320.60000000000002"/>
    <m/>
    <n v="491.3677083274257"/>
    <n v="290.53979172761228"/>
    <n v="0"/>
    <n v="90559.625459999996"/>
    <n v="71804.4614"/>
    <n v="0"/>
    <n v="109995.28008390381"/>
    <n v="65071.906613441592"/>
  </r>
  <r>
    <s v="Sistema de Compensação"/>
    <x v="3"/>
    <x v="1"/>
    <x v="0"/>
    <x v="0"/>
    <x v="0"/>
    <x v="0"/>
    <x v="1"/>
    <x v="10"/>
    <n v="0"/>
    <n v="0"/>
    <n v="4.484"/>
    <n v="4.484"/>
    <n v="4.484"/>
    <n v="4.484"/>
    <n v="15"/>
    <x v="0"/>
    <n v="0"/>
    <n v="0"/>
    <n v="46"/>
    <n v="84"/>
    <n v="0"/>
    <n v="404.34"/>
    <n v="320.60000000000002"/>
    <m/>
    <n v="491.3677083274257"/>
    <n v="290.53979172761228"/>
    <n v="0"/>
    <n v="1813.0605599999999"/>
    <n v="1437.5704000000001"/>
    <n v="0"/>
    <n v="2202.1745683385857"/>
    <n v="1302.7804261066135"/>
  </r>
  <r>
    <s v="Regular"/>
    <x v="3"/>
    <x v="1"/>
    <x v="0"/>
    <x v="0"/>
    <x v="0"/>
    <x v="0"/>
    <x v="1"/>
    <x v="11"/>
    <n v="0"/>
    <n v="0"/>
    <n v="235.97399999999999"/>
    <n v="235.97399999999999"/>
    <n v="235.97399999999999"/>
    <n v="235.97399999999999"/>
    <n v="404"/>
    <x v="0"/>
    <n v="0"/>
    <n v="0"/>
    <n v="46"/>
    <n v="84"/>
    <n v="0"/>
    <n v="404.34"/>
    <n v="320.60000000000002"/>
    <m/>
    <n v="491.3677083274257"/>
    <n v="290.53979172761228"/>
    <n v="0"/>
    <n v="95413.727159999995"/>
    <n v="75653.2644"/>
    <n v="0"/>
    <n v="115891.15557295481"/>
    <n v="68559.83681313158"/>
  </r>
  <r>
    <s v="Sistema de Compensação"/>
    <x v="3"/>
    <x v="1"/>
    <x v="0"/>
    <x v="0"/>
    <x v="0"/>
    <x v="0"/>
    <x v="1"/>
    <x v="11"/>
    <n v="0"/>
    <n v="0"/>
    <n v="7.6879999999999997"/>
    <n v="7.6879999999999997"/>
    <n v="7.6879999999999997"/>
    <n v="7.6879999999999997"/>
    <n v="15"/>
    <x v="0"/>
    <n v="0"/>
    <n v="0"/>
    <n v="46"/>
    <n v="84"/>
    <n v="0"/>
    <n v="404.34"/>
    <n v="320.60000000000002"/>
    <m/>
    <n v="491.3677083274257"/>
    <n v="290.53979172761228"/>
    <n v="0"/>
    <n v="3108.5659199999996"/>
    <n v="2464.7728000000002"/>
    <n v="0"/>
    <n v="3775.7176809516159"/>
    <n v="2233.6699188018833"/>
  </r>
  <r>
    <s v="Regular"/>
    <x v="3"/>
    <x v="1"/>
    <x v="5"/>
    <x v="0"/>
    <x v="0"/>
    <x v="0"/>
    <x v="1"/>
    <x v="0"/>
    <n v="0"/>
    <n v="0"/>
    <n v="1.2250000000000001"/>
    <n v="1.2250000000000001"/>
    <n v="1.2250000000000001"/>
    <n v="1.2250000000000001"/>
    <n v="3"/>
    <x v="0"/>
    <n v="0"/>
    <n v="0"/>
    <n v="46"/>
    <n v="84"/>
    <n v="0"/>
    <n v="404.34"/>
    <n v="320.60000000000002"/>
    <m/>
    <n v="491.3677083274257"/>
    <n v="290.53979172761228"/>
    <n v="0"/>
    <n v="495.31650000000002"/>
    <n v="392.73500000000007"/>
    <n v="0"/>
    <n v="601.61994786234777"/>
    <n v="355.91124486632509"/>
  </r>
  <r>
    <s v="Regular"/>
    <x v="3"/>
    <x v="1"/>
    <x v="5"/>
    <x v="0"/>
    <x v="0"/>
    <x v="0"/>
    <x v="1"/>
    <x v="1"/>
    <n v="0"/>
    <n v="0"/>
    <n v="1.1579999999999999"/>
    <n v="1.1579999999999999"/>
    <n v="1.1579999999999999"/>
    <n v="1.1579999999999999"/>
    <n v="3"/>
    <x v="0"/>
    <n v="0"/>
    <n v="0"/>
    <n v="46"/>
    <n v="84"/>
    <n v="0"/>
    <n v="404.34"/>
    <n v="320.60000000000002"/>
    <m/>
    <n v="491.3677083274257"/>
    <n v="290.53979172761228"/>
    <n v="0"/>
    <n v="468.22571999999991"/>
    <n v="371.25479999999999"/>
    <n v="0"/>
    <n v="568.71502010171321"/>
    <n v="336.44507882057502"/>
  </r>
  <r>
    <s v="Regular"/>
    <x v="3"/>
    <x v="1"/>
    <x v="5"/>
    <x v="0"/>
    <x v="0"/>
    <x v="0"/>
    <x v="1"/>
    <x v="2"/>
    <n v="0"/>
    <n v="0"/>
    <n v="1.3"/>
    <n v="1.3"/>
    <n v="1.3"/>
    <n v="1.3"/>
    <n v="3"/>
    <x v="0"/>
    <n v="0"/>
    <n v="0"/>
    <n v="46"/>
    <n v="84"/>
    <n v="0"/>
    <n v="404.34"/>
    <n v="320.60000000000002"/>
    <m/>
    <n v="491.3677083274257"/>
    <n v="290.53979172761228"/>
    <n v="0"/>
    <n v="525.64199999999994"/>
    <n v="416.78000000000003"/>
    <n v="0"/>
    <n v="638.45382222126705"/>
    <n v="377.70172924589599"/>
  </r>
  <r>
    <s v="Regular"/>
    <x v="3"/>
    <x v="1"/>
    <x v="5"/>
    <x v="0"/>
    <x v="0"/>
    <x v="0"/>
    <x v="1"/>
    <x v="3"/>
    <n v="0"/>
    <n v="0"/>
    <n v="0.97199999999999998"/>
    <n v="0.97199999999999998"/>
    <n v="0.97199999999999998"/>
    <n v="0.97199999999999998"/>
    <n v="3"/>
    <x v="0"/>
    <n v="0"/>
    <n v="0"/>
    <n v="46"/>
    <n v="84"/>
    <n v="0"/>
    <n v="404.34"/>
    <n v="320.60000000000002"/>
    <m/>
    <n v="491.3677083274257"/>
    <n v="290.53979172761228"/>
    <n v="0"/>
    <n v="393.01847999999995"/>
    <n v="311.6232"/>
    <n v="0"/>
    <n v="477.36701169159346"/>
    <n v="282.40467755923913"/>
  </r>
  <r>
    <s v="Regular"/>
    <x v="3"/>
    <x v="1"/>
    <x v="5"/>
    <x v="0"/>
    <x v="0"/>
    <x v="0"/>
    <x v="1"/>
    <x v="4"/>
    <n v="0"/>
    <n v="0"/>
    <n v="1.4910000000000001"/>
    <n v="1.4910000000000001"/>
    <n v="1.4910000000000001"/>
    <n v="1.4910000000000001"/>
    <n v="3"/>
    <x v="0"/>
    <n v="0"/>
    <n v="0"/>
    <n v="46"/>
    <n v="84"/>
    <n v="0"/>
    <n v="404.34"/>
    <n v="320.60000000000002"/>
    <m/>
    <n v="491.3677083274257"/>
    <n v="290.53979172761228"/>
    <n v="0"/>
    <n v="602.87094000000002"/>
    <n v="478.01460000000009"/>
    <n v="0"/>
    <n v="732.25742225531474"/>
    <n v="433.19482946586993"/>
  </r>
  <r>
    <s v="Regular"/>
    <x v="3"/>
    <x v="1"/>
    <x v="5"/>
    <x v="0"/>
    <x v="0"/>
    <x v="0"/>
    <x v="1"/>
    <x v="5"/>
    <n v="0"/>
    <n v="0"/>
    <n v="1.4219999999999999"/>
    <n v="1.4219999999999999"/>
    <n v="1.4219999999999999"/>
    <n v="1.4219999999999999"/>
    <n v="3"/>
    <x v="0"/>
    <n v="0"/>
    <n v="0"/>
    <n v="46"/>
    <n v="84"/>
    <n v="0"/>
    <n v="404.34"/>
    <n v="320.60000000000002"/>
    <m/>
    <n v="491.3677083274257"/>
    <n v="290.53979172761228"/>
    <n v="0"/>
    <n v="574.97147999999993"/>
    <n v="455.89320000000004"/>
    <n v="0"/>
    <n v="698.37025784510899"/>
    <n v="413.14758383666464"/>
  </r>
  <r>
    <s v="Regular"/>
    <x v="3"/>
    <x v="1"/>
    <x v="5"/>
    <x v="0"/>
    <x v="0"/>
    <x v="0"/>
    <x v="1"/>
    <x v="6"/>
    <n v="0"/>
    <n v="0"/>
    <n v="1.8580000000000001"/>
    <n v="1.8580000000000001"/>
    <n v="1.8580000000000001"/>
    <n v="1.8580000000000001"/>
    <n v="3"/>
    <x v="0"/>
    <n v="0"/>
    <n v="0"/>
    <n v="46"/>
    <n v="84"/>
    <n v="0"/>
    <n v="404.34"/>
    <n v="320.60000000000002"/>
    <m/>
    <n v="491.3677083274257"/>
    <n v="290.53979172761228"/>
    <n v="0"/>
    <n v="751.26372000000003"/>
    <n v="595.67480000000012"/>
    <n v="0"/>
    <n v="912.49784745162628"/>
    <n v="539.82293302990365"/>
  </r>
  <r>
    <s v="Regular"/>
    <x v="3"/>
    <x v="1"/>
    <x v="5"/>
    <x v="0"/>
    <x v="0"/>
    <x v="0"/>
    <x v="1"/>
    <x v="7"/>
    <n v="0"/>
    <n v="0"/>
    <n v="1.726"/>
    <n v="1.726"/>
    <n v="1.726"/>
    <n v="1.726"/>
    <n v="3"/>
    <x v="0"/>
    <n v="0"/>
    <n v="0"/>
    <n v="46"/>
    <n v="84"/>
    <n v="0"/>
    <n v="404.34"/>
    <n v="320.60000000000002"/>
    <m/>
    <n v="491.3677083274257"/>
    <n v="290.53979172761228"/>
    <n v="0"/>
    <n v="697.89083999999991"/>
    <n v="553.35559999999998"/>
    <n v="0"/>
    <n v="847.67022857992833"/>
    <n v="501.47168052185879"/>
  </r>
  <r>
    <s v="Regular"/>
    <x v="3"/>
    <x v="1"/>
    <x v="5"/>
    <x v="0"/>
    <x v="0"/>
    <x v="0"/>
    <x v="1"/>
    <x v="8"/>
    <n v="0"/>
    <n v="0"/>
    <n v="1.6359999999999999"/>
    <n v="1.6359999999999999"/>
    <n v="1.6359999999999999"/>
    <n v="1.6359999999999999"/>
    <n v="3"/>
    <x v="0"/>
    <n v="0"/>
    <n v="0"/>
    <n v="46"/>
    <n v="84"/>
    <n v="0"/>
    <n v="404.34"/>
    <n v="320.60000000000002"/>
    <m/>
    <n v="491.3677083274257"/>
    <n v="290.53979172761228"/>
    <n v="0"/>
    <n v="661.50023999999996"/>
    <n v="524.50160000000005"/>
    <n v="0"/>
    <n v="803.46957934922523"/>
    <n v="475.32309926637367"/>
  </r>
  <r>
    <s v="Regular"/>
    <x v="3"/>
    <x v="1"/>
    <x v="5"/>
    <x v="0"/>
    <x v="0"/>
    <x v="0"/>
    <x v="1"/>
    <x v="9"/>
    <n v="0"/>
    <n v="0"/>
    <n v="1.242"/>
    <n v="1.242"/>
    <n v="1.242"/>
    <n v="1.242"/>
    <n v="3"/>
    <x v="0"/>
    <n v="0"/>
    <n v="0"/>
    <n v="46"/>
    <n v="84"/>
    <n v="0"/>
    <n v="404.34"/>
    <n v="320.60000000000002"/>
    <m/>
    <n v="491.3677083274257"/>
    <n v="290.53979172761228"/>
    <n v="0"/>
    <n v="502.19027999999997"/>
    <n v="398.18520000000001"/>
    <n v="0"/>
    <n v="609.96895938370278"/>
    <n v="360.85042132569447"/>
  </r>
  <r>
    <s v="Regular"/>
    <x v="3"/>
    <x v="1"/>
    <x v="5"/>
    <x v="0"/>
    <x v="0"/>
    <x v="0"/>
    <x v="1"/>
    <x v="10"/>
    <n v="0"/>
    <n v="0"/>
    <n v="0.96899999999999997"/>
    <n v="0.96899999999999997"/>
    <n v="0.96899999999999997"/>
    <n v="0.96899999999999997"/>
    <n v="3"/>
    <x v="0"/>
    <n v="0"/>
    <n v="0"/>
    <n v="46"/>
    <n v="84"/>
    <n v="0"/>
    <n v="404.34"/>
    <n v="320.60000000000002"/>
    <m/>
    <n v="491.3677083274257"/>
    <n v="290.53979172761228"/>
    <n v="0"/>
    <n v="391.80545999999998"/>
    <n v="310.66140000000001"/>
    <n v="0"/>
    <n v="475.89365671723669"/>
    <n v="281.5330581840563"/>
  </r>
  <r>
    <s v="Regular"/>
    <x v="3"/>
    <x v="1"/>
    <x v="5"/>
    <x v="0"/>
    <x v="0"/>
    <x v="0"/>
    <x v="1"/>
    <x v="11"/>
    <n v="0"/>
    <n v="0"/>
    <n v="0.95599999999999996"/>
    <n v="0.95599999999999996"/>
    <n v="0.95599999999999996"/>
    <n v="0.95599999999999996"/>
    <n v="3"/>
    <x v="0"/>
    <n v="0"/>
    <n v="0"/>
    <n v="46"/>
    <n v="84"/>
    <n v="0"/>
    <n v="404.34"/>
    <n v="320.60000000000002"/>
    <m/>
    <n v="491.3677083274257"/>
    <n v="290.53979172761228"/>
    <n v="0"/>
    <n v="386.54903999999993"/>
    <n v="306.49360000000001"/>
    <n v="0"/>
    <n v="469.50911849502404"/>
    <n v="277.75604089159731"/>
  </r>
  <r>
    <s v="Regular"/>
    <x v="3"/>
    <x v="1"/>
    <x v="1"/>
    <x v="0"/>
    <x v="0"/>
    <x v="0"/>
    <x v="1"/>
    <x v="0"/>
    <n v="0"/>
    <n v="0"/>
    <n v="109.244"/>
    <n v="109.244"/>
    <n v="109.244"/>
    <n v="109.244"/>
    <n v="76"/>
    <x v="0"/>
    <n v="0"/>
    <n v="0"/>
    <n v="46"/>
    <n v="84"/>
    <n v="0"/>
    <n v="404.34"/>
    <n v="320.60000000000002"/>
    <m/>
    <n v="491.3677083274257"/>
    <n v="290.53979172761228"/>
    <n v="0"/>
    <n v="44171.718959999998"/>
    <n v="35023.626400000001"/>
    <n v="0"/>
    <n v="53651.730272876994"/>
    <n v="31739.729007491274"/>
  </r>
  <r>
    <s v="Sistema de Compensação"/>
    <x v="3"/>
    <x v="1"/>
    <x v="1"/>
    <x v="0"/>
    <x v="0"/>
    <x v="0"/>
    <x v="1"/>
    <x v="0"/>
    <n v="0"/>
    <n v="0"/>
    <n v="0.54300000000000004"/>
    <n v="0.54300000000000004"/>
    <n v="0.54300000000000004"/>
    <n v="0.54300000000000004"/>
    <n v="1"/>
    <x v="0"/>
    <n v="0"/>
    <n v="0"/>
    <n v="46"/>
    <n v="84"/>
    <n v="0"/>
    <n v="404.34"/>
    <n v="320.60000000000002"/>
    <m/>
    <n v="491.3677083274257"/>
    <n v="290.53979172761228"/>
    <n v="0"/>
    <n v="219.55662000000001"/>
    <n v="174.08580000000003"/>
    <n v="0"/>
    <n v="266.67725035857541"/>
    <n v="157.76310690809348"/>
  </r>
  <r>
    <s v="Regular"/>
    <x v="3"/>
    <x v="1"/>
    <x v="1"/>
    <x v="0"/>
    <x v="0"/>
    <x v="0"/>
    <x v="1"/>
    <x v="1"/>
    <n v="0"/>
    <n v="0"/>
    <n v="96.180999999999997"/>
    <n v="96.180999999999997"/>
    <n v="96.180999999999997"/>
    <n v="96.180999999999997"/>
    <n v="77"/>
    <x v="0"/>
    <n v="0"/>
    <n v="0"/>
    <n v="46"/>
    <n v="84"/>
    <n v="0"/>
    <n v="404.34"/>
    <n v="320.60000000000002"/>
    <m/>
    <n v="491.3677083274257"/>
    <n v="290.53979172761228"/>
    <n v="0"/>
    <n v="38889.825539999998"/>
    <n v="30835.6286"/>
    <n v="0"/>
    <n v="47236.251596202834"/>
    <n v="27944.407708153478"/>
  </r>
  <r>
    <s v="Sistema de Compensação"/>
    <x v="3"/>
    <x v="1"/>
    <x v="1"/>
    <x v="0"/>
    <x v="0"/>
    <x v="0"/>
    <x v="1"/>
    <x v="1"/>
    <n v="0"/>
    <n v="0"/>
    <n v="0.60499999999999998"/>
    <n v="0.60499999999999998"/>
    <n v="0.60499999999999998"/>
    <n v="0.60499999999999998"/>
    <n v="1"/>
    <x v="0"/>
    <n v="0"/>
    <n v="0"/>
    <n v="46"/>
    <n v="84"/>
    <n v="0"/>
    <n v="404.34"/>
    <n v="320.60000000000002"/>
    <m/>
    <n v="491.3677083274257"/>
    <n v="290.53979172761228"/>
    <n v="0"/>
    <n v="244.62569999999997"/>
    <n v="193.96299999999999"/>
    <n v="0"/>
    <n v="297.12658649528197"/>
    <n v="175.77657399520544"/>
  </r>
  <r>
    <s v="Regular"/>
    <x v="3"/>
    <x v="1"/>
    <x v="1"/>
    <x v="0"/>
    <x v="0"/>
    <x v="0"/>
    <x v="1"/>
    <x v="2"/>
    <n v="0"/>
    <n v="0"/>
    <n v="112.52800000000001"/>
    <n v="112.52800000000001"/>
    <n v="112.52800000000001"/>
    <n v="112.52800000000001"/>
    <n v="75"/>
    <x v="0"/>
    <n v="0"/>
    <n v="0"/>
    <n v="46"/>
    <n v="84"/>
    <n v="0"/>
    <n v="404.34"/>
    <n v="320.60000000000002"/>
    <m/>
    <n v="491.3677083274257"/>
    <n v="290.53979172761228"/>
    <n v="0"/>
    <n v="45499.571519999998"/>
    <n v="36076.476800000004"/>
    <n v="0"/>
    <n v="55264.562851472874"/>
    <n v="32693.861683524756"/>
  </r>
  <r>
    <s v="Sistema de Compensação"/>
    <x v="3"/>
    <x v="1"/>
    <x v="1"/>
    <x v="0"/>
    <x v="0"/>
    <x v="0"/>
    <x v="1"/>
    <x v="2"/>
    <n v="0"/>
    <n v="0"/>
    <n v="0.505"/>
    <n v="0.505"/>
    <n v="0.505"/>
    <n v="0.505"/>
    <n v="1"/>
    <x v="0"/>
    <n v="0"/>
    <n v="0"/>
    <n v="46"/>
    <n v="84"/>
    <n v="0"/>
    <n v="404.34"/>
    <n v="320.60000000000002"/>
    <m/>
    <n v="491.3677083274257"/>
    <n v="290.53979172761228"/>
    <n v="0"/>
    <n v="204.1917"/>
    <n v="161.90300000000002"/>
    <n v="0"/>
    <n v="248.01475401672295"/>
    <n v="146.72259482244419"/>
  </r>
  <r>
    <s v="Regular"/>
    <x v="3"/>
    <x v="1"/>
    <x v="1"/>
    <x v="0"/>
    <x v="0"/>
    <x v="0"/>
    <x v="1"/>
    <x v="3"/>
    <n v="0"/>
    <n v="0"/>
    <n v="94.328000000000003"/>
    <n v="94.328000000000003"/>
    <n v="94.328000000000003"/>
    <n v="94.328000000000003"/>
    <n v="75"/>
    <x v="0"/>
    <n v="0"/>
    <n v="0"/>
    <n v="46"/>
    <n v="84"/>
    <n v="0"/>
    <n v="404.34"/>
    <n v="320.60000000000002"/>
    <m/>
    <n v="491.3677083274257"/>
    <n v="290.53979172761228"/>
    <n v="0"/>
    <n v="38140.58352"/>
    <n v="30241.556800000002"/>
    <n v="0"/>
    <n v="46326.209340375135"/>
    <n v="27406.037474082212"/>
  </r>
  <r>
    <s v="Sistema de Compensação"/>
    <x v="3"/>
    <x v="1"/>
    <x v="1"/>
    <x v="0"/>
    <x v="0"/>
    <x v="0"/>
    <x v="1"/>
    <x v="3"/>
    <n v="0"/>
    <n v="0"/>
    <n v="0.21299999999999999"/>
    <n v="0.21299999999999999"/>
    <n v="0.21299999999999999"/>
    <n v="0.21299999999999999"/>
    <n v="1"/>
    <x v="0"/>
    <n v="0"/>
    <n v="0"/>
    <n v="46"/>
    <n v="84"/>
    <n v="0"/>
    <n v="404.34"/>
    <n v="320.60000000000002"/>
    <m/>
    <n v="491.3677083274257"/>
    <n v="290.53979172761228"/>
    <n v="0"/>
    <n v="86.124419999999986"/>
    <n v="68.287800000000004"/>
    <n v="0"/>
    <n v="104.60820317933067"/>
    <n v="61.884975637981412"/>
  </r>
  <r>
    <s v="Regular"/>
    <x v="3"/>
    <x v="1"/>
    <x v="1"/>
    <x v="0"/>
    <x v="0"/>
    <x v="0"/>
    <x v="1"/>
    <x v="4"/>
    <n v="0"/>
    <n v="0"/>
    <n v="97.72"/>
    <n v="97.72"/>
    <n v="97.72"/>
    <n v="97.72"/>
    <n v="74"/>
    <x v="0"/>
    <n v="0"/>
    <n v="0"/>
    <n v="46"/>
    <n v="84"/>
    <n v="0"/>
    <n v="404.34"/>
    <n v="320.60000000000002"/>
    <m/>
    <n v="491.3677083274257"/>
    <n v="290.53979172761228"/>
    <n v="0"/>
    <n v="39512.104799999994"/>
    <n v="31329.032000000003"/>
    <n v="0"/>
    <n v="47992.082698047852"/>
    <n v="28391.548447622274"/>
  </r>
  <r>
    <s v="Sistema de Compensação"/>
    <x v="3"/>
    <x v="1"/>
    <x v="1"/>
    <x v="0"/>
    <x v="0"/>
    <x v="0"/>
    <x v="1"/>
    <x v="4"/>
    <n v="0"/>
    <n v="0"/>
    <n v="0.1"/>
    <n v="0.1"/>
    <n v="0.1"/>
    <n v="0.1"/>
    <n v="1"/>
    <x v="0"/>
    <n v="0"/>
    <n v="0"/>
    <n v="46"/>
    <n v="84"/>
    <n v="0"/>
    <n v="404.34"/>
    <n v="320.60000000000002"/>
    <m/>
    <n v="491.3677083274257"/>
    <n v="290.53979172761228"/>
    <n v="0"/>
    <n v="40.433999999999997"/>
    <n v="32.06"/>
    <n v="0"/>
    <n v="49.111832478559002"/>
    <n v="29.053979172761231"/>
  </r>
  <r>
    <s v="Regular"/>
    <x v="3"/>
    <x v="1"/>
    <x v="1"/>
    <x v="0"/>
    <x v="0"/>
    <x v="0"/>
    <x v="1"/>
    <x v="5"/>
    <n v="0"/>
    <n v="0"/>
    <n v="93.116"/>
    <n v="93.116"/>
    <n v="93.116"/>
    <n v="93.116"/>
    <n v="74"/>
    <x v="0"/>
    <n v="0"/>
    <n v="0"/>
    <n v="46"/>
    <n v="84"/>
    <n v="0"/>
    <n v="404.34"/>
    <n v="320.60000000000002"/>
    <m/>
    <n v="491.3677083274257"/>
    <n v="290.53979172761228"/>
    <n v="0"/>
    <n v="37650.523439999997"/>
    <n v="29852.989600000001"/>
    <n v="0"/>
    <n v="45730.973930734996"/>
    <n v="27053.903246508344"/>
  </r>
  <r>
    <s v="Sistema de Compensação"/>
    <x v="3"/>
    <x v="1"/>
    <x v="1"/>
    <x v="0"/>
    <x v="0"/>
    <x v="0"/>
    <x v="1"/>
    <x v="5"/>
    <n v="0"/>
    <n v="0"/>
    <n v="0.25900000000000001"/>
    <n v="0.25900000000000001"/>
    <n v="0.25900000000000001"/>
    <n v="0.25900000000000001"/>
    <n v="1"/>
    <x v="0"/>
    <n v="0"/>
    <n v="0"/>
    <n v="46"/>
    <n v="84"/>
    <n v="0"/>
    <n v="404.34"/>
    <n v="320.60000000000002"/>
    <m/>
    <n v="491.3677083274257"/>
    <n v="290.53979172761228"/>
    <n v="0"/>
    <n v="104.72405999999999"/>
    <n v="83.03540000000001"/>
    <n v="0"/>
    <n v="127.19964611946781"/>
    <n v="75.249806057451579"/>
  </r>
  <r>
    <s v="Regular"/>
    <x v="3"/>
    <x v="1"/>
    <x v="1"/>
    <x v="0"/>
    <x v="0"/>
    <x v="0"/>
    <x v="1"/>
    <x v="6"/>
    <n v="0"/>
    <n v="0"/>
    <n v="103.97799999999999"/>
    <n v="103.97799999999999"/>
    <n v="103.97799999999999"/>
    <n v="103.97799999999999"/>
    <n v="76"/>
    <x v="0"/>
    <n v="0"/>
    <n v="0"/>
    <n v="46"/>
    <n v="84"/>
    <n v="0"/>
    <n v="404.34"/>
    <n v="320.60000000000002"/>
    <m/>
    <n v="491.3677083274257"/>
    <n v="290.53979172761228"/>
    <n v="0"/>
    <n v="42042.464519999994"/>
    <n v="33335.346799999999"/>
    <n v="0"/>
    <n v="51065.501174556077"/>
    <n v="30209.746464253669"/>
  </r>
  <r>
    <s v="Sistema de Compensação"/>
    <x v="3"/>
    <x v="1"/>
    <x v="1"/>
    <x v="0"/>
    <x v="0"/>
    <x v="0"/>
    <x v="1"/>
    <x v="6"/>
    <n v="0"/>
    <n v="0"/>
    <n v="0.36499999999999999"/>
    <n v="0.36499999999999999"/>
    <n v="0.36499999999999999"/>
    <n v="0.36499999999999999"/>
    <n v="1"/>
    <x v="0"/>
    <n v="0"/>
    <n v="0"/>
    <n v="46"/>
    <n v="84"/>
    <n v="0"/>
    <n v="404.34"/>
    <n v="320.60000000000002"/>
    <m/>
    <n v="491.3677083274257"/>
    <n v="290.53979172761228"/>
    <n v="0"/>
    <n v="147.58409999999998"/>
    <n v="117.01900000000001"/>
    <n v="0"/>
    <n v="179.25818854674034"/>
    <n v="106.04702398057849"/>
  </r>
  <r>
    <s v="Regular"/>
    <x v="3"/>
    <x v="1"/>
    <x v="1"/>
    <x v="0"/>
    <x v="0"/>
    <x v="0"/>
    <x v="1"/>
    <x v="7"/>
    <n v="0"/>
    <n v="0"/>
    <n v="91.114000000000004"/>
    <n v="91.114000000000004"/>
    <n v="91.114000000000004"/>
    <n v="91.114000000000004"/>
    <n v="74"/>
    <x v="0"/>
    <n v="0"/>
    <n v="0"/>
    <n v="46"/>
    <n v="84"/>
    <n v="0"/>
    <n v="404.34"/>
    <n v="320.60000000000002"/>
    <m/>
    <n v="491.3677083274257"/>
    <n v="290.53979172761228"/>
    <n v="0"/>
    <n v="36841.034760000002"/>
    <n v="29211.148400000002"/>
    <n v="0"/>
    <n v="44747.755044514248"/>
    <n v="26472.242583469666"/>
  </r>
  <r>
    <s v="Sistema de Compensação"/>
    <x v="3"/>
    <x v="1"/>
    <x v="1"/>
    <x v="0"/>
    <x v="0"/>
    <x v="0"/>
    <x v="1"/>
    <x v="7"/>
    <n v="0"/>
    <n v="0"/>
    <n v="0.1"/>
    <n v="0.1"/>
    <n v="0.1"/>
    <n v="0.1"/>
    <n v="1"/>
    <x v="0"/>
    <n v="0"/>
    <n v="0"/>
    <n v="46"/>
    <n v="84"/>
    <n v="0"/>
    <n v="404.34"/>
    <n v="320.60000000000002"/>
    <m/>
    <n v="491.3677083274257"/>
    <n v="290.53979172761228"/>
    <n v="0"/>
    <n v="40.433999999999997"/>
    <n v="32.06"/>
    <n v="0"/>
    <n v="49.111832478559002"/>
    <n v="29.053979172761231"/>
  </r>
  <r>
    <s v="Regular"/>
    <x v="3"/>
    <x v="1"/>
    <x v="1"/>
    <x v="0"/>
    <x v="0"/>
    <x v="0"/>
    <x v="1"/>
    <x v="8"/>
    <n v="0"/>
    <n v="0"/>
    <n v="87.905000000000001"/>
    <n v="87.905000000000001"/>
    <n v="87.905000000000001"/>
    <n v="87.905000000000001"/>
    <n v="70"/>
    <x v="0"/>
    <n v="0"/>
    <n v="0"/>
    <n v="46"/>
    <n v="84"/>
    <n v="0"/>
    <n v="404.34"/>
    <n v="320.60000000000002"/>
    <m/>
    <n v="491.3677083274257"/>
    <n v="290.53979172761228"/>
    <n v="0"/>
    <n v="35543.507699999995"/>
    <n v="28182.343000000001"/>
    <n v="0"/>
    <n v="43171.756340277287"/>
    <n v="25539.900391815758"/>
  </r>
  <r>
    <s v="Sistema de Compensação"/>
    <x v="3"/>
    <x v="1"/>
    <x v="1"/>
    <x v="0"/>
    <x v="0"/>
    <x v="0"/>
    <x v="1"/>
    <x v="8"/>
    <n v="0"/>
    <n v="0"/>
    <n v="0.1"/>
    <n v="0.1"/>
    <n v="0.1"/>
    <n v="0.1"/>
    <n v="1"/>
    <x v="0"/>
    <n v="0"/>
    <n v="0"/>
    <n v="46"/>
    <n v="84"/>
    <n v="0"/>
    <n v="404.34"/>
    <n v="320.60000000000002"/>
    <m/>
    <n v="491.3677083274257"/>
    <n v="290.53979172761228"/>
    <n v="0"/>
    <n v="40.433999999999997"/>
    <n v="32.06"/>
    <n v="0"/>
    <n v="49.111832478559002"/>
    <n v="29.053979172761231"/>
  </r>
  <r>
    <s v="Regular"/>
    <x v="3"/>
    <x v="1"/>
    <x v="1"/>
    <x v="0"/>
    <x v="0"/>
    <x v="0"/>
    <x v="1"/>
    <x v="9"/>
    <n v="0"/>
    <n v="0"/>
    <n v="94.152000000000001"/>
    <n v="94.152000000000001"/>
    <n v="94.152000000000001"/>
    <n v="94.152000000000001"/>
    <n v="68"/>
    <x v="0"/>
    <n v="0"/>
    <n v="0"/>
    <n v="46"/>
    <n v="84"/>
    <n v="0"/>
    <n v="404.34"/>
    <n v="320.60000000000002"/>
    <m/>
    <n v="491.3677083274257"/>
    <n v="290.53979172761228"/>
    <n v="0"/>
    <n v="38069.419679999999"/>
    <n v="30185.131200000003"/>
    <n v="0"/>
    <n v="46239.77251521287"/>
    <n v="27354.90247073815"/>
  </r>
  <r>
    <s v="Sistema de Compensação"/>
    <x v="3"/>
    <x v="1"/>
    <x v="1"/>
    <x v="0"/>
    <x v="0"/>
    <x v="0"/>
    <x v="1"/>
    <x v="9"/>
    <n v="0"/>
    <n v="0"/>
    <n v="0.19400000000000001"/>
    <n v="0.19400000000000001"/>
    <n v="0.19400000000000001"/>
    <n v="0.19400000000000001"/>
    <n v="1"/>
    <x v="0"/>
    <n v="0"/>
    <n v="0"/>
    <n v="46"/>
    <n v="84"/>
    <n v="0"/>
    <n v="404.34"/>
    <n v="320.60000000000002"/>
    <m/>
    <n v="491.3677083274257"/>
    <n v="290.53979172761228"/>
    <n v="0"/>
    <n v="78.441959999999995"/>
    <n v="62.196400000000004"/>
    <n v="0"/>
    <n v="95.276955008404457"/>
    <n v="56.364719595156785"/>
  </r>
  <r>
    <s v="Regular"/>
    <x v="3"/>
    <x v="1"/>
    <x v="1"/>
    <x v="0"/>
    <x v="0"/>
    <x v="0"/>
    <x v="1"/>
    <x v="10"/>
    <n v="0"/>
    <n v="0"/>
    <n v="86.853999999999999"/>
    <n v="86.853999999999999"/>
    <n v="86.853999999999999"/>
    <n v="86.853999999999999"/>
    <n v="68"/>
    <x v="0"/>
    <n v="0"/>
    <n v="0"/>
    <n v="46"/>
    <n v="84"/>
    <n v="0"/>
    <n v="404.34"/>
    <n v="320.60000000000002"/>
    <m/>
    <n v="491.3677083274257"/>
    <n v="290.53979172761228"/>
    <n v="0"/>
    <n v="35118.54636"/>
    <n v="27845.392400000001"/>
    <n v="0"/>
    <n v="42655.590980927635"/>
    <n v="25234.543070710039"/>
  </r>
  <r>
    <s v="Sistema de Compensação"/>
    <x v="3"/>
    <x v="1"/>
    <x v="1"/>
    <x v="0"/>
    <x v="0"/>
    <x v="0"/>
    <x v="1"/>
    <x v="10"/>
    <n v="0"/>
    <n v="0"/>
    <n v="0.115"/>
    <n v="0.115"/>
    <n v="0.115"/>
    <n v="0.115"/>
    <n v="1"/>
    <x v="0"/>
    <n v="0"/>
    <n v="0"/>
    <n v="46"/>
    <n v="84"/>
    <n v="0"/>
    <n v="404.34"/>
    <n v="320.60000000000002"/>
    <m/>
    <n v="491.3677083274257"/>
    <n v="290.53979172761228"/>
    <n v="0"/>
    <n v="46.499099999999999"/>
    <n v="36.869000000000007"/>
    <n v="0"/>
    <n v="56.478607350342855"/>
    <n v="33.412076048675416"/>
  </r>
  <r>
    <s v="Regular"/>
    <x v="3"/>
    <x v="1"/>
    <x v="1"/>
    <x v="0"/>
    <x v="0"/>
    <x v="0"/>
    <x v="1"/>
    <x v="11"/>
    <n v="0"/>
    <n v="0"/>
    <n v="90.668000000000006"/>
    <n v="90.668000000000006"/>
    <n v="90.668000000000006"/>
    <n v="90.668000000000006"/>
    <n v="69"/>
    <x v="0"/>
    <n v="0"/>
    <n v="0"/>
    <n v="46"/>
    <n v="84"/>
    <n v="0"/>
    <n v="404.34"/>
    <n v="320.60000000000002"/>
    <m/>
    <n v="491.3677083274257"/>
    <n v="290.53979172761228"/>
    <n v="0"/>
    <n v="36660.699119999997"/>
    <n v="29068.160800000005"/>
    <n v="0"/>
    <n v="44528.716271659876"/>
    <n v="26342.661836359151"/>
  </r>
  <r>
    <s v="Sistema de Compensação"/>
    <x v="3"/>
    <x v="1"/>
    <x v="1"/>
    <x v="0"/>
    <x v="0"/>
    <x v="0"/>
    <x v="1"/>
    <x v="11"/>
    <n v="0"/>
    <n v="0"/>
    <n v="2.4089999999999998"/>
    <n v="2.4089999999999998"/>
    <n v="2.4089999999999998"/>
    <n v="2.4089999999999998"/>
    <n v="2"/>
    <x v="0"/>
    <n v="0"/>
    <n v="0"/>
    <n v="46"/>
    <n v="84"/>
    <n v="0"/>
    <n v="404.34"/>
    <n v="320.60000000000002"/>
    <m/>
    <n v="491.3677083274257"/>
    <n v="290.53979172761228"/>
    <n v="0"/>
    <n v="974.05505999999991"/>
    <n v="772.32539999999995"/>
    <n v="0"/>
    <n v="1183.1040444084863"/>
    <n v="699.91035827181793"/>
  </r>
  <r>
    <s v="Regular"/>
    <x v="3"/>
    <x v="1"/>
    <x v="4"/>
    <x v="0"/>
    <x v="0"/>
    <x v="0"/>
    <x v="1"/>
    <x v="0"/>
    <n v="0"/>
    <n v="0"/>
    <n v="32.207000000000001"/>
    <n v="32.207000000000001"/>
    <n v="32.207000000000001"/>
    <n v="32.207000000000001"/>
    <n v="51"/>
    <x v="0"/>
    <n v="0"/>
    <n v="0"/>
    <n v="46"/>
    <n v="84"/>
    <n v="0"/>
    <n v="404.34"/>
    <n v="320.60000000000002"/>
    <m/>
    <n v="491.3677083274257"/>
    <n v="290.53979172761228"/>
    <n v="0"/>
    <n v="13022.578379999999"/>
    <n v="10325.564200000001"/>
    <n v="0"/>
    <n v="15817.447886369499"/>
    <n v="9357.4150721712085"/>
  </r>
  <r>
    <s v="Regular"/>
    <x v="3"/>
    <x v="1"/>
    <x v="4"/>
    <x v="0"/>
    <x v="0"/>
    <x v="0"/>
    <x v="1"/>
    <x v="1"/>
    <n v="0"/>
    <n v="0"/>
    <n v="29.888999999999999"/>
    <n v="29.888999999999999"/>
    <n v="29.888999999999999"/>
    <n v="29.888999999999999"/>
    <n v="51"/>
    <x v="0"/>
    <n v="0"/>
    <n v="0"/>
    <n v="46"/>
    <n v="84"/>
    <n v="0"/>
    <n v="404.34"/>
    <n v="320.60000000000002"/>
    <m/>
    <n v="491.3677083274257"/>
    <n v="290.53979172761228"/>
    <n v="0"/>
    <n v="12085.318259999998"/>
    <n v="9582.4134000000013"/>
    <n v="0"/>
    <n v="14679.035609516499"/>
    <n v="8683.9438349466036"/>
  </r>
  <r>
    <s v="Regular"/>
    <x v="3"/>
    <x v="1"/>
    <x v="4"/>
    <x v="0"/>
    <x v="0"/>
    <x v="0"/>
    <x v="1"/>
    <x v="2"/>
    <n v="0"/>
    <n v="0"/>
    <n v="33.018000000000001"/>
    <n v="33.018000000000001"/>
    <n v="33.018000000000001"/>
    <n v="33.018000000000001"/>
    <n v="51"/>
    <x v="0"/>
    <n v="0"/>
    <n v="0"/>
    <n v="46"/>
    <n v="84"/>
    <n v="0"/>
    <n v="404.34"/>
    <n v="320.60000000000002"/>
    <m/>
    <n v="491.3677083274257"/>
    <n v="290.53979172761228"/>
    <n v="0"/>
    <n v="13350.49812"/>
    <n v="10585.570800000001"/>
    <n v="0"/>
    <n v="16215.744847770611"/>
    <n v="9593.042843262303"/>
  </r>
  <r>
    <s v="Regular"/>
    <x v="3"/>
    <x v="1"/>
    <x v="4"/>
    <x v="0"/>
    <x v="0"/>
    <x v="0"/>
    <x v="1"/>
    <x v="3"/>
    <n v="0"/>
    <n v="0"/>
    <n v="30.91"/>
    <n v="30.91"/>
    <n v="30.91"/>
    <n v="30.91"/>
    <n v="51"/>
    <x v="0"/>
    <n v="0"/>
    <n v="0"/>
    <n v="46"/>
    <n v="84"/>
    <n v="0"/>
    <n v="404.34"/>
    <n v="320.60000000000002"/>
    <m/>
    <n v="491.3677083274257"/>
    <n v="290.53979172761228"/>
    <n v="0"/>
    <n v="12498.149399999998"/>
    <n v="9909.746000000001"/>
    <n v="0"/>
    <n v="15180.467419122588"/>
    <n v="8980.584962300496"/>
  </r>
  <r>
    <s v="Regular"/>
    <x v="3"/>
    <x v="1"/>
    <x v="4"/>
    <x v="0"/>
    <x v="0"/>
    <x v="0"/>
    <x v="1"/>
    <x v="4"/>
    <n v="0"/>
    <n v="0"/>
    <n v="39.243000000000002"/>
    <n v="39.243000000000002"/>
    <n v="39.243000000000002"/>
    <n v="39.243000000000002"/>
    <n v="51"/>
    <x v="0"/>
    <n v="0"/>
    <n v="0"/>
    <n v="46"/>
    <n v="84"/>
    <n v="0"/>
    <n v="404.34"/>
    <n v="320.60000000000002"/>
    <m/>
    <n v="491.3677083274257"/>
    <n v="290.53979172761228"/>
    <n v="0"/>
    <n v="15867.51462"/>
    <n v="12581.305800000002"/>
    <n v="0"/>
    <n v="19272.956419560909"/>
    <n v="11401.653046766689"/>
  </r>
  <r>
    <s v="Regular"/>
    <x v="3"/>
    <x v="1"/>
    <x v="4"/>
    <x v="0"/>
    <x v="0"/>
    <x v="0"/>
    <x v="1"/>
    <x v="5"/>
    <n v="0"/>
    <n v="0"/>
    <n v="38.582999999999998"/>
    <n v="38.582999999999998"/>
    <n v="38.582999999999998"/>
    <n v="38.582999999999998"/>
    <n v="51"/>
    <x v="0"/>
    <n v="0"/>
    <n v="0"/>
    <n v="46"/>
    <n v="84"/>
    <n v="0"/>
    <n v="404.34"/>
    <n v="320.60000000000002"/>
    <m/>
    <n v="491.3677083274257"/>
    <n v="290.53979172761228"/>
    <n v="0"/>
    <n v="15600.650219999998"/>
    <n v="12369.709800000001"/>
    <n v="0"/>
    <n v="18948.818325202417"/>
    <n v="11209.896784226465"/>
  </r>
  <r>
    <s v="Regular"/>
    <x v="3"/>
    <x v="1"/>
    <x v="4"/>
    <x v="0"/>
    <x v="0"/>
    <x v="0"/>
    <x v="1"/>
    <x v="6"/>
    <n v="0"/>
    <n v="0"/>
    <n v="50.277999999999999"/>
    <n v="50.277999999999999"/>
    <n v="50.277999999999999"/>
    <n v="50.277999999999999"/>
    <n v="51"/>
    <x v="0"/>
    <n v="0"/>
    <n v="0"/>
    <n v="46"/>
    <n v="84"/>
    <n v="0"/>
    <n v="404.34"/>
    <n v="320.60000000000002"/>
    <m/>
    <n v="491.3677083274257"/>
    <n v="290.53979172761228"/>
    <n v="0"/>
    <n v="20329.406519999997"/>
    <n v="16119.1268"/>
    <n v="0"/>
    <n v="24692.447133569895"/>
    <n v="14607.759648480889"/>
  </r>
  <r>
    <s v="Regular"/>
    <x v="3"/>
    <x v="1"/>
    <x v="4"/>
    <x v="0"/>
    <x v="0"/>
    <x v="0"/>
    <x v="1"/>
    <x v="7"/>
    <n v="0"/>
    <n v="0"/>
    <n v="51.749000000000002"/>
    <n v="51.749000000000002"/>
    <n v="51.749000000000002"/>
    <n v="51.749000000000002"/>
    <n v="51"/>
    <x v="0"/>
    <n v="0"/>
    <n v="0"/>
    <n v="46"/>
    <n v="84"/>
    <n v="0"/>
    <n v="404.34"/>
    <n v="320.60000000000002"/>
    <m/>
    <n v="491.3677083274257"/>
    <n v="290.53979172761228"/>
    <n v="0"/>
    <n v="20924.19066"/>
    <n v="16590.7294"/>
    <n v="0"/>
    <n v="25414.882189329499"/>
    <n v="15035.143682112208"/>
  </r>
  <r>
    <s v="Regular"/>
    <x v="3"/>
    <x v="1"/>
    <x v="4"/>
    <x v="0"/>
    <x v="0"/>
    <x v="0"/>
    <x v="1"/>
    <x v="8"/>
    <n v="0"/>
    <n v="0"/>
    <n v="52.555"/>
    <n v="52.555"/>
    <n v="52.555"/>
    <n v="52.555"/>
    <n v="52"/>
    <x v="0"/>
    <n v="0"/>
    <n v="0"/>
    <n v="46"/>
    <n v="84"/>
    <n v="0"/>
    <n v="404.34"/>
    <n v="320.60000000000002"/>
    <m/>
    <n v="491.3677083274257"/>
    <n v="290.53979172761228"/>
    <n v="0"/>
    <n v="21250.0887"/>
    <n v="16849.133000000002"/>
    <n v="0"/>
    <n v="25810.723559106682"/>
    <n v="15269.318754244663"/>
  </r>
  <r>
    <s v="Regular"/>
    <x v="3"/>
    <x v="1"/>
    <x v="4"/>
    <x v="0"/>
    <x v="0"/>
    <x v="0"/>
    <x v="1"/>
    <x v="9"/>
    <n v="0"/>
    <n v="0"/>
    <n v="36.895000000000003"/>
    <n v="36.895000000000003"/>
    <n v="36.895000000000003"/>
    <n v="36.895000000000003"/>
    <n v="52"/>
    <x v="0"/>
    <n v="0"/>
    <n v="0"/>
    <n v="46"/>
    <n v="84"/>
    <n v="0"/>
    <n v="404.34"/>
    <n v="320.60000000000002"/>
    <m/>
    <n v="491.3677083274257"/>
    <n v="290.53979172761228"/>
    <n v="0"/>
    <n v="14918.124299999999"/>
    <n v="11828.537000000002"/>
    <n v="0"/>
    <n v="18119.810592964346"/>
    <n v="10719.465615790255"/>
  </r>
  <r>
    <s v="Regular"/>
    <x v="3"/>
    <x v="1"/>
    <x v="4"/>
    <x v="0"/>
    <x v="0"/>
    <x v="0"/>
    <x v="1"/>
    <x v="10"/>
    <n v="0"/>
    <n v="0"/>
    <n v="31.05"/>
    <n v="31.05"/>
    <n v="31.05"/>
    <n v="31.05"/>
    <n v="52"/>
    <x v="0"/>
    <n v="0"/>
    <n v="0"/>
    <n v="46"/>
    <n v="84"/>
    <n v="0"/>
    <n v="404.34"/>
    <n v="320.60000000000002"/>
    <m/>
    <n v="491.3677083274257"/>
    <n v="290.53979172761228"/>
    <n v="0"/>
    <n v="12554.757"/>
    <n v="9954.630000000001"/>
    <n v="0"/>
    <n v="15249.223984592571"/>
    <n v="9021.260533142362"/>
  </r>
  <r>
    <s v="Regular"/>
    <x v="3"/>
    <x v="1"/>
    <x v="4"/>
    <x v="0"/>
    <x v="0"/>
    <x v="0"/>
    <x v="1"/>
    <x v="11"/>
    <n v="0"/>
    <n v="0"/>
    <n v="37.548000000000002"/>
    <n v="37.548000000000002"/>
    <n v="37.548000000000002"/>
    <n v="37.548000000000002"/>
    <n v="52"/>
    <x v="0"/>
    <n v="0"/>
    <n v="0"/>
    <n v="46"/>
    <n v="84"/>
    <n v="0"/>
    <n v="404.34"/>
    <n v="320.60000000000002"/>
    <m/>
    <n v="491.3677083274257"/>
    <n v="290.53979172761228"/>
    <n v="0"/>
    <n v="15182.15832"/>
    <n v="12037.888800000001"/>
    <n v="0"/>
    <n v="18440.510859049333"/>
    <n v="10909.188099788387"/>
  </r>
  <r>
    <s v="Regular"/>
    <x v="3"/>
    <x v="1"/>
    <x v="6"/>
    <x v="6"/>
    <x v="0"/>
    <x v="0"/>
    <x v="1"/>
    <x v="0"/>
    <n v="0"/>
    <n v="0"/>
    <n v="0.91900000000000004"/>
    <n v="0.91900000000000004"/>
    <n v="0.91900000000000004"/>
    <n v="0.91900000000000004"/>
    <n v="1"/>
    <x v="0"/>
    <n v="0"/>
    <n v="0"/>
    <n v="46"/>
    <n v="84"/>
    <n v="0"/>
    <n v="380.07959999999997"/>
    <n v="301.36399999999998"/>
    <m/>
    <n v="476.62667707760289"/>
    <n v="281.82359797578391"/>
    <n v="0"/>
    <n v="349.2931524"/>
    <n v="276.95351599999998"/>
    <n v="0"/>
    <n v="424.25747604927977"/>
    <n v="258.99588653974541"/>
  </r>
  <r>
    <s v="Regular"/>
    <x v="3"/>
    <x v="1"/>
    <x v="6"/>
    <x v="6"/>
    <x v="0"/>
    <x v="0"/>
    <x v="1"/>
    <x v="1"/>
    <n v="0"/>
    <n v="0"/>
    <n v="0.93200000000000005"/>
    <n v="0.93200000000000005"/>
    <n v="0.93200000000000005"/>
    <n v="0.93200000000000005"/>
    <n v="1"/>
    <x v="0"/>
    <n v="0"/>
    <n v="0"/>
    <n v="46"/>
    <n v="84"/>
    <n v="0"/>
    <n v="380.07959999999997"/>
    <n v="301.36399999999998"/>
    <m/>
    <n v="476.62667707760289"/>
    <n v="281.82359797578391"/>
    <n v="0"/>
    <n v="354.23418720000001"/>
    <n v="280.87124799999998"/>
    <n v="0"/>
    <n v="430.25894197815967"/>
    <n v="262.65959331343061"/>
  </r>
  <r>
    <s v="Regular"/>
    <x v="3"/>
    <x v="1"/>
    <x v="6"/>
    <x v="6"/>
    <x v="0"/>
    <x v="0"/>
    <x v="1"/>
    <x v="2"/>
    <n v="0"/>
    <n v="0"/>
    <n v="1.2130000000000001"/>
    <n v="1.2130000000000001"/>
    <n v="1.2130000000000001"/>
    <n v="1.2130000000000001"/>
    <n v="1"/>
    <x v="0"/>
    <n v="0"/>
    <n v="0"/>
    <n v="46"/>
    <n v="84"/>
    <n v="0"/>
    <n v="380.07959999999997"/>
    <n v="301.36399999999998"/>
    <m/>
    <n v="476.62667707760289"/>
    <n v="281.82359797578391"/>
    <n v="0"/>
    <n v="461.03655479999998"/>
    <n v="365.55453199999999"/>
    <n v="0"/>
    <n v="559.9829362870255"/>
    <n v="341.85202434462593"/>
  </r>
  <r>
    <s v="Regular"/>
    <x v="3"/>
    <x v="1"/>
    <x v="6"/>
    <x v="6"/>
    <x v="0"/>
    <x v="0"/>
    <x v="1"/>
    <x v="3"/>
    <n v="0"/>
    <n v="0"/>
    <n v="1.141"/>
    <n v="1.141"/>
    <n v="1.141"/>
    <n v="1.141"/>
    <n v="1"/>
    <x v="0"/>
    <n v="0"/>
    <n v="0"/>
    <n v="46"/>
    <n v="84"/>
    <n v="0"/>
    <n v="380.07959999999997"/>
    <n v="301.36399999999998"/>
    <m/>
    <n v="476.62667707760289"/>
    <n v="281.82359797578391"/>
    <n v="0"/>
    <n v="433.67082359999995"/>
    <n v="343.85632399999997"/>
    <n v="0"/>
    <n v="526.74404806553673"/>
    <n v="321.56072529036948"/>
  </r>
  <r>
    <s v="Regular"/>
    <x v="3"/>
    <x v="1"/>
    <x v="6"/>
    <x v="6"/>
    <x v="0"/>
    <x v="0"/>
    <x v="1"/>
    <x v="4"/>
    <n v="0"/>
    <n v="0"/>
    <n v="0.86899999999999999"/>
    <n v="0.86899999999999999"/>
    <n v="0.86899999999999999"/>
    <n v="0.86899999999999999"/>
    <n v="1"/>
    <x v="0"/>
    <n v="0"/>
    <n v="0"/>
    <n v="46"/>
    <n v="84"/>
    <n v="0"/>
    <n v="380.07959999999997"/>
    <n v="301.36399999999998"/>
    <m/>
    <n v="476.62667707760289"/>
    <n v="281.82359797578391"/>
    <n v="0"/>
    <n v="330.28917239999998"/>
    <n v="261.88531599999999"/>
    <n v="0"/>
    <n v="401.17491478435699"/>
    <n v="244.90470664095622"/>
  </r>
  <r>
    <s v="Regular"/>
    <x v="3"/>
    <x v="1"/>
    <x v="6"/>
    <x v="6"/>
    <x v="0"/>
    <x v="0"/>
    <x v="1"/>
    <x v="5"/>
    <n v="0"/>
    <n v="0"/>
    <n v="0.69099999999999995"/>
    <n v="0.69099999999999995"/>
    <n v="0.69099999999999995"/>
    <n v="0.69099999999999995"/>
    <n v="1"/>
    <x v="0"/>
    <n v="0"/>
    <n v="0"/>
    <n v="46"/>
    <n v="84"/>
    <n v="0"/>
    <n v="380.07959999999997"/>
    <n v="301.36399999999998"/>
    <m/>
    <n v="476.62667707760289"/>
    <n v="281.82359797578391"/>
    <n v="0"/>
    <n v="262.63500359999995"/>
    <n v="208.24252399999997"/>
    <n v="0"/>
    <n v="319.0009966812321"/>
    <n v="194.74010620126666"/>
  </r>
  <r>
    <s v="Regular"/>
    <x v="3"/>
    <x v="1"/>
    <x v="6"/>
    <x v="6"/>
    <x v="0"/>
    <x v="0"/>
    <x v="1"/>
    <x v="6"/>
    <n v="0"/>
    <n v="0"/>
    <n v="0.88300000000000001"/>
    <n v="0.88300000000000001"/>
    <n v="0.88300000000000001"/>
    <n v="0.88300000000000001"/>
    <n v="1"/>
    <x v="0"/>
    <n v="0"/>
    <n v="0"/>
    <n v="46"/>
    <n v="84"/>
    <n v="0"/>
    <n v="380.07959999999997"/>
    <n v="301.36399999999998"/>
    <m/>
    <n v="476.62667707760289"/>
    <n v="281.82359797578391"/>
    <n v="0"/>
    <n v="335.61028679999998"/>
    <n v="266.10441199999997"/>
    <n v="0"/>
    <n v="407.63803193853539"/>
    <n v="248.85023701261719"/>
  </r>
  <r>
    <s v="Regular"/>
    <x v="3"/>
    <x v="1"/>
    <x v="6"/>
    <x v="6"/>
    <x v="0"/>
    <x v="0"/>
    <x v="1"/>
    <x v="7"/>
    <n v="0"/>
    <n v="0"/>
    <n v="0.71099999999999997"/>
    <n v="0.71099999999999997"/>
    <n v="0.71099999999999997"/>
    <n v="0.71099999999999997"/>
    <n v="1"/>
    <x v="0"/>
    <n v="0"/>
    <n v="0"/>
    <n v="46"/>
    <n v="84"/>
    <n v="0"/>
    <n v="380.07959999999997"/>
    <n v="301.36399999999998"/>
    <m/>
    <n v="476.62667707760289"/>
    <n v="281.82359797578391"/>
    <n v="0"/>
    <n v="270.23659559999999"/>
    <n v="214.26980399999997"/>
    <n v="0"/>
    <n v="328.23402118720117"/>
    <n v="200.37657816078234"/>
  </r>
  <r>
    <s v="Regular"/>
    <x v="3"/>
    <x v="1"/>
    <x v="6"/>
    <x v="6"/>
    <x v="0"/>
    <x v="0"/>
    <x v="1"/>
    <x v="8"/>
    <n v="0"/>
    <n v="0"/>
    <n v="0.79400000000000004"/>
    <n v="0.79400000000000004"/>
    <n v="0.79400000000000004"/>
    <n v="0.79400000000000004"/>
    <n v="1"/>
    <x v="0"/>
    <n v="0"/>
    <n v="0"/>
    <n v="46"/>
    <n v="84"/>
    <n v="0"/>
    <n v="380.07959999999997"/>
    <n v="301.36399999999998"/>
    <m/>
    <n v="476.62667707760289"/>
    <n v="281.82359797578391"/>
    <n v="0"/>
    <n v="301.78320239999999"/>
    <n v="239.283016"/>
    <n v="0"/>
    <n v="366.55107288697297"/>
    <n v="223.76793679277245"/>
  </r>
  <r>
    <s v="Regular"/>
    <x v="3"/>
    <x v="1"/>
    <x v="6"/>
    <x v="6"/>
    <x v="0"/>
    <x v="0"/>
    <x v="1"/>
    <x v="9"/>
    <n v="0"/>
    <n v="0"/>
    <n v="0.67600000000000005"/>
    <n v="0.67600000000000005"/>
    <n v="0.67600000000000005"/>
    <n v="0.67600000000000005"/>
    <n v="1"/>
    <x v="0"/>
    <n v="0"/>
    <n v="0"/>
    <n v="46"/>
    <n v="84"/>
    <n v="0"/>
    <n v="380.07959999999997"/>
    <n v="301.36399999999998"/>
    <m/>
    <n v="476.62667707760289"/>
    <n v="281.82359797578391"/>
    <n v="0"/>
    <n v="256.93380960000002"/>
    <n v="203.72206399999999"/>
    <n v="0"/>
    <n v="312.07622830175529"/>
    <n v="190.51275223162995"/>
  </r>
  <r>
    <s v="Regular"/>
    <x v="3"/>
    <x v="1"/>
    <x v="6"/>
    <x v="6"/>
    <x v="0"/>
    <x v="0"/>
    <x v="1"/>
    <x v="10"/>
    <n v="0"/>
    <n v="0"/>
    <n v="0.84099999999999997"/>
    <n v="0.84099999999999997"/>
    <n v="0.84099999999999997"/>
    <n v="0.84099999999999997"/>
    <n v="1"/>
    <x v="0"/>
    <n v="0"/>
    <n v="0"/>
    <n v="46"/>
    <n v="84"/>
    <n v="0"/>
    <n v="380.07959999999997"/>
    <n v="301.36399999999998"/>
    <m/>
    <n v="476.62667707760289"/>
    <n v="281.82359797578391"/>
    <n v="0"/>
    <n v="319.64694359999999"/>
    <n v="253.44712399999997"/>
    <n v="0"/>
    <n v="388.24868047600029"/>
    <n v="237.01364589763426"/>
  </r>
  <r>
    <s v="Regular"/>
    <x v="3"/>
    <x v="1"/>
    <x v="6"/>
    <x v="6"/>
    <x v="0"/>
    <x v="0"/>
    <x v="1"/>
    <x v="11"/>
    <n v="0"/>
    <n v="0"/>
    <n v="0.82899999999999996"/>
    <n v="0.82899999999999996"/>
    <n v="0.82899999999999996"/>
    <n v="0.82899999999999996"/>
    <n v="1"/>
    <x v="0"/>
    <n v="0"/>
    <n v="0"/>
    <n v="46"/>
    <n v="84"/>
    <n v="0"/>
    <n v="380.07959999999997"/>
    <n v="301.36399999999998"/>
    <m/>
    <n v="476.62667707760289"/>
    <n v="281.82359797578391"/>
    <n v="0"/>
    <n v="315.08598839999996"/>
    <n v="249.83075599999998"/>
    <n v="0"/>
    <n v="382.70886577241885"/>
    <n v="233.63176272192484"/>
  </r>
  <r>
    <s v="Regular"/>
    <x v="4"/>
    <x v="1"/>
    <x v="7"/>
    <x v="7"/>
    <x v="0"/>
    <x v="0"/>
    <x v="1"/>
    <x v="0"/>
    <n v="0"/>
    <n v="0"/>
    <n v="30.279"/>
    <n v="30.279"/>
    <n v="30.279"/>
    <n v="30.279"/>
    <n v="1"/>
    <x v="0"/>
    <n v="0"/>
    <n v="0"/>
    <n v="48"/>
    <n v="86"/>
    <n v="0"/>
    <n v="222.39"/>
    <n v="176.33"/>
    <m/>
    <n v="270.25223958008417"/>
    <n v="159.79688545018675"/>
    <n v="0"/>
    <n v="6733.7468099999996"/>
    <n v="5339.0960700000005"/>
    <n v="0"/>
    <n v="8178.8144659005866"/>
    <n v="4838.4898945462046"/>
  </r>
  <r>
    <s v="Regular"/>
    <x v="4"/>
    <x v="1"/>
    <x v="7"/>
    <x v="7"/>
    <x v="0"/>
    <x v="0"/>
    <x v="1"/>
    <x v="1"/>
    <n v="0"/>
    <n v="0"/>
    <n v="29.314"/>
    <n v="29.314"/>
    <n v="29.314"/>
    <n v="29.314"/>
    <n v="1"/>
    <x v="0"/>
    <n v="0"/>
    <n v="0"/>
    <n v="48"/>
    <n v="86"/>
    <n v="0"/>
    <n v="222.39"/>
    <n v="176.33"/>
    <m/>
    <n v="270.25223958008417"/>
    <n v="159.79688545018675"/>
    <n v="0"/>
    <n v="6519.1404599999996"/>
    <n v="5168.9376200000006"/>
    <n v="0"/>
    <n v="7918.1534150206344"/>
    <n v="4684.2859000867747"/>
  </r>
  <r>
    <s v="Regular"/>
    <x v="4"/>
    <x v="1"/>
    <x v="7"/>
    <x v="7"/>
    <x v="0"/>
    <x v="0"/>
    <x v="1"/>
    <x v="2"/>
    <n v="0"/>
    <n v="0"/>
    <n v="30.283999999999999"/>
    <n v="30.283999999999999"/>
    <n v="30.283999999999999"/>
    <n v="30.283999999999999"/>
    <n v="1"/>
    <x v="0"/>
    <n v="0"/>
    <n v="0"/>
    <n v="48"/>
    <n v="86"/>
    <n v="0"/>
    <n v="222.39"/>
    <n v="176.33"/>
    <m/>
    <n v="270.25223958008417"/>
    <n v="159.79688545018675"/>
    <n v="0"/>
    <n v="6734.8587599999992"/>
    <n v="5339.9777199999999"/>
    <n v="0"/>
    <n v="8180.1650412937461"/>
    <n v="4839.2888789734552"/>
  </r>
  <r>
    <s v="Regular"/>
    <x v="4"/>
    <x v="1"/>
    <x v="7"/>
    <x v="7"/>
    <x v="0"/>
    <x v="0"/>
    <x v="1"/>
    <x v="3"/>
    <n v="0"/>
    <n v="0"/>
    <n v="29.344999999999999"/>
    <n v="29.344999999999999"/>
    <n v="29.344999999999999"/>
    <n v="29.344999999999999"/>
    <n v="1"/>
    <x v="0"/>
    <n v="0"/>
    <n v="0"/>
    <n v="48"/>
    <n v="86"/>
    <n v="0"/>
    <n v="222.39"/>
    <n v="176.33"/>
    <m/>
    <n v="270.25223958008417"/>
    <n v="159.79688545018675"/>
    <n v="0"/>
    <n v="6526.0345499999994"/>
    <n v="5174.4038500000006"/>
    <n v="0"/>
    <n v="7926.5269824582283"/>
    <n v="4689.2396035357297"/>
  </r>
  <r>
    <s v="Regular"/>
    <x v="4"/>
    <x v="1"/>
    <x v="7"/>
    <x v="7"/>
    <x v="0"/>
    <x v="0"/>
    <x v="1"/>
    <x v="4"/>
    <n v="0"/>
    <n v="0"/>
    <n v="31.134"/>
    <n v="31.134"/>
    <n v="31.134"/>
    <n v="31.134"/>
    <n v="1"/>
    <x v="0"/>
    <n v="0"/>
    <n v="0"/>
    <n v="48"/>
    <n v="86"/>
    <n v="0"/>
    <n v="222.39"/>
    <n v="176.33"/>
    <m/>
    <n v="270.25223958008417"/>
    <n v="159.79688545018675"/>
    <n v="0"/>
    <n v="6923.8902599999992"/>
    <n v="5489.8582200000001"/>
    <n v="0"/>
    <n v="8409.7628581310109"/>
    <n v="4975.1162316061145"/>
  </r>
  <r>
    <s v="Regular"/>
    <x v="4"/>
    <x v="1"/>
    <x v="7"/>
    <x v="7"/>
    <x v="0"/>
    <x v="0"/>
    <x v="1"/>
    <x v="5"/>
    <n v="0"/>
    <n v="0"/>
    <n v="30.346"/>
    <n v="30.346"/>
    <n v="30.346"/>
    <n v="30.346"/>
    <n v="1"/>
    <x v="0"/>
    <n v="0"/>
    <n v="0"/>
    <n v="48"/>
    <n v="86"/>
    <n v="0"/>
    <n v="222.39"/>
    <n v="176.33"/>
    <m/>
    <n v="270.25223958008417"/>
    <n v="159.79688545018675"/>
    <n v="0"/>
    <n v="6748.6469399999996"/>
    <n v="5350.9101800000008"/>
    <n v="0"/>
    <n v="8196.9121761689348"/>
    <n v="4849.1962858713669"/>
  </r>
  <r>
    <s v="Regular"/>
    <x v="4"/>
    <x v="1"/>
    <x v="7"/>
    <x v="7"/>
    <x v="0"/>
    <x v="0"/>
    <x v="1"/>
    <x v="6"/>
    <n v="0"/>
    <n v="0"/>
    <n v="27.167000000000002"/>
    <n v="27.167000000000002"/>
    <n v="27.167000000000002"/>
    <n v="27.167000000000002"/>
    <n v="1"/>
    <x v="0"/>
    <n v="0"/>
    <n v="0"/>
    <n v="48"/>
    <n v="86"/>
    <n v="0"/>
    <n v="222.39"/>
    <n v="176.33"/>
    <m/>
    <n v="270.25223958008417"/>
    <n v="159.79688545018675"/>
    <n v="0"/>
    <n v="6041.6691300000002"/>
    <n v="4790.3571100000008"/>
    <n v="0"/>
    <n v="7338.2163411975707"/>
    <n v="4341.2019870252234"/>
  </r>
  <r>
    <s v="Regular"/>
    <x v="4"/>
    <x v="1"/>
    <x v="7"/>
    <x v="7"/>
    <x v="0"/>
    <x v="0"/>
    <x v="1"/>
    <x v="7"/>
    <n v="0"/>
    <n v="0"/>
    <n v="30.222000000000001"/>
    <n v="30.222000000000001"/>
    <n v="30.222000000000001"/>
    <n v="30.222000000000001"/>
    <n v="1"/>
    <x v="0"/>
    <n v="0"/>
    <n v="0"/>
    <n v="48"/>
    <n v="86"/>
    <n v="0"/>
    <n v="222.39"/>
    <n v="176.33"/>
    <m/>
    <n v="270.25223958008417"/>
    <n v="159.79688545018675"/>
    <n v="0"/>
    <n v="6721.0705799999996"/>
    <n v="5329.0452600000008"/>
    <n v="0"/>
    <n v="8163.4179064185582"/>
    <n v="4829.3814720755445"/>
  </r>
  <r>
    <s v="Regular"/>
    <x v="4"/>
    <x v="1"/>
    <x v="7"/>
    <x v="7"/>
    <x v="0"/>
    <x v="0"/>
    <x v="1"/>
    <x v="8"/>
    <n v="0"/>
    <n v="0"/>
    <n v="29.305"/>
    <n v="29.305"/>
    <n v="29.305"/>
    <n v="29.305"/>
    <n v="1"/>
    <x v="0"/>
    <n v="0"/>
    <n v="0"/>
    <n v="48"/>
    <n v="86"/>
    <n v="0"/>
    <n v="222.39"/>
    <n v="176.33"/>
    <m/>
    <n v="270.25223958008417"/>
    <n v="159.79688545018675"/>
    <n v="0"/>
    <n v="6517.1389499999996"/>
    <n v="5167.3506500000003"/>
    <n v="0"/>
    <n v="7915.722379312946"/>
    <n v="4682.8477281177229"/>
  </r>
  <r>
    <s v="Regular"/>
    <x v="4"/>
    <x v="1"/>
    <x v="7"/>
    <x v="7"/>
    <x v="0"/>
    <x v="0"/>
    <x v="1"/>
    <x v="9"/>
    <n v="0"/>
    <n v="0"/>
    <n v="30.077000000000002"/>
    <n v="30.077000000000002"/>
    <n v="30.077000000000002"/>
    <n v="30.077000000000002"/>
    <n v="1"/>
    <x v="0"/>
    <n v="0"/>
    <n v="0"/>
    <n v="48"/>
    <n v="86"/>
    <n v="0"/>
    <n v="222.39"/>
    <n v="176.33"/>
    <m/>
    <n v="270.25223958008417"/>
    <n v="159.79688545018675"/>
    <n v="0"/>
    <n v="6688.8240299999998"/>
    <n v="5303.4774100000004"/>
    <n v="0"/>
    <n v="8124.2512200169076"/>
    <n v="4806.2109236852675"/>
  </r>
  <r>
    <s v="Regular"/>
    <x v="4"/>
    <x v="1"/>
    <x v="7"/>
    <x v="7"/>
    <x v="0"/>
    <x v="0"/>
    <x v="1"/>
    <x v="10"/>
    <n v="0"/>
    <n v="0"/>
    <n v="29.158000000000001"/>
    <n v="29.158000000000001"/>
    <n v="29.158000000000001"/>
    <n v="29.158000000000001"/>
    <n v="1"/>
    <x v="0"/>
    <n v="0"/>
    <n v="0"/>
    <n v="48"/>
    <n v="86"/>
    <n v="0"/>
    <n v="222.39"/>
    <n v="176.33"/>
    <m/>
    <n v="270.25223958008417"/>
    <n v="159.79688545018675"/>
    <n v="0"/>
    <n v="6484.4476199999999"/>
    <n v="5141.4301400000004"/>
    <n v="0"/>
    <n v="7876.0154627540314"/>
    <n v="4659.3575859565453"/>
  </r>
  <r>
    <s v="Regular"/>
    <x v="4"/>
    <x v="1"/>
    <x v="7"/>
    <x v="7"/>
    <x v="0"/>
    <x v="0"/>
    <x v="1"/>
    <x v="11"/>
    <n v="0"/>
    <n v="0"/>
    <n v="30.065000000000001"/>
    <n v="30.065000000000001"/>
    <n v="30.065000000000001"/>
    <n v="30.065000000000001"/>
    <n v="1"/>
    <x v="0"/>
    <n v="0"/>
    <n v="0"/>
    <n v="48"/>
    <n v="86"/>
    <n v="0"/>
    <n v="222.39"/>
    <n v="176.33"/>
    <m/>
    <n v="270.25223958008417"/>
    <n v="159.79688545018675"/>
    <n v="0"/>
    <n v="6686.15535"/>
    <n v="5301.3614500000003"/>
    <n v="0"/>
    <n v="8121.0098390733228"/>
    <n v="4804.29336105986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0C8E3-8D8C-4D07-941F-B3BCC56ECDB5}" name="Efeito Resumo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56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0"/>
        <item x="5"/>
        <item x="7"/>
        <item x="1"/>
        <item x="4"/>
        <item x="2"/>
        <item x="3"/>
        <item x="6"/>
        <item t="default"/>
      </items>
    </pivotField>
    <pivotField axis="axisRow" showAll="0">
      <items count="9">
        <item x="6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55">
    <i>
      <x/>
    </i>
    <i r="1">
      <x/>
    </i>
    <i r="2">
      <x v="2"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3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3">
      <x v="4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 v="2"/>
    </i>
    <i r="3">
      <x v="3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240">
    <format dxfId="638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3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36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35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34">
      <pivotArea type="all" dataOnly="0" outline="0" fieldPosition="0"/>
    </format>
    <format dxfId="633">
      <pivotArea outline="0" collapsedLevelsAreSubtotals="1" fieldPosition="0"/>
    </format>
    <format dxfId="632">
      <pivotArea field="16" type="button" dataOnly="0" labelOnly="1" outline="0" axis="axisRow" fieldPosition="0"/>
    </format>
    <format dxfId="631">
      <pivotArea dataOnly="0" labelOnly="1" fieldPosition="0">
        <references count="1">
          <reference field="16" count="0"/>
        </references>
      </pivotArea>
    </format>
    <format dxfId="630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29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2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627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26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25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624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23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62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621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20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1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3">
            <x v="0"/>
            <x v="3"/>
            <x v="4"/>
          </reference>
          <reference field="16" count="1" selected="0">
            <x v="0"/>
          </reference>
        </references>
      </pivotArea>
    </format>
    <format dxfId="618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617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1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1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1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1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1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0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60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60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8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8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8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8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8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8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3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7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6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6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67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6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6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6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56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6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5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5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55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5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9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54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5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4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4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4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4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3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3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3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3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6">
            <x v="0"/>
            <x v="1"/>
            <x v="2"/>
            <x v="3"/>
            <x v="4"/>
            <x v="5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6">
            <x v="0"/>
            <x v="1"/>
            <x v="2"/>
            <x v="3"/>
            <x v="4"/>
            <x v="5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6">
            <x v="0"/>
            <x v="1"/>
            <x v="2"/>
            <x v="3"/>
            <x v="4"/>
            <x v="5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2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52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51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51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517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516">
      <pivotArea type="all" dataOnly="0" outline="0" fieldPosition="0"/>
    </format>
    <format dxfId="515">
      <pivotArea outline="0" collapsedLevelsAreSubtotals="1" fieldPosition="0"/>
    </format>
    <format dxfId="514">
      <pivotArea field="16" type="button" dataOnly="0" labelOnly="1" outline="0" axis="axisRow" fieldPosition="0"/>
    </format>
    <format dxfId="513">
      <pivotArea dataOnly="0" labelOnly="1" fieldPosition="0">
        <references count="1">
          <reference field="16" count="0"/>
        </references>
      </pivotArea>
    </format>
    <format dxfId="512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51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0"/>
          </reference>
        </references>
      </pivotArea>
    </format>
    <format dxfId="50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08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07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1" selected="0">
            <x v="0"/>
          </reference>
        </references>
      </pivotArea>
    </format>
    <format dxfId="506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505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1" selected="0">
            <x v="1"/>
          </reference>
        </references>
      </pivotArea>
    </format>
    <format dxfId="50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3"/>
          </reference>
          <reference field="16" count="1" selected="0">
            <x v="0"/>
          </reference>
        </references>
      </pivotArea>
    </format>
    <format dxfId="50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502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50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3">
            <x v="0"/>
            <x v="3"/>
            <x v="4"/>
          </reference>
          <reference field="16" count="1" selected="0">
            <x v="0"/>
          </reference>
        </references>
      </pivotArea>
    </format>
    <format dxfId="50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99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9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9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9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95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1" selected="0">
            <x v="0"/>
          </reference>
        </references>
      </pivotArea>
    </format>
    <format dxfId="494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9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9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9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9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8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8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8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2"/>
          </reference>
          <reference field="16" count="1" selected="0">
            <x v="0"/>
          </reference>
        </references>
      </pivotArea>
    </format>
    <format dxfId="48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0"/>
          </reference>
          <reference field="16" count="1" selected="0">
            <x v="0"/>
          </reference>
        </references>
      </pivotArea>
    </format>
    <format dxfId="485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8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1" selected="0">
            <x v="1"/>
          </reference>
        </references>
      </pivotArea>
    </format>
    <format dxfId="48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8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4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67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6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6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5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49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4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4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3">
            <x v="0"/>
            <x v="1"/>
            <x v="3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3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3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3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31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1" selected="0">
            <x v="0"/>
          </reference>
        </references>
      </pivotArea>
    </format>
    <format dxfId="43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3">
            <x v="0"/>
            <x v="2"/>
            <x v="3"/>
          </reference>
          <reference field="16" count="1" selected="0">
            <x v="1"/>
          </reference>
        </references>
      </pivotArea>
    </format>
    <format dxfId="42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2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2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1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1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1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1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1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6">
            <x v="0"/>
            <x v="1"/>
            <x v="2"/>
            <x v="3"/>
            <x v="4"/>
            <x v="5"/>
          </reference>
          <reference field="16" count="1" selected="0">
            <x v="0"/>
          </reference>
        </references>
      </pivotArea>
    </format>
    <format dxfId="41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6">
            <x v="0"/>
            <x v="1"/>
            <x v="2"/>
            <x v="3"/>
            <x v="4"/>
            <x v="5"/>
          </reference>
          <reference field="16" count="1" selected="0">
            <x v="0"/>
          </reference>
        </references>
      </pivotArea>
    </format>
    <format dxfId="41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6">
            <x v="0"/>
            <x v="1"/>
            <x v="2"/>
            <x v="3"/>
            <x v="4"/>
            <x v="5"/>
          </reference>
          <reference field="16" count="1" selected="0">
            <x v="0"/>
          </reference>
        </references>
      </pivotArea>
    </format>
    <format dxfId="41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410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0"/>
          </reference>
        </references>
      </pivotArea>
    </format>
    <format dxfId="40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3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40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40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40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3"/>
          </reference>
          <reference field="8" count="0"/>
          <reference field="16" count="1" selected="0">
            <x v="1"/>
          </reference>
        </references>
      </pivotArea>
    </format>
    <format dxfId="39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73C3E-0DDB-47F5-81D4-46C0438B77E4}" name="Subsidio Resumo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164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2"/>
        <item x="0"/>
        <item x="3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63">
    <i>
      <x/>
    </i>
    <i r="1">
      <x v="3"/>
    </i>
    <i r="2">
      <x/>
    </i>
    <i r="3">
      <x v="3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1"/>
    </i>
    <i r="4">
      <x v="3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1"/>
    </i>
    <i r="3">
      <x/>
    </i>
    <i r="4">
      <x v="1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/>
    </i>
    <i r="3">
      <x v="2"/>
    </i>
    <i r="4">
      <x v="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 v="1"/>
    </i>
    <i r="4">
      <x v="2"/>
    </i>
    <i r="5">
      <x v="1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20">
    <format dxfId="398">
      <pivotArea outline="0" collapsedLevelsAreSubtotals="1" fieldPosition="0"/>
    </format>
    <format dxfId="39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96">
      <pivotArea type="all" dataOnly="0" outline="0" fieldPosition="0"/>
    </format>
    <format dxfId="395">
      <pivotArea outline="0" collapsedLevelsAreSubtotals="1" fieldPosition="0"/>
    </format>
    <format dxfId="394">
      <pivotArea field="31" type="button" dataOnly="0" labelOnly="1" outline="0" axis="axisRow" fieldPosition="0"/>
    </format>
    <format dxfId="393">
      <pivotArea dataOnly="0" labelOnly="1" fieldPosition="0">
        <references count="1">
          <reference field="31" count="0"/>
        </references>
      </pivotArea>
    </format>
    <format dxfId="392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91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90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89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88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38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8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85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8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8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82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8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8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7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7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37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376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375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374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37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37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37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7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6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6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67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6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36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364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36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6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6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6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5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35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35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35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35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35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35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35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35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35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34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34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34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34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34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34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34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3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34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34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33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3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37">
      <pivotArea type="all" dataOnly="0" outline="0" fieldPosition="0"/>
    </format>
    <format dxfId="336">
      <pivotArea outline="0" collapsedLevelsAreSubtotals="1" fieldPosition="0"/>
    </format>
    <format dxfId="335">
      <pivotArea field="31" type="button" dataOnly="0" labelOnly="1" outline="0" axis="axisRow" fieldPosition="0"/>
    </format>
    <format dxfId="334">
      <pivotArea dataOnly="0" labelOnly="1" fieldPosition="0">
        <references count="1">
          <reference field="31" count="0"/>
        </references>
      </pivotArea>
    </format>
    <format dxfId="33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3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3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30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329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328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27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2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325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24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23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2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21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20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1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4"/>
          </reference>
        </references>
      </pivotArea>
    </format>
    <format dxfId="31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31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31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31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3"/>
          </reference>
        </references>
      </pivotArea>
    </format>
    <format dxfId="31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4"/>
          </reference>
        </references>
      </pivotArea>
    </format>
    <format dxfId="313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0"/>
          </reference>
        </references>
      </pivotArea>
    </format>
    <format dxfId="31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1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1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0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1"/>
          </reference>
          <reference field="31" count="1" selected="0">
            <x v="1"/>
          </reference>
        </references>
      </pivotArea>
    </format>
    <format dxfId="30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0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1"/>
          </reference>
          <reference field="31" count="1" selected="0">
            <x v="3"/>
          </reference>
        </references>
      </pivotArea>
    </format>
    <format dxfId="30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30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0"/>
          </reference>
        </references>
      </pivotArea>
    </format>
    <format dxfId="30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0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0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0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/>
          <reference field="31" count="1" selected="0">
            <x v="1"/>
          </reference>
        </references>
      </pivotArea>
    </format>
    <format dxfId="30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9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9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9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9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9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9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9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8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8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8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8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8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8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8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8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8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8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7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0B1AB-18B4-40EF-A711-3ACA45B6EA35}" name="Efeito Resumo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59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0"/>
        <item x="5"/>
        <item x="7"/>
        <item x="1"/>
        <item x="4"/>
        <item x="2"/>
        <item x="3"/>
        <item x="6"/>
        <item t="default"/>
      </items>
    </pivotField>
    <pivotField axis="axisRow" showAll="0">
      <items count="9">
        <item x="6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0"/>
        <item x="1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"/>
    <field x="2"/>
    <field x="16"/>
    <field x="3"/>
    <field x="4"/>
    <field x="5"/>
    <field x="6"/>
    <field x="7"/>
    <field x="8"/>
  </rowFields>
  <rowItems count="458">
    <i>
      <x/>
    </i>
    <i r="1">
      <x v="2"/>
    </i>
    <i r="2">
      <x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 v="3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 v="5"/>
    </i>
    <i r="4">
      <x v="3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1"/>
    </i>
    <i r="2">
      <x/>
    </i>
    <i r="3">
      <x v="6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/>
    </i>
    <i r="3">
      <x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3">
      <x v="4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2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 v="2"/>
    </i>
    <i r="4">
      <x v="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7"/>
    <dataField name="Soma de Variação TE" fld="34" baseField="0" baseItem="0" numFmtId="167"/>
    <dataField name="Soma de Variação" fld="35" baseField="0" baseItem="0" numFmtId="167"/>
  </dataFields>
  <formats count="4">
    <format dxfId="188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18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86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185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D3D4A5-4F71-40A1-9708-E2C699B4F832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E7CA545-58ED-4A12-B5B9-88E3EB288E08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8709FA52-D467-44FF-9D8A-99FEC1A00286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90DFC-26A0-4E40-A19E-7B3783EEF565}" name="Efeito" displayName="Efeito" ref="A1:AG379" totalsRowShown="0" headerRowDxfId="707" dataDxfId="706">
  <tableColumns count="33">
    <tableColumn id="1" xr3:uid="{4FB24BF3-07F4-460D-AE89-B98F098A1ECE}" name="TipoMercado" dataDxfId="705"/>
    <tableColumn id="2" xr3:uid="{DB0B8488-5FAC-4077-BE40-7D664C26F774}" name="Subgrupo" dataDxfId="704"/>
    <tableColumn id="3" xr3:uid="{9DB1136F-34D9-4899-9A7F-61168C270BC3}" name="Modalidade" dataDxfId="703"/>
    <tableColumn id="4" xr3:uid="{69B17086-A89A-4A3A-8C5D-BD665A7F4037}" name="Classe" dataDxfId="702"/>
    <tableColumn id="5" xr3:uid="{0AEC485C-FE2A-4CC2-B092-AE84C3BED1C8}" name="Subclasse" dataDxfId="701"/>
    <tableColumn id="6" xr3:uid="{2605701F-84AA-4F62-8F47-BEE00D5887C0}" name="Detalhe" dataDxfId="700"/>
    <tableColumn id="7" xr3:uid="{81809C44-897B-42FA-A141-081A82987D09}" name="Agente" dataDxfId="699"/>
    <tableColumn id="8" xr3:uid="{6541372F-57A1-4690-8E07-AC5D7C1176CE}" name="Posto" dataDxfId="698"/>
    <tableColumn id="9" xr3:uid="{08F2DF0F-1820-456A-9181-6A43059624CE}" name="AnoMes" dataDxfId="697"/>
    <tableColumn id="10" xr3:uid="{E61B6BD6-3E4C-46E5-8553-634DD8D8366E}" name="D" dataDxfId="696"/>
    <tableColumn id="11" xr3:uid="{A88F116D-DAD8-4ADC-84B4-71BCB9F72903}" name="Daj" dataDxfId="695"/>
    <tableColumn id="12" xr3:uid="{ECF0DDBA-DE52-4043-867A-9B6302B567EF}" name="TUSD_E" dataDxfId="694"/>
    <tableColumn id="13" xr3:uid="{36A571A4-1F2C-466F-8653-BDBD42BE845C}" name="TUSD_Eaj" dataDxfId="693"/>
    <tableColumn id="14" xr3:uid="{484D351A-C0D1-4D3A-94BE-5AF04DB4175A}" name="TE_E" dataDxfId="692"/>
    <tableColumn id="15" xr3:uid="{7A170A1F-59C0-4B13-ADFE-E4335C449ECD}" name="TE_Eaj" dataDxfId="691"/>
    <tableColumn id="16" xr3:uid="{F0EE942D-C055-4AB8-A2EB-894B39083772}" name="UC" dataDxfId="690"/>
    <tableColumn id="17" xr3:uid="{C0442628-5767-43EE-A52F-60F015CED82A}" name="OPÇÃO" dataDxfId="689"/>
    <tableColumn id="18" xr3:uid="{0B966C61-7A81-401F-8B9B-D89785B8B096}" name="CóD. AUX." dataDxfId="688"/>
    <tableColumn id="19" xr3:uid="{BB8C7192-29D0-4692-95FD-94539D81BE84}" name="CóD. AUX. TUSD R$/kW" dataDxfId="687"/>
    <tableColumn id="20" xr3:uid="{6BB48064-5263-40BA-819D-7A5EF962C348}" name="CóD. AUX. TUSD R$/MWh" dataDxfId="686"/>
    <tableColumn id="21" xr3:uid="{87B1930D-DE15-42BC-A53B-B721704F637E}" name="CóD. AUX. TE R$/MWh" dataDxfId="685"/>
    <tableColumn id="22" xr3:uid="{9791FB7F-2070-4EEC-963D-39B1C476C5E3}" name="TUSD (R$/kW)" dataDxfId="684"/>
    <tableColumn id="23" xr3:uid="{11B49453-1A87-42E3-BAF0-E7B701709ABB}" name="TUSD (R$/MWh)" dataDxfId="683"/>
    <tableColumn id="24" xr3:uid="{158D62A7-27A4-4CE2-BD55-63A426FBBE3E}" name="TE (R$/MWh)" dataDxfId="682"/>
    <tableColumn id="25" xr3:uid="{FA368E29-BB93-46C3-935C-425AC6D8FDFA}" name="TUSD (R$/kW) NOVA" dataDxfId="681"/>
    <tableColumn id="26" xr3:uid="{214EE71B-64A2-4BE9-A0E0-E28317BD2164}" name="TUSD (R$/MWh) NOVA" dataDxfId="680">
      <calculatedColumnFormula>('TUSD BE'!$AM$50+'TUSD BF'!$AM$50+'TUSD CVA'!$AM$50)*1</calculatedColumnFormula>
    </tableColumn>
    <tableColumn id="27" xr3:uid="{37271562-D232-4F7E-BD61-A21387864176}" name="TE (R$/MWh) NOVA" dataDxfId="679">
      <calculatedColumnFormula>('TE BE'!$AB$41+'TE BF'!$AB$41+'TE CVA'!$AB$41)*1</calculatedColumnFormula>
    </tableColumn>
    <tableColumn id="28" xr3:uid="{EAF47772-7247-4A63-8864-1A318AF4F0A6}" name="RA0 ou RV - TUSD (kW)" dataDxfId="678"/>
    <tableColumn id="29" xr3:uid="{8389E0DE-2EC0-45EE-906F-F1C5C84FCC82}" name="RA0 ou RV - TUSD (MWh)" dataDxfId="677"/>
    <tableColumn id="30" xr3:uid="{5201A1BD-C097-4B7A-9ADA-336888C603B7}" name="RA0 ou RV - TE (MWh)" dataDxfId="676"/>
    <tableColumn id="31" xr3:uid="{5FBC5EED-AF89-487B-A300-64DFDAA48997}" name="RA1 ou RRD - TUSD (kW)" dataDxfId="675"/>
    <tableColumn id="32" xr3:uid="{0E9499F3-7072-4D8A-A573-8151C72368B7}" name="RA1 ou RRD - TUSD (MWh)" dataDxfId="674"/>
    <tableColumn id="33" xr3:uid="{675B000C-EA40-43FF-8102-B4FC510EF0E7}" name="RA1 ou RRD - TE (MWh)" dataDxfId="6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B3A74-2CA5-4952-AFE3-7E793107E760}" name="Subsidio" displayName="Subsidio" ref="A1:AF110" totalsRowShown="0" headerRowDxfId="672" dataDxfId="671">
  <autoFilter ref="A1:AF110" xr:uid="{43BB3A74-2CA5-4952-AFE3-7E793107E760}"/>
  <tableColumns count="32">
    <tableColumn id="1" xr3:uid="{D2997793-F454-423F-AB46-3D653AED0544}" name="TipoMercado" dataDxfId="670"/>
    <tableColumn id="2" xr3:uid="{84D1744A-6638-4FE1-8679-48CFD1FCE8E7}" name="Subgrupo" dataDxfId="669"/>
    <tableColumn id="3" xr3:uid="{D2674B19-7373-461A-98DB-95DBE1F489C3}" name="Modalidade" dataDxfId="668"/>
    <tableColumn id="4" xr3:uid="{7BFFF49D-1811-4B5E-BE2A-D1606DEDFA64}" name="Classe" dataDxfId="667"/>
    <tableColumn id="5" xr3:uid="{4F90F0DC-1512-4FEA-BBA1-11D3F1F7F793}" name="Subclasse" dataDxfId="666"/>
    <tableColumn id="6" xr3:uid="{70216D1F-3CB5-4129-ABDA-B3AE0FCC3BF8}" name="Detalhe" dataDxfId="665"/>
    <tableColumn id="7" xr3:uid="{9EAF3B1E-D6A4-4111-93B1-AEC0B43CADB5}" name="Agente" dataDxfId="664"/>
    <tableColumn id="8" xr3:uid="{F7D34FFD-00CC-4E58-AA03-AFDA3C69A9D9}" name="Posto" dataDxfId="663"/>
    <tableColumn id="9" xr3:uid="{BB871CD2-A469-4321-8A4B-043DE09F3F5F}" name="AnoMes" dataDxfId="662"/>
    <tableColumn id="10" xr3:uid="{638EDB24-4C3D-4A3B-9A2D-551BF328B72E}" name="D" dataDxfId="661"/>
    <tableColumn id="11" xr3:uid="{9ED50785-A7B1-4690-ABE6-1EF1B8F19587}" name="Daj" dataDxfId="660"/>
    <tableColumn id="12" xr3:uid="{880A7458-4F69-4FE7-98C7-454A56566D03}" name="TUSD_E" dataDxfId="659"/>
    <tableColumn id="13" xr3:uid="{09B71DE2-F6D2-400C-9926-2868B0F1976B}" name="TUSD_Eaj" dataDxfId="658"/>
    <tableColumn id="14" xr3:uid="{23490F7D-4AAF-448A-A880-8A5AD7D02CDC}" name="TE_E" dataDxfId="657"/>
    <tableColumn id="15" xr3:uid="{CA78D695-CD65-4A11-8769-82768EE01585}" name="TE_Eaj" dataDxfId="656"/>
    <tableColumn id="16" xr3:uid="{FF88AFF2-CF1D-407B-A758-A25865ADF3E7}" name="UC" dataDxfId="655"/>
    <tableColumn id="17" xr3:uid="{CF4E972E-1EE4-4679-93F8-E61EA96BD753}" name="OPÇÃO" dataDxfId="654"/>
    <tableColumn id="18" xr3:uid="{99354092-62A5-4810-8CD1-12CA111A6A87}" name="CóD. AUX." dataDxfId="653"/>
    <tableColumn id="19" xr3:uid="{79F6C1E9-DE07-4096-8CE4-470A6036B544}" name="CóD. AUX. TUSD R$/kW" dataDxfId="652"/>
    <tableColumn id="20" xr3:uid="{AA25B350-C46E-461F-A575-5CE0321191FC}" name="CóD. AUX. TUSD R$/MWh" dataDxfId="651"/>
    <tableColumn id="21" xr3:uid="{49C02CC3-A010-4D1C-A418-FDED968AFCBA}" name="CóD. AUX. TE R$/MWh" dataDxfId="650"/>
    <tableColumn id="22" xr3:uid="{3A5CC57A-FE36-4841-B7EB-D50EB0B8DF03}" name="TUSD (R$/kW)" dataDxfId="649"/>
    <tableColumn id="23" xr3:uid="{7CD3E080-03A1-45CB-960B-22996D33828C}" name="TUSD (R$/MWh)" dataDxfId="648"/>
    <tableColumn id="24" xr3:uid="{9A53219F-10C5-4DB4-A20A-16119920BD53}" name="TE (R$/MWh)" dataDxfId="647"/>
    <tableColumn id="25" xr3:uid="{BB735755-D4AC-4057-81CD-F6642EA44ED5}" name="TUSD (R$/kW) NOVA" dataDxfId="646"/>
    <tableColumn id="26" xr3:uid="{0F4E46D6-8DF1-4571-A30B-24F81516A7AC}" name="TUSD (R$/MWh) NOVA" dataDxfId="645">
      <calculatedColumnFormula>('TUSD BE'!$AM$48+'TUSD BF'!$AM$48+'TUSD CVA'!$AM$48)*1</calculatedColumnFormula>
    </tableColumn>
    <tableColumn id="27" xr3:uid="{BE7350BE-41E7-4DFF-8863-EBE7D137EC03}" name="TE (R$/MWh) NOVA" dataDxfId="644">
      <calculatedColumnFormula>('TE BE'!$AB$39+'TE BF'!$AB$39+'TE CVA'!$AB$39)*1</calculatedColumnFormula>
    </tableColumn>
    <tableColumn id="28" xr3:uid="{B76926F2-5F81-45F8-ABDC-4F02BDC53139}" name="SUBSIDIO kW - TV" dataDxfId="643">
      <calculatedColumnFormula>(J2-K2)*V2</calculatedColumnFormula>
    </tableColumn>
    <tableColumn id="29" xr3:uid="{F85646AD-36AF-43A2-A020-00D51CA09187}" name="SUBSIDIO MWh - TV" dataDxfId="642">
      <calculatedColumnFormula>(L2-M2)*W2+(N2-O2)*X2</calculatedColumnFormula>
    </tableColumn>
    <tableColumn id="30" xr3:uid="{A29CF735-406D-4E6C-A37D-42BACD9B8D96}" name="SUBSIDIO kW - TN" dataDxfId="641">
      <calculatedColumnFormula>(J2-K2)*Y2</calculatedColumnFormula>
    </tableColumn>
    <tableColumn id="31" xr3:uid="{C27FCCA6-CA88-4AE1-A1A9-CDF66F4A4218}" name="SUBSIDIO MWh - TN" dataDxfId="640">
      <calculatedColumnFormula>(L2-M2)*Z2+(N2-O2)*AA2</calculatedColumnFormula>
    </tableColumn>
    <tableColumn id="32" xr3:uid="{5D59F3C1-F077-4350-8920-676879C6B6C7}" name="TIPO" dataDxfId="6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23513F-2B88-4F8D-8074-D4F9CAC7435E}" name="Efeito4" displayName="Efeito4" ref="A1:AG379" totalsRowShown="0" headerRowDxfId="184" dataDxfId="183">
  <tableColumns count="33">
    <tableColumn id="1" xr3:uid="{2BD88377-27BB-4F61-8D59-0FCF63E863DE}" name="TipoMercado" dataDxfId="182"/>
    <tableColumn id="2" xr3:uid="{59077F6C-89B4-4292-9F17-B06C8E70BE5B}" name="Subgrupo" dataDxfId="181"/>
    <tableColumn id="3" xr3:uid="{EE10AA86-785A-493C-A3B7-7803AC29BC37}" name="Modalidade" dataDxfId="180"/>
    <tableColumn id="4" xr3:uid="{8C31D453-22B9-427E-8A31-69EDD61CA1DB}" name="Classe" dataDxfId="179"/>
    <tableColumn id="5" xr3:uid="{11BF9401-2DA0-49E1-9953-0CCB71DEBB92}" name="Subclasse" dataDxfId="178"/>
    <tableColumn id="6" xr3:uid="{0037328A-246E-44CA-8988-60C6479F088F}" name="Detalhe" dataDxfId="177"/>
    <tableColumn id="7" xr3:uid="{253DCA78-DF8B-4D5D-A57A-21C844A1DD20}" name="Agente" dataDxfId="176"/>
    <tableColumn id="8" xr3:uid="{EE9B472E-7B4B-48B6-AB92-252E13F78772}" name="Posto" dataDxfId="175"/>
    <tableColumn id="9" xr3:uid="{3CEBB85F-EC36-4DC6-B79E-A261EC45C461}" name="AnoMes" dataDxfId="174"/>
    <tableColumn id="10" xr3:uid="{65B0326A-3C14-4624-A129-E4E16FA4EBFA}" name="D" dataDxfId="173"/>
    <tableColumn id="11" xr3:uid="{61EFC562-303A-4A85-8731-DA83272AA6CC}" name="Daj" dataDxfId="172"/>
    <tableColumn id="12" xr3:uid="{F5A13DC1-5FD5-4DE6-9BB3-8E3D3B0380C8}" name="TUSD_E" dataDxfId="171"/>
    <tableColumn id="13" xr3:uid="{89C7B29A-0243-414B-9B77-1E048194C48E}" name="TUSD_Eaj" dataDxfId="170"/>
    <tableColumn id="14" xr3:uid="{4EEB804D-9DB7-4D9E-8C26-808EB9CBB353}" name="TE_E" dataDxfId="169"/>
    <tableColumn id="15" xr3:uid="{FAFB63AD-4247-4465-974F-50D4AEB7B5C2}" name="TE_Eaj" dataDxfId="168"/>
    <tableColumn id="16" xr3:uid="{9A04274B-894A-4ADA-A2C7-C39FE3F29A04}" name="UC" dataDxfId="167"/>
    <tableColumn id="17" xr3:uid="{341F963C-1465-444D-9275-20468B130759}" name="OPÇÃO" dataDxfId="166"/>
    <tableColumn id="18" xr3:uid="{4CA8A6A7-D350-42A5-B48B-958D0517327A}" name="CóD. AUX." dataDxfId="165"/>
    <tableColumn id="19" xr3:uid="{4DBF2086-7E99-40C6-B1AC-B0C3AA3726BB}" name="CóD. AUX. TUSD R$/kW" dataDxfId="164"/>
    <tableColumn id="20" xr3:uid="{548744CD-4F5A-4A25-94A8-3D65244EE5E2}" name="CóD. AUX. TUSD R$/MWh" dataDxfId="163"/>
    <tableColumn id="21" xr3:uid="{3282554B-CFC8-436E-B422-DF5B8DF2FD76}" name="CóD. AUX. TE R$/MWh" dataDxfId="162"/>
    <tableColumn id="22" xr3:uid="{14654B26-8308-4340-B2CF-00DC5A690350}" name="TUSD (R$/kW)" dataDxfId="161"/>
    <tableColumn id="23" xr3:uid="{78F142EB-E2C4-4115-B6A0-0D7C510B97E9}" name="TUSD (R$/MWh)" dataDxfId="160"/>
    <tableColumn id="24" xr3:uid="{352169B0-9479-4354-B9CD-35730B3C5235}" name="TE (R$/MWh)" dataDxfId="159"/>
    <tableColumn id="25" xr3:uid="{5C51B596-BAFE-4EEE-85EF-C5BE42D01234}" name="TUSD (R$/kW) NOVA" dataDxfId="158"/>
    <tableColumn id="26" xr3:uid="{E09C7BB2-FE7B-4A80-A331-8C15E508AF1A}" name="TUSD (R$/MWh) NOVA" dataDxfId="157">
      <calculatedColumnFormula>('TUSD BE'!$AM$50+'TUSD BF'!$AM$50+'TUSD CVA'!$AM$50)*1</calculatedColumnFormula>
    </tableColumn>
    <tableColumn id="27" xr3:uid="{3B33F993-4E64-4D19-A329-0E25CDEDA944}" name="TE (R$/MWh) NOVA" dataDxfId="156">
      <calculatedColumnFormula>('TE BE'!$AB$41+'TE BF'!$AB$41+'TE CVA'!$AB$41)*1</calculatedColumnFormula>
    </tableColumn>
    <tableColumn id="28" xr3:uid="{54ED5043-1988-4018-A052-E30A71FB216C}" name="RA0 ou RV - TUSD (kW)" dataDxfId="155"/>
    <tableColumn id="29" xr3:uid="{4239BD4F-A61A-4DD3-91F6-16A761ED4494}" name="RA0 ou RV - TUSD (MWh)" dataDxfId="154"/>
    <tableColumn id="30" xr3:uid="{C92847DF-12EB-4FDA-8C90-DA1A5B101B3B}" name="RA0 ou RV - TE (MWh)" dataDxfId="153"/>
    <tableColumn id="31" xr3:uid="{04916E0F-164C-415E-96B3-D3722CDE31EC}" name="RA1 ou RRD - TUSD (kW)" dataDxfId="152"/>
    <tableColumn id="32" xr3:uid="{0558FDBE-23A8-4B31-9FE1-6E9B735AAD1C}" name="RA1 ou RRD - TUSD (MWh)" dataDxfId="151"/>
    <tableColumn id="33" xr3:uid="{B94A5134-7041-460E-800E-B1BD321DF087}" name="RA1 ou RRD - TE (MWh)" dataDxfId="1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871EBE-A557-456D-AC0A-9E595B5A0F7A}" name="TabelaFin" displayName="TabelaFin" ref="B3:AT49" tableType="queryTable" totalsRowShown="0" headerRowDxfId="149" dataDxfId="147" headerRowBorderDxfId="148" tableBorderDxfId="146" totalsRowBorderDxfId="145">
  <autoFilter ref="B3:AT49" xr:uid="{2C871EBE-A557-456D-AC0A-9E595B5A0F7A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7E6077A9-AA01-430C-9266-ACD77D2A81B4}" uniqueName="46" name="SUBGRUPO" queryTableFieldId="1" dataDxfId="144"/>
    <tableColumn id="47" xr3:uid="{1D762F7F-46A5-4A51-9AF9-4CFC2D2AF9AD}" uniqueName="47" name="MODALIDADE" queryTableFieldId="2" dataDxfId="143"/>
    <tableColumn id="48" xr3:uid="{E5FDDB29-1EF2-4601-BA44-71D74926EF37}" uniqueName="48" name="CLASSE" queryTableFieldId="3" dataDxfId="142"/>
    <tableColumn id="49" xr3:uid="{1113E1AD-A205-4D6C-A99B-317A27109C1E}" uniqueName="49" name="SUBCLASSE" queryTableFieldId="4" dataDxfId="141"/>
    <tableColumn id="50" xr3:uid="{BE6B44B8-A85D-405B-850E-5F76E53D5C88}" uniqueName="50" name="DETALHE" queryTableFieldId="5" dataDxfId="140"/>
    <tableColumn id="51" xr3:uid="{39252D6A-4269-4C05-8E5C-4C42DEA26D99}" uniqueName="51" name="POSTO" queryTableFieldId="6" dataDxfId="139"/>
    <tableColumn id="52" xr3:uid="{B6D87F8F-0BEF-422A-A608-0B0F9BE824EE}" uniqueName="52" name="UNIDADE" queryTableFieldId="7" dataDxfId="138"/>
    <tableColumn id="53" xr3:uid="{860001C9-970E-4474-911C-02D84DFA669A}" uniqueName="53" name="ACESSANTE" queryTableFieldId="8" dataDxfId="137"/>
    <tableColumn id="54" xr3:uid="{B2DC6748-F310-4BCD-8930-C1E2E2100AFF}" uniqueName="54" name="Total TUSD" queryTableFieldId="9" dataDxfId="136"/>
    <tableColumn id="55" xr3:uid="{1A5B1041-B26F-4E4D-9A3D-34533BAADB36}" uniqueName="55" name="Total TE" queryTableFieldId="10" dataDxfId="135"/>
    <tableColumn id="56" xr3:uid="{E8218A1F-3C7A-46C1-B6FF-8F16D5783F63}" uniqueName="56" name="TUSD_CDE_COVID" queryTableFieldId="11" dataDxfId="134"/>
    <tableColumn id="57" xr3:uid="{EDB9EFFF-CF3F-419D-B354-5169BD124113}" uniqueName="57" name="TUSD_TFSEE" queryTableFieldId="12" dataDxfId="133"/>
    <tableColumn id="58" xr3:uid="{AF417914-914F-412E-9EF2-5CD82633FC64}" uniqueName="58" name="TUSD_PeD" queryTableFieldId="13" dataDxfId="132"/>
    <tableColumn id="59" xr3:uid="{816FFF2A-3D58-478A-9199-507AB266908B}" uniqueName="59" name="TUSD_ONS" queryTableFieldId="14" dataDxfId="131"/>
    <tableColumn id="60" xr3:uid="{D27C49AD-5725-48C9-B7AF-228331F10F17}" uniqueName="60" name="TUSD_CCC" queryTableFieldId="15" dataDxfId="130"/>
    <tableColumn id="61" xr3:uid="{D5BC49BF-8114-4E34-A5BD-E388224D9D95}" uniqueName="61" name="TUSD_CDE" queryTableFieldId="16" dataDxfId="129"/>
    <tableColumn id="62" xr3:uid="{333A3408-8202-4E4F-9951-DD7ECBCFEC15}" uniqueName="62" name="TUSD_PROINFA" queryTableFieldId="17" dataDxfId="128"/>
    <tableColumn id="63" xr3:uid="{DF63840A-3FD7-47EB-964B-FFDF9BEB8E63}" uniqueName="63" name="Liminar1" queryTableFieldId="18" dataDxfId="127"/>
    <tableColumn id="64" xr3:uid="{621A1DB9-A140-4BA7-B0DE-B7B36431FA50}" uniqueName="64" name="TUSD_RB" queryTableFieldId="19" dataDxfId="126"/>
    <tableColumn id="65" xr3:uid="{8CB77CC0-C944-473A-9E4D-15621B03FBF5}" uniqueName="65" name="TUSD_FR" queryTableFieldId="20" dataDxfId="125"/>
    <tableColumn id="66" xr3:uid="{7974C2F6-E4B6-4272-A690-D7A5D2233E46}" uniqueName="66" name="TUSD_CCT" queryTableFieldId="21" dataDxfId="124"/>
    <tableColumn id="67" xr3:uid="{C5ED7661-B74F-4555-88F9-286C0A189049}" uniqueName="67" name="TUSD_CCD" queryTableFieldId="22" dataDxfId="123"/>
    <tableColumn id="68" xr3:uid="{D7AB62FA-3FB8-4CAC-AF6B-CCCB62CDD586}" uniqueName="68" name="TUSD_CUSD" queryTableFieldId="23" dataDxfId="122"/>
    <tableColumn id="69" xr3:uid="{D97A42A6-9C43-425B-BB80-34DC4A59650B}" uniqueName="69" name="TUSDG_T" queryTableFieldId="24" dataDxfId="121"/>
    <tableColumn id="70" xr3:uid="{4E8A89B5-D4F4-4D7B-82FD-6019FBF4BB82}" uniqueName="70" name="TUSDG_ONS" queryTableFieldId="25" dataDxfId="120"/>
    <tableColumn id="71" xr3:uid="{30FAA110-B71F-4664-ACF1-C51B8F4408BD}" uniqueName="71" name="TUSD_FioB" queryTableFieldId="26" dataDxfId="119"/>
    <tableColumn id="72" xr3:uid="{45AA649E-C058-44F4-BC73-55F92F5195BF}" uniqueName="72" name="TUSD Subsidio" queryTableFieldId="27" dataDxfId="118"/>
    <tableColumn id="73" xr3:uid="{8B5DA455-C4DF-427F-B4DB-A8FF9616D4F6}" uniqueName="73" name="TUSD BENEFICIO_L14299" queryTableFieldId="28" dataDxfId="117"/>
    <tableColumn id="74" xr3:uid="{D95CB504-B4CF-4659-A8A8-159DFF6689E1}" uniqueName="74" name="TUSD Outros" queryTableFieldId="29" dataDxfId="116"/>
    <tableColumn id="75" xr3:uid="{5F187E95-E4E9-4F78-A316-2DE07915A7C2}" uniqueName="75" name="TUSD_PT" queryTableFieldId="30" dataDxfId="115"/>
    <tableColumn id="76" xr3:uid="{2181AFE3-1EF0-4B40-B671-5E392E84359D}" uniqueName="76" name="TUSD_Per_RB_D" queryTableFieldId="31" dataDxfId="114"/>
    <tableColumn id="77" xr3:uid="{DA2A9A06-0FF6-4AA5-827B-DC2BB542926C}" uniqueName="77" name="TUSD_PNT" queryTableFieldId="32" dataDxfId="113"/>
    <tableColumn id="78" xr3:uid="{82DA2B54-CF24-4270-BECA-4732B9E02F09}" uniqueName="78" name="TUSD_RI" queryTableFieldId="33" dataDxfId="112"/>
    <tableColumn id="79" xr3:uid="{A6AF1BC8-15B9-438D-880E-CF99914DCFA1}" uniqueName="79" name="TE_CDE_COVID" queryTableFieldId="34" dataDxfId="111"/>
    <tableColumn id="80" xr3:uid="{B1E79C4A-C0C5-4693-AAA0-9AE1B8BB9C23}" uniqueName="80" name="TE_CDE_ELET" queryTableFieldId="35" dataDxfId="110"/>
    <tableColumn id="81" xr3:uid="{1AB67717-AA22-4F21-90DA-31FD3E59C870}" uniqueName="81" name="TE_PeD" queryTableFieldId="36" dataDxfId="109"/>
    <tableColumn id="82" xr3:uid="{C91574BF-A44B-4950-A6A7-695C7779D509}" uniqueName="82" name="TE_ESSERR" queryTableFieldId="37" dataDxfId="108"/>
    <tableColumn id="83" xr3:uid="{AF916B35-783A-4827-8358-988DE9C1FA39}" uniqueName="83" name="TE_CFURH" queryTableFieldId="38" dataDxfId="107"/>
    <tableColumn id="84" xr3:uid="{82CF1AD3-B67A-452E-B6AB-65FE7271AC38}" uniqueName="84" name="TE_ENERGIA" queryTableFieldId="39" dataDxfId="106"/>
    <tableColumn id="85" xr3:uid="{54A15FE9-6E30-4F38-82B0-49002D24B69C}" uniqueName="85" name="TE_TRANSPORTE_ITAIPU" queryTableFieldId="40" dataDxfId="105"/>
    <tableColumn id="86" xr3:uid="{FA957F74-BE34-49CC-BEA3-DE0CA8DE3C1A}" uniqueName="86" name="TE_TUST_ITAIPU" queryTableFieldId="41" dataDxfId="104"/>
    <tableColumn id="87" xr3:uid="{870590D9-027B-4363-8397-189FD0A0B27A}" uniqueName="87" name="TE_TUST_CI" queryTableFieldId="42" dataDxfId="103"/>
    <tableColumn id="88" xr3:uid="{7D433978-0539-489B-97B1-9AF134344E6D}" uniqueName="88" name="TE Subsidio" queryTableFieldId="43" dataDxfId="102"/>
    <tableColumn id="89" xr3:uid="{D0E9703D-21EB-4F77-835D-A820D7E053AC}" uniqueName="89" name="TE BENEFICIO_L14299" queryTableFieldId="44" dataDxfId="101"/>
    <tableColumn id="90" xr3:uid="{741D5BB5-C895-4FC0-B96C-86B55D4E7B45}" uniqueName="90" name="TE_Per_RB" queryTableFieldId="45" dataDxfId="10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B8957A-2566-4914-A49C-1270A68E9F43}" name="TabelaEc" displayName="TabelaEc" ref="B3:AT49" tableType="queryTable" totalsRowShown="0" headerRowDxfId="99" dataDxfId="97" headerRowBorderDxfId="98" tableBorderDxfId="96" totalsRowBorderDxfId="95">
  <autoFilter ref="B3:AT49" xr:uid="{39B8957A-2566-4914-A49C-1270A68E9F43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11F5C429-0BA8-4FA0-AE34-E9039D39C998}" uniqueName="46" name="SUBGRUPO" queryTableFieldId="1" dataDxfId="94"/>
    <tableColumn id="47" xr3:uid="{DBD9AB45-3565-451C-A553-C768B3CE9B59}" uniqueName="47" name="MODALIDADE" queryTableFieldId="2" dataDxfId="93"/>
    <tableColumn id="48" xr3:uid="{9735A605-DBCA-4CD2-A12C-73E6975D6237}" uniqueName="48" name="CLASSE" queryTableFieldId="3" dataDxfId="92"/>
    <tableColumn id="49" xr3:uid="{DA8FD95C-CC7C-44C2-B275-C87316A8BA29}" uniqueName="49" name="SUBCLASSE" queryTableFieldId="4" dataDxfId="91"/>
    <tableColumn id="50" xr3:uid="{EF80F13F-B084-44A8-905E-74E0CF7E340E}" uniqueName="50" name="DETALHE" queryTableFieldId="5" dataDxfId="90"/>
    <tableColumn id="51" xr3:uid="{52A96904-0624-443E-9507-C18718D1C9E1}" uniqueName="51" name="POSTO" queryTableFieldId="6" dataDxfId="89"/>
    <tableColumn id="52" xr3:uid="{C0465F9E-774B-4FC1-84DC-08CF42C2B101}" uniqueName="52" name="UNIDADE" queryTableFieldId="7" dataDxfId="88"/>
    <tableColumn id="53" xr3:uid="{16B67E51-9A9F-412B-AD7F-5385DED8217B}" uniqueName="53" name="ACESSANTE" queryTableFieldId="8" dataDxfId="87"/>
    <tableColumn id="54" xr3:uid="{C78356A8-67CC-49E2-A18E-37FCAB51F121}" uniqueName="54" name="Total TUSD" queryTableFieldId="9" dataDxfId="86"/>
    <tableColumn id="55" xr3:uid="{55410B48-0D5D-43A6-9902-DEDB6A9DEE97}" uniqueName="55" name="Total TE" queryTableFieldId="10" dataDxfId="85"/>
    <tableColumn id="56" xr3:uid="{E93E04A9-53F0-4D8F-B071-ACD71DF7FA08}" uniqueName="56" name="TUSD_CDE_COVID" queryTableFieldId="11" dataDxfId="84"/>
    <tableColumn id="57" xr3:uid="{68EBB539-2A22-4E9A-8E9E-3B6ADA6A4C8B}" uniqueName="57" name="TUSD_TFSEE" queryTableFieldId="12" dataDxfId="83"/>
    <tableColumn id="58" xr3:uid="{B9E74DB3-B5B9-4D11-85AB-90F81E105A92}" uniqueName="58" name="TUSD_PeD" queryTableFieldId="13" dataDxfId="82"/>
    <tableColumn id="59" xr3:uid="{1D2556B5-3C42-4EF3-9F65-C6BCB86C9F43}" uniqueName="59" name="TUSD_ONS" queryTableFieldId="14" dataDxfId="81"/>
    <tableColumn id="60" xr3:uid="{B4828435-9DA3-439A-9559-93C53DD94319}" uniqueName="60" name="TUSD_CCC" queryTableFieldId="15" dataDxfId="80"/>
    <tableColumn id="61" xr3:uid="{0B20A705-2869-40A4-889C-FC161D75125C}" uniqueName="61" name="TUSD_CDE" queryTableFieldId="16" dataDxfId="79"/>
    <tableColumn id="62" xr3:uid="{ECF223A2-B547-49FE-B4B0-8A594FD71930}" uniqueName="62" name="TUSD_PROINFA" queryTableFieldId="17" dataDxfId="78"/>
    <tableColumn id="63" xr3:uid="{BA946E67-68C3-4DB6-B027-C9731CE1156F}" uniqueName="63" name="Liminar1" queryTableFieldId="18" dataDxfId="77"/>
    <tableColumn id="64" xr3:uid="{92CAD820-153B-4CB5-812D-EE4A291141C6}" uniqueName="64" name="TUSD_RB" queryTableFieldId="19" dataDxfId="76"/>
    <tableColumn id="65" xr3:uid="{12B7A902-58E4-497E-A830-2B5003686AF3}" uniqueName="65" name="TUSD_FR" queryTableFieldId="20" dataDxfId="75"/>
    <tableColumn id="66" xr3:uid="{5FF7A2A7-A427-4487-A832-EBCC6E55A6DE}" uniqueName="66" name="TUSD_CCT" queryTableFieldId="21" dataDxfId="74"/>
    <tableColumn id="67" xr3:uid="{F08761B1-B66F-435D-882F-6DA0121BCF86}" uniqueName="67" name="TUSD_CCD" queryTableFieldId="22" dataDxfId="73"/>
    <tableColumn id="68" xr3:uid="{4AF9B1C5-984C-4AA5-B86B-EF9649C18A3A}" uniqueName="68" name="TUSD_CUSD" queryTableFieldId="23" dataDxfId="72"/>
    <tableColumn id="69" xr3:uid="{7357C82F-E3E7-4CB9-BE42-AC7428850726}" uniqueName="69" name="TUSDG_T" queryTableFieldId="24" dataDxfId="71"/>
    <tableColumn id="70" xr3:uid="{7180AC69-B2D8-4DDE-BB7C-C0B1890ABD1A}" uniqueName="70" name="TUSDG_ONS" queryTableFieldId="25" dataDxfId="70"/>
    <tableColumn id="71" xr3:uid="{9EC6D4C1-FC59-41D1-9FD0-DE42973FFDED}" uniqueName="71" name="TUSD_FioB" queryTableFieldId="26" dataDxfId="69"/>
    <tableColumn id="72" xr3:uid="{C12A1A3A-6763-4F5C-B13D-078CD128D9F0}" uniqueName="72" name="TUSD Subsidio" queryTableFieldId="27" dataDxfId="68"/>
    <tableColumn id="73" xr3:uid="{F0BB5AA1-B9C8-47FB-B072-3C050ED3ADBB}" uniqueName="73" name="TUSD BENEFICIO_L14299" queryTableFieldId="28" dataDxfId="67"/>
    <tableColumn id="74" xr3:uid="{9AB85C3C-B72C-4686-A6B6-02357E7D6782}" uniqueName="74" name="TUSD Outros" queryTableFieldId="29" dataDxfId="66"/>
    <tableColumn id="75" xr3:uid="{DEB8E6BA-7B3F-4088-A54E-A473DDFE1DC1}" uniqueName="75" name="TUSD_PT" queryTableFieldId="30" dataDxfId="65"/>
    <tableColumn id="76" xr3:uid="{66B140DE-61AA-449C-B9A1-40BFC9A34BE5}" uniqueName="76" name="TUSD_Per_RB_D" queryTableFieldId="31" dataDxfId="64"/>
    <tableColumn id="77" xr3:uid="{916776A0-7487-4149-A96B-9760D71285E0}" uniqueName="77" name="TUSD_PNT" queryTableFieldId="32" dataDxfId="63"/>
    <tableColumn id="78" xr3:uid="{3C3E317B-DD31-4CC1-BA4C-EB98F5FEF7EB}" uniqueName="78" name="TUSD_RI" queryTableFieldId="33" dataDxfId="62"/>
    <tableColumn id="79" xr3:uid="{877052DB-4346-4E30-B14F-1640360A3801}" uniqueName="79" name="TE_CDE_COVID" queryTableFieldId="34" dataDxfId="61"/>
    <tableColumn id="80" xr3:uid="{07F900C0-9B35-4786-BECB-AD238B9ADA2E}" uniqueName="80" name="TE_CDE_ELET" queryTableFieldId="35" dataDxfId="60"/>
    <tableColumn id="81" xr3:uid="{E239A617-9C3E-43C4-ACEA-CBE4218E3176}" uniqueName="81" name="TE_PeD" queryTableFieldId="36" dataDxfId="59"/>
    <tableColumn id="82" xr3:uid="{EF393B7F-AA48-455C-B140-C2C5D7E8B7AD}" uniqueName="82" name="TE_ESSERR" queryTableFieldId="37" dataDxfId="58"/>
    <tableColumn id="83" xr3:uid="{57388785-3AD3-4079-80E2-ABF5EC479A7F}" uniqueName="83" name="TE_CFURH" queryTableFieldId="38" dataDxfId="57"/>
    <tableColumn id="84" xr3:uid="{01B6AD8F-5B67-4785-B5E9-7624FB1E06D5}" uniqueName="84" name="TE_ENERGIA" queryTableFieldId="39" dataDxfId="56"/>
    <tableColumn id="85" xr3:uid="{D3004111-A89C-496B-A498-93E4050DF73A}" uniqueName="85" name="TE_TRANSPORTE_ITAIPU" queryTableFieldId="40" dataDxfId="55"/>
    <tableColumn id="86" xr3:uid="{5522C18C-5F99-4DE8-98F0-F8C90F1F685A}" uniqueName="86" name="TE_TUST_ITAIPU" queryTableFieldId="41" dataDxfId="54"/>
    <tableColumn id="87" xr3:uid="{AADC39AC-FB40-42BC-8F75-4C330AB8A68C}" uniqueName="87" name="TE_TUST_CI" queryTableFieldId="42" dataDxfId="53"/>
    <tableColumn id="88" xr3:uid="{12962B6E-C6A9-4422-B03B-58BBCBD17CD2}" uniqueName="88" name="TE Subsidio" queryTableFieldId="43" dataDxfId="52"/>
    <tableColumn id="89" xr3:uid="{847B8EAA-967B-4C05-BB02-F6ABD23A3794}" uniqueName="89" name="TE BENEFICIO_L14299" queryTableFieldId="44" dataDxfId="51"/>
    <tableColumn id="90" xr3:uid="{95894063-61A8-4754-A9DD-633D0E95D830}" uniqueName="90" name="TE_Per_RB" queryTableFieldId="45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C1428F-613D-43BE-B840-385E51BB2A64}" name="TabelaCVA" displayName="TabelaCVA" ref="B3:AT49" tableType="queryTable" totalsRowShown="0" headerRowDxfId="49" dataDxfId="47" headerRowBorderDxfId="48" tableBorderDxfId="46" totalsRowBorderDxfId="45">
  <autoFilter ref="B3:AT49" xr:uid="{B4C1428F-613D-43BE-B840-385E51BB2A64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B6516889-12C0-4EFF-AF1B-4865F8F928EC}" uniqueName="46" name="SUBGRUPO" queryTableFieldId="1" dataDxfId="44"/>
    <tableColumn id="47" xr3:uid="{5E95DEE8-6B2C-4A99-9F88-869B0BC76AB0}" uniqueName="47" name="MODALIDADE" queryTableFieldId="2" dataDxfId="43"/>
    <tableColumn id="48" xr3:uid="{CE6A6D62-C7F6-4564-835C-1924B9CFC6AD}" uniqueName="48" name="CLASSE" queryTableFieldId="3" dataDxfId="42"/>
    <tableColumn id="49" xr3:uid="{D0F067A9-50B6-4203-865F-11C4A31D670E}" uniqueName="49" name="SUBCLASSE" queryTableFieldId="4" dataDxfId="41"/>
    <tableColumn id="50" xr3:uid="{9641FC6A-803A-4F91-9AD4-7212CC220F3C}" uniqueName="50" name="DETALHE" queryTableFieldId="5" dataDxfId="40"/>
    <tableColumn id="51" xr3:uid="{30EF73AF-6D5B-43B5-8DA6-F576488B9691}" uniqueName="51" name="POSTO" queryTableFieldId="6" dataDxfId="39"/>
    <tableColumn id="52" xr3:uid="{8FE99D31-B105-40A4-BAA0-F40148A6C478}" uniqueName="52" name="UNIDADE" queryTableFieldId="7" dataDxfId="38"/>
    <tableColumn id="53" xr3:uid="{6E69448E-8CE7-47D5-9D10-94BF4BF5C2C9}" uniqueName="53" name="ACESSANTE" queryTableFieldId="8" dataDxfId="37"/>
    <tableColumn id="54" xr3:uid="{A414870C-EC97-4F7F-94A3-B9ED4F925485}" uniqueName="54" name="Total TUSD" queryTableFieldId="9" dataDxfId="36"/>
    <tableColumn id="55" xr3:uid="{77A12D03-F645-465A-8A93-6AF16F11B8C6}" uniqueName="55" name="Total TE" queryTableFieldId="10" dataDxfId="35"/>
    <tableColumn id="56" xr3:uid="{B0A60685-ECBC-404A-A2B7-7A051AC46FB4}" uniqueName="56" name="TUSD_CDE_COVID" queryTableFieldId="11" dataDxfId="34"/>
    <tableColumn id="57" xr3:uid="{3FFC60EA-0540-4375-9F5E-CF451872195F}" uniqueName="57" name="TUSD_TFSEE" queryTableFieldId="12" dataDxfId="33"/>
    <tableColumn id="58" xr3:uid="{826F4A11-2BE4-43B1-A034-FD3033A93E41}" uniqueName="58" name="TUSD_PeD" queryTableFieldId="13" dataDxfId="32"/>
    <tableColumn id="59" xr3:uid="{5347C123-5972-416F-BA8A-412ABDEFF95D}" uniqueName="59" name="TUSD_ONS" queryTableFieldId="14" dataDxfId="31"/>
    <tableColumn id="60" xr3:uid="{DEED33C9-D2C1-4B11-89CA-B5FB94D4D99C}" uniqueName="60" name="TUSD_CCC" queryTableFieldId="15" dataDxfId="30"/>
    <tableColumn id="61" xr3:uid="{53725408-2856-4427-BCC2-54663213A6F8}" uniqueName="61" name="TUSD_CDE" queryTableFieldId="16" dataDxfId="29"/>
    <tableColumn id="62" xr3:uid="{8D7C433A-733E-4F30-9973-F233C42BE533}" uniqueName="62" name="TUSD_PROINFA" queryTableFieldId="17" dataDxfId="28"/>
    <tableColumn id="63" xr3:uid="{4E19EE62-40BD-480F-805E-D203E04AF237}" uniqueName="63" name="Liminar1" queryTableFieldId="18" dataDxfId="27"/>
    <tableColumn id="64" xr3:uid="{9A3BFE83-DACC-46B2-9F6D-2595A721865F}" uniqueName="64" name="TUSD_RB" queryTableFieldId="19" dataDxfId="26"/>
    <tableColumn id="65" xr3:uid="{A12EC920-C5C4-45B3-B166-9FBDF09B9FB0}" uniqueName="65" name="TUSD_FR" queryTableFieldId="20" dataDxfId="25"/>
    <tableColumn id="66" xr3:uid="{589E2E4E-90EF-49C8-B7B5-AE141AA4FB5B}" uniqueName="66" name="TUSD_CCT" queryTableFieldId="21" dataDxfId="24"/>
    <tableColumn id="67" xr3:uid="{61855413-3573-4E07-9199-81871B5DDDAD}" uniqueName="67" name="TUSD_CCD" queryTableFieldId="22" dataDxfId="23"/>
    <tableColumn id="68" xr3:uid="{3F848383-4871-407E-AD77-649A7C7B7CAE}" uniqueName="68" name="TUSD_CUSD" queryTableFieldId="23" dataDxfId="22"/>
    <tableColumn id="69" xr3:uid="{21955D45-3F72-4BB4-B397-D01FFAB6019D}" uniqueName="69" name="TUSDG_T" queryTableFieldId="24" dataDxfId="21"/>
    <tableColumn id="70" xr3:uid="{3118810C-FA2C-487A-A7F2-8EABD948B959}" uniqueName="70" name="TUSDG_ONS" queryTableFieldId="25" dataDxfId="20"/>
    <tableColumn id="71" xr3:uid="{F1EE31DE-6D52-4C6C-9E09-38A75B5F3F30}" uniqueName="71" name="TUSD_FioB" queryTableFieldId="26" dataDxfId="19"/>
    <tableColumn id="72" xr3:uid="{E12200C5-37E9-4830-95FD-828C31EA7631}" uniqueName="72" name="TUSD Subsidio" queryTableFieldId="27" dataDxfId="18"/>
    <tableColumn id="73" xr3:uid="{1BCCA661-953D-4B7D-9271-14285A3C447E}" uniqueName="73" name="TUSD BENEFICIO_L14299" queryTableFieldId="28" dataDxfId="17"/>
    <tableColumn id="74" xr3:uid="{6CE2CDAD-4D05-46F1-B932-F569734FAC09}" uniqueName="74" name="TUSD Outros" queryTableFieldId="29" dataDxfId="16"/>
    <tableColumn id="75" xr3:uid="{CAA86DF6-FFA3-4CED-880A-8C21E5F19052}" uniqueName="75" name="TUSD_PT" queryTableFieldId="30" dataDxfId="15"/>
    <tableColumn id="76" xr3:uid="{CCCDA4D6-1BF8-46CD-8882-0B7E61F55A9D}" uniqueName="76" name="TUSD_Per_RB_D" queryTableFieldId="31" dataDxfId="14"/>
    <tableColumn id="77" xr3:uid="{054B82FD-536F-41EB-9DE0-BE27812242C0}" uniqueName="77" name="TUSD_PNT" queryTableFieldId="32" dataDxfId="13"/>
    <tableColumn id="78" xr3:uid="{6246188C-DA5F-4578-ABF0-8B60CCD91660}" uniqueName="78" name="TUSD_RI" queryTableFieldId="33" dataDxfId="12"/>
    <tableColumn id="79" xr3:uid="{372E14EB-784E-43AA-BD60-ADF326E98A44}" uniqueName="79" name="TE_CDE_COVID" queryTableFieldId="34" dataDxfId="11"/>
    <tableColumn id="80" xr3:uid="{B19D524C-E2FB-4B92-897B-904899C772D7}" uniqueName="80" name="TE_CDE_ELET" queryTableFieldId="35" dataDxfId="10"/>
    <tableColumn id="81" xr3:uid="{B05CAD0D-0C2C-4236-9700-21F131FB0AF6}" uniqueName="81" name="TE_PeD" queryTableFieldId="36" dataDxfId="9"/>
    <tableColumn id="82" xr3:uid="{ECA6E1F2-1475-42E1-B521-E8F0A321C015}" uniqueName="82" name="TE_ESSERR" queryTableFieldId="37" dataDxfId="8"/>
    <tableColumn id="83" xr3:uid="{38CC30C7-9DCC-47A8-A16C-31DA227544D5}" uniqueName="83" name="TE_CFURH" queryTableFieldId="38" dataDxfId="7"/>
    <tableColumn id="84" xr3:uid="{ADCCFBAC-E79F-4EE9-965C-41A31F34A18B}" uniqueName="84" name="TE_ENERGIA" queryTableFieldId="39" dataDxfId="6"/>
    <tableColumn id="85" xr3:uid="{6663D301-732A-4D25-91B4-3C3F0C0FCE33}" uniqueName="85" name="TE_TRANSPORTE_ITAIPU" queryTableFieldId="40" dataDxfId="5"/>
    <tableColumn id="86" xr3:uid="{CD14AA7F-D22B-4212-B482-610B994C5470}" uniqueName="86" name="TE_TUST_ITAIPU" queryTableFieldId="41" dataDxfId="4"/>
    <tableColumn id="87" xr3:uid="{F29F3E30-7266-4849-BB99-D33E3BAEBFA4}" uniqueName="87" name="TE_TUST_CI" queryTableFieldId="42" dataDxfId="3"/>
    <tableColumn id="88" xr3:uid="{315C0A8B-C736-46AE-8CE0-E273EF53604C}" uniqueName="88" name="TE Subsidio" queryTableFieldId="43" dataDxfId="2"/>
    <tableColumn id="89" xr3:uid="{C7FEB40A-B86B-4A6A-9989-49425EA1039C}" uniqueName="89" name="TE BENEFICIO_L14299" queryTableFieldId="44" dataDxfId="1"/>
    <tableColumn id="90" xr3:uid="{37024E5D-C770-439F-9610-2D841EA32E33}" uniqueName="90" name="TE_Per_RB" queryTableFieldId="4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CE48-D6F7-4DB3-8998-BB091C47F68F}">
  <sheetPr codeName="Planilha1"/>
  <dimension ref="A1:W379"/>
  <sheetViews>
    <sheetView showGridLines="0" topLeftCell="I365" workbookViewId="0">
      <selection activeCell="T380" sqref="T380"/>
    </sheetView>
  </sheetViews>
  <sheetFormatPr defaultColWidth="9.140625"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1" width="7" style="6" bestFit="1" customWidth="1"/>
    <col min="12" max="12" width="6.7109375" style="6" bestFit="1" customWidth="1"/>
    <col min="13" max="13" width="8" style="6" bestFit="1" customWidth="1"/>
    <col min="14" max="14" width="5.7109375" style="6" bestFit="1" customWidth="1"/>
    <col min="15" max="15" width="5.85546875" style="6" bestFit="1" customWidth="1"/>
    <col min="16" max="16" width="7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88</v>
      </c>
      <c r="T1" s="1" t="s">
        <v>257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34</v>
      </c>
      <c r="C2" s="4" t="s">
        <v>35</v>
      </c>
      <c r="D2" s="4" t="s">
        <v>40</v>
      </c>
      <c r="E2" s="4" t="s">
        <v>25</v>
      </c>
      <c r="F2" s="4" t="s">
        <v>25</v>
      </c>
      <c r="G2" s="4" t="s">
        <v>25</v>
      </c>
      <c r="H2" s="4" t="s">
        <v>37</v>
      </c>
      <c r="I2" s="5">
        <v>44409</v>
      </c>
      <c r="J2" s="6">
        <v>0</v>
      </c>
      <c r="K2" s="6">
        <v>0</v>
      </c>
      <c r="L2" s="6">
        <v>42.155999999999999</v>
      </c>
      <c r="M2" s="6">
        <v>42.155999999999999</v>
      </c>
      <c r="N2" s="6">
        <v>42.155999999999999</v>
      </c>
      <c r="O2" s="6">
        <v>42.155999999999999</v>
      </c>
      <c r="P2" s="6">
        <v>0</v>
      </c>
      <c r="Q2" s="4" t="s">
        <v>26</v>
      </c>
      <c r="R2" s="4">
        <v>0</v>
      </c>
      <c r="S2" s="4" t="s">
        <v>89</v>
      </c>
      <c r="T2" s="4" t="s">
        <v>258</v>
      </c>
      <c r="U2" s="4">
        <v>0</v>
      </c>
      <c r="V2" s="4">
        <v>8</v>
      </c>
      <c r="W2" s="4">
        <v>51</v>
      </c>
    </row>
    <row r="3" spans="1:23" ht="11.25" customHeight="1" x14ac:dyDescent="0.25">
      <c r="A3" s="4" t="s">
        <v>21</v>
      </c>
      <c r="B3" s="4" t="s">
        <v>34</v>
      </c>
      <c r="C3" s="4" t="s">
        <v>35</v>
      </c>
      <c r="D3" s="4" t="s">
        <v>40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44440</v>
      </c>
      <c r="J3" s="6">
        <v>0</v>
      </c>
      <c r="K3" s="6">
        <v>0</v>
      </c>
      <c r="L3" s="6">
        <v>42.073</v>
      </c>
      <c r="M3" s="6">
        <v>42.073</v>
      </c>
      <c r="N3" s="6">
        <v>42.073</v>
      </c>
      <c r="O3" s="6">
        <v>42.073</v>
      </c>
      <c r="P3" s="6">
        <v>0</v>
      </c>
      <c r="Q3" s="4" t="s">
        <v>26</v>
      </c>
      <c r="R3" s="4">
        <v>0</v>
      </c>
      <c r="S3" s="4" t="s">
        <v>90</v>
      </c>
      <c r="T3" s="4" t="s">
        <v>259</v>
      </c>
      <c r="U3" s="4">
        <v>0</v>
      </c>
      <c r="V3" s="4">
        <v>8</v>
      </c>
      <c r="W3" s="4">
        <v>51</v>
      </c>
    </row>
    <row r="4" spans="1:23" ht="11.25" customHeight="1" x14ac:dyDescent="0.25">
      <c r="A4" s="4" t="s">
        <v>21</v>
      </c>
      <c r="B4" s="4" t="s">
        <v>34</v>
      </c>
      <c r="C4" s="4" t="s">
        <v>35</v>
      </c>
      <c r="D4" s="4" t="s">
        <v>40</v>
      </c>
      <c r="E4" s="4" t="s">
        <v>25</v>
      </c>
      <c r="F4" s="4" t="s">
        <v>25</v>
      </c>
      <c r="G4" s="4" t="s">
        <v>25</v>
      </c>
      <c r="H4" s="4" t="s">
        <v>37</v>
      </c>
      <c r="I4" s="5">
        <v>44470</v>
      </c>
      <c r="J4" s="6">
        <v>0</v>
      </c>
      <c r="K4" s="6">
        <v>0</v>
      </c>
      <c r="L4" s="6">
        <v>42.054000000000002</v>
      </c>
      <c r="M4" s="6">
        <v>42.054000000000002</v>
      </c>
      <c r="N4" s="6">
        <v>42.054000000000002</v>
      </c>
      <c r="O4" s="6">
        <v>42.054000000000002</v>
      </c>
      <c r="P4" s="6">
        <v>0</v>
      </c>
      <c r="Q4" s="4" t="s">
        <v>26</v>
      </c>
      <c r="R4" s="4">
        <v>0</v>
      </c>
      <c r="S4" s="4" t="s">
        <v>91</v>
      </c>
      <c r="T4" s="4" t="s">
        <v>260</v>
      </c>
      <c r="U4" s="4">
        <v>0</v>
      </c>
      <c r="V4" s="4">
        <v>8</v>
      </c>
      <c r="W4" s="4">
        <v>51</v>
      </c>
    </row>
    <row r="5" spans="1:23" ht="11.25" customHeight="1" x14ac:dyDescent="0.25">
      <c r="A5" s="4" t="s">
        <v>21</v>
      </c>
      <c r="B5" s="4" t="s">
        <v>34</v>
      </c>
      <c r="C5" s="4" t="s">
        <v>35</v>
      </c>
      <c r="D5" s="4" t="s">
        <v>40</v>
      </c>
      <c r="E5" s="4" t="s">
        <v>25</v>
      </c>
      <c r="F5" s="4" t="s">
        <v>25</v>
      </c>
      <c r="G5" s="4" t="s">
        <v>25</v>
      </c>
      <c r="H5" s="4" t="s">
        <v>37</v>
      </c>
      <c r="I5" s="5">
        <v>44501</v>
      </c>
      <c r="J5" s="6">
        <v>0</v>
      </c>
      <c r="K5" s="6">
        <v>0</v>
      </c>
      <c r="L5" s="6">
        <v>43.274999999999999</v>
      </c>
      <c r="M5" s="6">
        <v>43.274999999999999</v>
      </c>
      <c r="N5" s="6">
        <v>43.274999999999999</v>
      </c>
      <c r="O5" s="6">
        <v>43.274999999999999</v>
      </c>
      <c r="P5" s="6">
        <v>0</v>
      </c>
      <c r="Q5" s="4" t="s">
        <v>26</v>
      </c>
      <c r="R5" s="4">
        <v>0</v>
      </c>
      <c r="S5" s="4" t="s">
        <v>92</v>
      </c>
      <c r="T5" s="4" t="s">
        <v>261</v>
      </c>
      <c r="U5" s="4">
        <v>0</v>
      </c>
      <c r="V5" s="4">
        <v>8</v>
      </c>
      <c r="W5" s="4">
        <v>51</v>
      </c>
    </row>
    <row r="6" spans="1:23" ht="11.25" customHeight="1" x14ac:dyDescent="0.25">
      <c r="A6" s="4" t="s">
        <v>21</v>
      </c>
      <c r="B6" s="4" t="s">
        <v>34</v>
      </c>
      <c r="C6" s="4" t="s">
        <v>35</v>
      </c>
      <c r="D6" s="4" t="s">
        <v>40</v>
      </c>
      <c r="E6" s="4" t="s">
        <v>25</v>
      </c>
      <c r="F6" s="4" t="s">
        <v>25</v>
      </c>
      <c r="G6" s="4" t="s">
        <v>25</v>
      </c>
      <c r="H6" s="4" t="s">
        <v>37</v>
      </c>
      <c r="I6" s="5">
        <v>44531</v>
      </c>
      <c r="J6" s="6">
        <v>0</v>
      </c>
      <c r="K6" s="6">
        <v>0</v>
      </c>
      <c r="L6" s="6">
        <v>18.189</v>
      </c>
      <c r="M6" s="6">
        <v>18.189</v>
      </c>
      <c r="N6" s="6">
        <v>18.189</v>
      </c>
      <c r="O6" s="6">
        <v>18.189</v>
      </c>
      <c r="P6" s="6">
        <v>0</v>
      </c>
      <c r="Q6" s="4" t="s">
        <v>26</v>
      </c>
      <c r="R6" s="4">
        <v>0</v>
      </c>
      <c r="S6" s="4" t="s">
        <v>93</v>
      </c>
      <c r="T6" s="4" t="s">
        <v>262</v>
      </c>
      <c r="U6" s="4">
        <v>0</v>
      </c>
      <c r="V6" s="4">
        <v>8</v>
      </c>
      <c r="W6" s="4">
        <v>51</v>
      </c>
    </row>
    <row r="7" spans="1:23" ht="11.25" customHeight="1" x14ac:dyDescent="0.25">
      <c r="A7" s="4" t="s">
        <v>21</v>
      </c>
      <c r="B7" s="4" t="s">
        <v>34</v>
      </c>
      <c r="C7" s="4" t="s">
        <v>35</v>
      </c>
      <c r="D7" s="4" t="s">
        <v>40</v>
      </c>
      <c r="E7" s="4" t="s">
        <v>25</v>
      </c>
      <c r="F7" s="4" t="s">
        <v>25</v>
      </c>
      <c r="G7" s="4" t="s">
        <v>25</v>
      </c>
      <c r="H7" s="4" t="s">
        <v>37</v>
      </c>
      <c r="I7" s="5">
        <v>44562</v>
      </c>
      <c r="J7" s="6">
        <v>0</v>
      </c>
      <c r="K7" s="6">
        <v>0</v>
      </c>
      <c r="L7" s="6">
        <v>18.125</v>
      </c>
      <c r="M7" s="6">
        <v>18.125</v>
      </c>
      <c r="N7" s="6">
        <v>18.125</v>
      </c>
      <c r="O7" s="6">
        <v>18.125</v>
      </c>
      <c r="P7" s="6">
        <v>0</v>
      </c>
      <c r="Q7" s="4" t="s">
        <v>26</v>
      </c>
      <c r="R7" s="4">
        <v>0</v>
      </c>
      <c r="S7" s="4" t="s">
        <v>94</v>
      </c>
      <c r="T7" s="4" t="s">
        <v>263</v>
      </c>
      <c r="U7" s="4">
        <v>0</v>
      </c>
      <c r="V7" s="4">
        <v>8</v>
      </c>
      <c r="W7" s="4">
        <v>51</v>
      </c>
    </row>
    <row r="8" spans="1:23" ht="11.25" customHeight="1" x14ac:dyDescent="0.25">
      <c r="A8" s="4" t="s">
        <v>21</v>
      </c>
      <c r="B8" s="4" t="s">
        <v>34</v>
      </c>
      <c r="C8" s="4" t="s">
        <v>35</v>
      </c>
      <c r="D8" s="4" t="s">
        <v>40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44593</v>
      </c>
      <c r="J8" s="6">
        <v>0</v>
      </c>
      <c r="K8" s="6">
        <v>0</v>
      </c>
      <c r="L8" s="6">
        <v>19.335999999999999</v>
      </c>
      <c r="M8" s="6">
        <v>19.335999999999999</v>
      </c>
      <c r="N8" s="6">
        <v>19.335999999999999</v>
      </c>
      <c r="O8" s="6">
        <v>19.335999999999999</v>
      </c>
      <c r="P8" s="6">
        <v>0</v>
      </c>
      <c r="Q8" s="4" t="s">
        <v>26</v>
      </c>
      <c r="R8" s="4">
        <v>0</v>
      </c>
      <c r="S8" s="4" t="s">
        <v>95</v>
      </c>
      <c r="T8" s="4" t="s">
        <v>264</v>
      </c>
      <c r="U8" s="4">
        <v>0</v>
      </c>
      <c r="V8" s="4">
        <v>8</v>
      </c>
      <c r="W8" s="4">
        <v>51</v>
      </c>
    </row>
    <row r="9" spans="1:23" ht="11.25" customHeight="1" x14ac:dyDescent="0.25">
      <c r="A9" s="4" t="s">
        <v>21</v>
      </c>
      <c r="B9" s="4" t="s">
        <v>34</v>
      </c>
      <c r="C9" s="4" t="s">
        <v>35</v>
      </c>
      <c r="D9" s="4" t="s">
        <v>40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44621</v>
      </c>
      <c r="J9" s="6">
        <v>0</v>
      </c>
      <c r="K9" s="6">
        <v>0</v>
      </c>
      <c r="L9" s="6">
        <v>22.722999999999999</v>
      </c>
      <c r="M9" s="6">
        <v>22.722999999999999</v>
      </c>
      <c r="N9" s="6">
        <v>22.722999999999999</v>
      </c>
      <c r="O9" s="6">
        <v>22.722999999999999</v>
      </c>
      <c r="P9" s="6">
        <v>0</v>
      </c>
      <c r="Q9" s="4" t="s">
        <v>26</v>
      </c>
      <c r="R9" s="4">
        <v>0</v>
      </c>
      <c r="S9" s="4" t="s">
        <v>96</v>
      </c>
      <c r="T9" s="4" t="s">
        <v>265</v>
      </c>
      <c r="U9" s="4">
        <v>0</v>
      </c>
      <c r="V9" s="4">
        <v>8</v>
      </c>
      <c r="W9" s="4">
        <v>51</v>
      </c>
    </row>
    <row r="10" spans="1:23" ht="11.25" customHeight="1" x14ac:dyDescent="0.25">
      <c r="A10" s="4" t="s">
        <v>21</v>
      </c>
      <c r="B10" s="4" t="s">
        <v>34</v>
      </c>
      <c r="C10" s="4" t="s">
        <v>35</v>
      </c>
      <c r="D10" s="4" t="s">
        <v>40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44652</v>
      </c>
      <c r="J10" s="6">
        <v>0</v>
      </c>
      <c r="K10" s="6">
        <v>0</v>
      </c>
      <c r="L10" s="6">
        <v>19.21</v>
      </c>
      <c r="M10" s="6">
        <v>19.21</v>
      </c>
      <c r="N10" s="6">
        <v>19.21</v>
      </c>
      <c r="O10" s="6">
        <v>19.21</v>
      </c>
      <c r="P10" s="6">
        <v>0</v>
      </c>
      <c r="Q10" s="4" t="s">
        <v>26</v>
      </c>
      <c r="R10" s="4">
        <v>0</v>
      </c>
      <c r="S10" s="4" t="s">
        <v>97</v>
      </c>
      <c r="T10" s="4" t="s">
        <v>266</v>
      </c>
      <c r="U10" s="4">
        <v>0</v>
      </c>
      <c r="V10" s="4">
        <v>8</v>
      </c>
      <c r="W10" s="4">
        <v>51</v>
      </c>
    </row>
    <row r="11" spans="1:23" ht="11.25" customHeight="1" x14ac:dyDescent="0.25">
      <c r="A11" s="4" t="s">
        <v>21</v>
      </c>
      <c r="B11" s="4" t="s">
        <v>34</v>
      </c>
      <c r="C11" s="4" t="s">
        <v>35</v>
      </c>
      <c r="D11" s="4" t="s">
        <v>40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44682</v>
      </c>
      <c r="J11" s="6">
        <v>0</v>
      </c>
      <c r="K11" s="6">
        <v>0</v>
      </c>
      <c r="L11" s="6">
        <v>21.516999999999999</v>
      </c>
      <c r="M11" s="6">
        <v>21.516999999999999</v>
      </c>
      <c r="N11" s="6">
        <v>21.516999999999999</v>
      </c>
      <c r="O11" s="6">
        <v>21.516999999999999</v>
      </c>
      <c r="P11" s="6">
        <v>0</v>
      </c>
      <c r="Q11" s="4" t="s">
        <v>26</v>
      </c>
      <c r="R11" s="4">
        <v>0</v>
      </c>
      <c r="S11" s="4" t="s">
        <v>98</v>
      </c>
      <c r="T11" s="4" t="s">
        <v>267</v>
      </c>
      <c r="U11" s="4">
        <v>0</v>
      </c>
      <c r="V11" s="4">
        <v>8</v>
      </c>
      <c r="W11" s="4">
        <v>51</v>
      </c>
    </row>
    <row r="12" spans="1:23" ht="11.25" customHeight="1" x14ac:dyDescent="0.25">
      <c r="A12" s="4" t="s">
        <v>21</v>
      </c>
      <c r="B12" s="4" t="s">
        <v>34</v>
      </c>
      <c r="C12" s="4" t="s">
        <v>35</v>
      </c>
      <c r="D12" s="4" t="s">
        <v>40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44713</v>
      </c>
      <c r="J12" s="6">
        <v>0</v>
      </c>
      <c r="K12" s="6">
        <v>0</v>
      </c>
      <c r="L12" s="6">
        <v>20.657</v>
      </c>
      <c r="M12" s="6">
        <v>20.657</v>
      </c>
      <c r="N12" s="6">
        <v>20.657</v>
      </c>
      <c r="O12" s="6">
        <v>20.657</v>
      </c>
      <c r="P12" s="6">
        <v>0</v>
      </c>
      <c r="Q12" s="4" t="s">
        <v>26</v>
      </c>
      <c r="R12" s="4">
        <v>0</v>
      </c>
      <c r="S12" s="4" t="s">
        <v>99</v>
      </c>
      <c r="T12" s="4" t="s">
        <v>268</v>
      </c>
      <c r="U12" s="4">
        <v>0</v>
      </c>
      <c r="V12" s="4">
        <v>8</v>
      </c>
      <c r="W12" s="4">
        <v>51</v>
      </c>
    </row>
    <row r="13" spans="1:23" ht="11.25" customHeight="1" x14ac:dyDescent="0.25">
      <c r="A13" s="4" t="s">
        <v>21</v>
      </c>
      <c r="B13" s="4" t="s">
        <v>34</v>
      </c>
      <c r="C13" s="4" t="s">
        <v>35</v>
      </c>
      <c r="D13" s="4" t="s">
        <v>40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44743</v>
      </c>
      <c r="J13" s="6">
        <v>0</v>
      </c>
      <c r="K13" s="6">
        <v>0</v>
      </c>
      <c r="L13" s="6">
        <v>20.9</v>
      </c>
      <c r="M13" s="6">
        <v>20.9</v>
      </c>
      <c r="N13" s="6">
        <v>20.9</v>
      </c>
      <c r="O13" s="6">
        <v>20.9</v>
      </c>
      <c r="P13" s="6">
        <v>0</v>
      </c>
      <c r="Q13" s="4" t="s">
        <v>26</v>
      </c>
      <c r="R13" s="4">
        <v>0</v>
      </c>
      <c r="S13" s="4" t="s">
        <v>100</v>
      </c>
      <c r="T13" s="4" t="s">
        <v>269</v>
      </c>
      <c r="U13" s="4">
        <v>0</v>
      </c>
      <c r="V13" s="4">
        <v>8</v>
      </c>
      <c r="W13" s="4">
        <v>51</v>
      </c>
    </row>
    <row r="14" spans="1:23" ht="11.25" customHeight="1" x14ac:dyDescent="0.25">
      <c r="A14" s="4" t="s">
        <v>21</v>
      </c>
      <c r="B14" s="4" t="s">
        <v>34</v>
      </c>
      <c r="C14" s="4" t="s">
        <v>35</v>
      </c>
      <c r="D14" s="4" t="s">
        <v>40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44409</v>
      </c>
      <c r="J14" s="6">
        <v>267</v>
      </c>
      <c r="K14" s="6">
        <v>267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4" t="s">
        <v>26</v>
      </c>
      <c r="R14" s="4">
        <v>0</v>
      </c>
      <c r="S14" s="4" t="s">
        <v>101</v>
      </c>
      <c r="U14" s="4">
        <v>6</v>
      </c>
      <c r="V14" s="4">
        <v>0</v>
      </c>
      <c r="W14" s="4">
        <v>0</v>
      </c>
    </row>
    <row r="15" spans="1:23" ht="11.25" customHeight="1" x14ac:dyDescent="0.25">
      <c r="A15" s="4" t="s">
        <v>21</v>
      </c>
      <c r="B15" s="4" t="s">
        <v>34</v>
      </c>
      <c r="C15" s="4" t="s">
        <v>35</v>
      </c>
      <c r="D15" s="4" t="s">
        <v>40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44440</v>
      </c>
      <c r="J15" s="6">
        <v>294</v>
      </c>
      <c r="K15" s="6">
        <v>294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4" t="s">
        <v>26</v>
      </c>
      <c r="R15" s="4">
        <v>0</v>
      </c>
      <c r="S15" s="4" t="s">
        <v>102</v>
      </c>
      <c r="U15" s="4">
        <v>6</v>
      </c>
      <c r="V15" s="4">
        <v>0</v>
      </c>
      <c r="W15" s="4">
        <v>0</v>
      </c>
    </row>
    <row r="16" spans="1:23" ht="11.25" customHeight="1" x14ac:dyDescent="0.25">
      <c r="A16" s="4" t="s">
        <v>21</v>
      </c>
      <c r="B16" s="4" t="s">
        <v>34</v>
      </c>
      <c r="C16" s="4" t="s">
        <v>35</v>
      </c>
      <c r="D16" s="4" t="s">
        <v>40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44470</v>
      </c>
      <c r="J16" s="6">
        <v>180</v>
      </c>
      <c r="K16" s="6">
        <v>180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4" t="s">
        <v>26</v>
      </c>
      <c r="R16" s="4">
        <v>0</v>
      </c>
      <c r="S16" s="4" t="s">
        <v>103</v>
      </c>
      <c r="U16" s="4">
        <v>6</v>
      </c>
      <c r="V16" s="4">
        <v>0</v>
      </c>
      <c r="W16" s="4">
        <v>0</v>
      </c>
    </row>
    <row r="17" spans="1:23" ht="11.25" customHeight="1" x14ac:dyDescent="0.25">
      <c r="A17" s="4" t="s">
        <v>21</v>
      </c>
      <c r="B17" s="4" t="s">
        <v>34</v>
      </c>
      <c r="C17" s="4" t="s">
        <v>35</v>
      </c>
      <c r="D17" s="4" t="s">
        <v>40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44501</v>
      </c>
      <c r="J17" s="6">
        <v>221</v>
      </c>
      <c r="K17" s="6">
        <v>221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4" t="s">
        <v>26</v>
      </c>
      <c r="R17" s="4">
        <v>0</v>
      </c>
      <c r="S17" s="4" t="s">
        <v>104</v>
      </c>
      <c r="U17" s="4">
        <v>6</v>
      </c>
      <c r="V17" s="4">
        <v>0</v>
      </c>
      <c r="W17" s="4">
        <v>0</v>
      </c>
    </row>
    <row r="18" spans="1:23" ht="11.25" customHeight="1" x14ac:dyDescent="0.25">
      <c r="A18" s="4" t="s">
        <v>21</v>
      </c>
      <c r="B18" s="4" t="s">
        <v>34</v>
      </c>
      <c r="C18" s="4" t="s">
        <v>35</v>
      </c>
      <c r="D18" s="4" t="s">
        <v>40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44531</v>
      </c>
      <c r="J18" s="6">
        <v>166</v>
      </c>
      <c r="K18" s="6">
        <v>166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4" t="s">
        <v>105</v>
      </c>
      <c r="U18" s="4">
        <v>6</v>
      </c>
      <c r="V18" s="4">
        <v>0</v>
      </c>
      <c r="W18" s="4">
        <v>0</v>
      </c>
    </row>
    <row r="19" spans="1:23" ht="11.25" customHeight="1" x14ac:dyDescent="0.25">
      <c r="A19" s="4" t="s">
        <v>21</v>
      </c>
      <c r="B19" s="4" t="s">
        <v>34</v>
      </c>
      <c r="C19" s="4" t="s">
        <v>35</v>
      </c>
      <c r="D19" s="4" t="s">
        <v>40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44562</v>
      </c>
      <c r="J19" s="6">
        <v>125</v>
      </c>
      <c r="K19" s="6">
        <v>125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4" t="s">
        <v>106</v>
      </c>
      <c r="U19" s="4">
        <v>6</v>
      </c>
      <c r="V19" s="4">
        <v>0</v>
      </c>
      <c r="W19" s="4">
        <v>0</v>
      </c>
    </row>
    <row r="20" spans="1:23" ht="11.25" customHeight="1" x14ac:dyDescent="0.25">
      <c r="A20" s="4" t="s">
        <v>21</v>
      </c>
      <c r="B20" s="4" t="s">
        <v>34</v>
      </c>
      <c r="C20" s="4" t="s">
        <v>35</v>
      </c>
      <c r="D20" s="4" t="s">
        <v>40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44593</v>
      </c>
      <c r="J20" s="6">
        <v>148</v>
      </c>
      <c r="K20" s="6">
        <v>148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4" t="s">
        <v>107</v>
      </c>
      <c r="U20" s="4">
        <v>6</v>
      </c>
      <c r="V20" s="4">
        <v>0</v>
      </c>
      <c r="W20" s="4">
        <v>0</v>
      </c>
    </row>
    <row r="21" spans="1:23" ht="11.25" customHeight="1" x14ac:dyDescent="0.25">
      <c r="A21" s="4" t="s">
        <v>21</v>
      </c>
      <c r="B21" s="4" t="s">
        <v>34</v>
      </c>
      <c r="C21" s="4" t="s">
        <v>35</v>
      </c>
      <c r="D21" s="4" t="s">
        <v>40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44621</v>
      </c>
      <c r="J21" s="6">
        <v>158</v>
      </c>
      <c r="K21" s="6">
        <v>158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4" t="s">
        <v>108</v>
      </c>
      <c r="U21" s="4">
        <v>6</v>
      </c>
      <c r="V21" s="4">
        <v>0</v>
      </c>
      <c r="W21" s="4">
        <v>0</v>
      </c>
    </row>
    <row r="22" spans="1:23" ht="11.25" customHeight="1" x14ac:dyDescent="0.25">
      <c r="A22" s="4" t="s">
        <v>21</v>
      </c>
      <c r="B22" s="4" t="s">
        <v>34</v>
      </c>
      <c r="C22" s="4" t="s">
        <v>35</v>
      </c>
      <c r="D22" s="4" t="s">
        <v>40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44652</v>
      </c>
      <c r="J22" s="6">
        <v>142</v>
      </c>
      <c r="K22" s="6">
        <v>142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4" t="s">
        <v>109</v>
      </c>
      <c r="U22" s="4">
        <v>6</v>
      </c>
      <c r="V22" s="4">
        <v>0</v>
      </c>
      <c r="W22" s="4">
        <v>0</v>
      </c>
    </row>
    <row r="23" spans="1:23" ht="11.25" customHeight="1" x14ac:dyDescent="0.25">
      <c r="A23" s="4" t="s">
        <v>21</v>
      </c>
      <c r="B23" s="4" t="s">
        <v>34</v>
      </c>
      <c r="C23" s="4" t="s">
        <v>35</v>
      </c>
      <c r="D23" s="4" t="s">
        <v>40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44682</v>
      </c>
      <c r="J23" s="6">
        <v>142</v>
      </c>
      <c r="K23" s="6">
        <v>142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4" t="s">
        <v>110</v>
      </c>
      <c r="U23" s="4">
        <v>6</v>
      </c>
      <c r="V23" s="4">
        <v>0</v>
      </c>
      <c r="W23" s="4">
        <v>0</v>
      </c>
    </row>
    <row r="24" spans="1:23" ht="11.25" customHeight="1" x14ac:dyDescent="0.25">
      <c r="A24" s="4" t="s">
        <v>21</v>
      </c>
      <c r="B24" s="4" t="s">
        <v>34</v>
      </c>
      <c r="C24" s="4" t="s">
        <v>35</v>
      </c>
      <c r="D24" s="4" t="s">
        <v>40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44713</v>
      </c>
      <c r="J24" s="6">
        <v>172</v>
      </c>
      <c r="K24" s="6">
        <v>172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4" t="s">
        <v>111</v>
      </c>
      <c r="U24" s="4">
        <v>6</v>
      </c>
      <c r="V24" s="4">
        <v>0</v>
      </c>
      <c r="W24" s="4">
        <v>0</v>
      </c>
    </row>
    <row r="25" spans="1:23" ht="11.25" customHeight="1" x14ac:dyDescent="0.25">
      <c r="A25" s="4" t="s">
        <v>21</v>
      </c>
      <c r="B25" s="4" t="s">
        <v>34</v>
      </c>
      <c r="C25" s="4" t="s">
        <v>35</v>
      </c>
      <c r="D25" s="4" t="s">
        <v>40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44743</v>
      </c>
      <c r="J25" s="6">
        <v>153</v>
      </c>
      <c r="K25" s="6">
        <v>153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4" t="s">
        <v>112</v>
      </c>
      <c r="U25" s="4">
        <v>6</v>
      </c>
      <c r="V25" s="4">
        <v>0</v>
      </c>
      <c r="W25" s="4">
        <v>0</v>
      </c>
    </row>
    <row r="26" spans="1:23" ht="11.25" customHeight="1" x14ac:dyDescent="0.25">
      <c r="A26" s="4" t="s">
        <v>21</v>
      </c>
      <c r="B26" s="4" t="s">
        <v>34</v>
      </c>
      <c r="C26" s="4" t="s">
        <v>35</v>
      </c>
      <c r="D26" s="4" t="s">
        <v>40</v>
      </c>
      <c r="E26" s="4" t="s">
        <v>25</v>
      </c>
      <c r="F26" s="4" t="s">
        <v>25</v>
      </c>
      <c r="G26" s="4" t="s">
        <v>25</v>
      </c>
      <c r="H26" s="4" t="s">
        <v>36</v>
      </c>
      <c r="I26" s="5">
        <v>44409</v>
      </c>
      <c r="J26" s="6">
        <v>0</v>
      </c>
      <c r="K26" s="6">
        <v>0</v>
      </c>
      <c r="L26" s="6">
        <v>2.5379999999999998</v>
      </c>
      <c r="M26" s="6">
        <v>2.5379999999999998</v>
      </c>
      <c r="N26" s="6">
        <v>2.5379999999999998</v>
      </c>
      <c r="O26" s="6">
        <v>2.5379999999999998</v>
      </c>
      <c r="P26" s="6">
        <v>0</v>
      </c>
      <c r="Q26" s="4" t="s">
        <v>26</v>
      </c>
      <c r="R26" s="4">
        <v>0</v>
      </c>
      <c r="S26" s="4" t="s">
        <v>113</v>
      </c>
      <c r="T26" s="4" t="s">
        <v>274</v>
      </c>
      <c r="U26" s="4">
        <v>0</v>
      </c>
      <c r="V26" s="4">
        <v>7</v>
      </c>
      <c r="W26" s="4">
        <v>50</v>
      </c>
    </row>
    <row r="27" spans="1:23" ht="11.25" customHeight="1" x14ac:dyDescent="0.25">
      <c r="A27" s="4" t="s">
        <v>21</v>
      </c>
      <c r="B27" s="4" t="s">
        <v>34</v>
      </c>
      <c r="C27" s="4" t="s">
        <v>35</v>
      </c>
      <c r="D27" s="4" t="s">
        <v>40</v>
      </c>
      <c r="E27" s="4" t="s">
        <v>25</v>
      </c>
      <c r="F27" s="4" t="s">
        <v>25</v>
      </c>
      <c r="G27" s="4" t="s">
        <v>25</v>
      </c>
      <c r="H27" s="4" t="s">
        <v>36</v>
      </c>
      <c r="I27" s="5">
        <v>44440</v>
      </c>
      <c r="J27" s="6">
        <v>0</v>
      </c>
      <c r="K27" s="6">
        <v>0</v>
      </c>
      <c r="L27" s="6">
        <v>2.5840000000000001</v>
      </c>
      <c r="M27" s="6">
        <v>2.5840000000000001</v>
      </c>
      <c r="N27" s="6">
        <v>2.5840000000000001</v>
      </c>
      <c r="O27" s="6">
        <v>2.5840000000000001</v>
      </c>
      <c r="P27" s="6">
        <v>0</v>
      </c>
      <c r="Q27" s="4" t="s">
        <v>26</v>
      </c>
      <c r="R27" s="4">
        <v>0</v>
      </c>
      <c r="S27" s="4" t="s">
        <v>114</v>
      </c>
      <c r="T27" s="4" t="s">
        <v>275</v>
      </c>
      <c r="U27" s="4">
        <v>0</v>
      </c>
      <c r="V27" s="4">
        <v>7</v>
      </c>
      <c r="W27" s="4">
        <v>50</v>
      </c>
    </row>
    <row r="28" spans="1:23" ht="11.25" customHeight="1" x14ac:dyDescent="0.25">
      <c r="A28" s="4" t="s">
        <v>21</v>
      </c>
      <c r="B28" s="4" t="s">
        <v>34</v>
      </c>
      <c r="C28" s="4" t="s">
        <v>35</v>
      </c>
      <c r="D28" s="4" t="s">
        <v>40</v>
      </c>
      <c r="E28" s="4" t="s">
        <v>25</v>
      </c>
      <c r="F28" s="4" t="s">
        <v>25</v>
      </c>
      <c r="G28" s="4" t="s">
        <v>25</v>
      </c>
      <c r="H28" s="4" t="s">
        <v>36</v>
      </c>
      <c r="I28" s="5">
        <v>44470</v>
      </c>
      <c r="J28" s="6">
        <v>0</v>
      </c>
      <c r="K28" s="6">
        <v>0</v>
      </c>
      <c r="L28" s="6">
        <v>2.46</v>
      </c>
      <c r="M28" s="6">
        <v>2.46</v>
      </c>
      <c r="N28" s="6">
        <v>2.46</v>
      </c>
      <c r="O28" s="6">
        <v>2.46</v>
      </c>
      <c r="P28" s="6">
        <v>0</v>
      </c>
      <c r="Q28" s="4" t="s">
        <v>26</v>
      </c>
      <c r="R28" s="4">
        <v>0</v>
      </c>
      <c r="S28" s="4" t="s">
        <v>115</v>
      </c>
      <c r="T28" s="4" t="s">
        <v>276</v>
      </c>
      <c r="U28" s="4">
        <v>0</v>
      </c>
      <c r="V28" s="4">
        <v>7</v>
      </c>
      <c r="W28" s="4">
        <v>50</v>
      </c>
    </row>
    <row r="29" spans="1:23" ht="11.25" customHeight="1" x14ac:dyDescent="0.25">
      <c r="A29" s="4" t="s">
        <v>21</v>
      </c>
      <c r="B29" s="4" t="s">
        <v>34</v>
      </c>
      <c r="C29" s="4" t="s">
        <v>35</v>
      </c>
      <c r="D29" s="4" t="s">
        <v>40</v>
      </c>
      <c r="E29" s="4" t="s">
        <v>25</v>
      </c>
      <c r="F29" s="4" t="s">
        <v>25</v>
      </c>
      <c r="G29" s="4" t="s">
        <v>25</v>
      </c>
      <c r="H29" s="4" t="s">
        <v>36</v>
      </c>
      <c r="I29" s="5">
        <v>44501</v>
      </c>
      <c r="J29" s="6">
        <v>0</v>
      </c>
      <c r="K29" s="6">
        <v>0</v>
      </c>
      <c r="L29" s="6">
        <v>2.6739999999999999</v>
      </c>
      <c r="M29" s="6">
        <v>2.6739999999999999</v>
      </c>
      <c r="N29" s="6">
        <v>2.6739999999999999</v>
      </c>
      <c r="O29" s="6">
        <v>2.6739999999999999</v>
      </c>
      <c r="P29" s="6">
        <v>0</v>
      </c>
      <c r="Q29" s="4" t="s">
        <v>26</v>
      </c>
      <c r="R29" s="4">
        <v>0</v>
      </c>
      <c r="S29" s="4" t="s">
        <v>116</v>
      </c>
      <c r="T29" s="4" t="s">
        <v>277</v>
      </c>
      <c r="U29" s="4">
        <v>0</v>
      </c>
      <c r="V29" s="4">
        <v>7</v>
      </c>
      <c r="W29" s="4">
        <v>50</v>
      </c>
    </row>
    <row r="30" spans="1:23" ht="11.25" customHeight="1" x14ac:dyDescent="0.25">
      <c r="A30" s="4" t="s">
        <v>21</v>
      </c>
      <c r="B30" s="4" t="s">
        <v>34</v>
      </c>
      <c r="C30" s="4" t="s">
        <v>35</v>
      </c>
      <c r="D30" s="4" t="s">
        <v>40</v>
      </c>
      <c r="E30" s="4" t="s">
        <v>25</v>
      </c>
      <c r="F30" s="4" t="s">
        <v>25</v>
      </c>
      <c r="G30" s="4" t="s">
        <v>25</v>
      </c>
      <c r="H30" s="4" t="s">
        <v>36</v>
      </c>
      <c r="I30" s="5">
        <v>44531</v>
      </c>
      <c r="J30" s="6">
        <v>0</v>
      </c>
      <c r="K30" s="6">
        <v>0</v>
      </c>
      <c r="L30" s="6">
        <v>0.20300000000000001</v>
      </c>
      <c r="M30" s="6">
        <v>0.20300000000000001</v>
      </c>
      <c r="N30" s="6">
        <v>0.20300000000000001</v>
      </c>
      <c r="O30" s="6">
        <v>0.20300000000000001</v>
      </c>
      <c r="P30" s="6">
        <v>0</v>
      </c>
      <c r="Q30" s="4" t="s">
        <v>26</v>
      </c>
      <c r="R30" s="4">
        <v>0</v>
      </c>
      <c r="S30" s="4" t="s">
        <v>117</v>
      </c>
      <c r="T30" s="4" t="s">
        <v>278</v>
      </c>
      <c r="U30" s="4">
        <v>0</v>
      </c>
      <c r="V30" s="4">
        <v>7</v>
      </c>
      <c r="W30" s="4">
        <v>50</v>
      </c>
    </row>
    <row r="31" spans="1:23" ht="11.25" customHeight="1" x14ac:dyDescent="0.25">
      <c r="A31" s="4" t="s">
        <v>21</v>
      </c>
      <c r="B31" s="4" t="s">
        <v>34</v>
      </c>
      <c r="C31" s="4" t="s">
        <v>35</v>
      </c>
      <c r="D31" s="4" t="s">
        <v>40</v>
      </c>
      <c r="E31" s="4" t="s">
        <v>25</v>
      </c>
      <c r="F31" s="4" t="s">
        <v>25</v>
      </c>
      <c r="G31" s="4" t="s">
        <v>25</v>
      </c>
      <c r="H31" s="4" t="s">
        <v>36</v>
      </c>
      <c r="I31" s="5">
        <v>44562</v>
      </c>
      <c r="J31" s="6">
        <v>0</v>
      </c>
      <c r="K31" s="6">
        <v>0</v>
      </c>
      <c r="L31" s="6">
        <v>0.14000000000000001</v>
      </c>
      <c r="M31" s="6">
        <v>0.14000000000000001</v>
      </c>
      <c r="N31" s="6">
        <v>0.14000000000000001</v>
      </c>
      <c r="O31" s="6">
        <v>0.14000000000000001</v>
      </c>
      <c r="P31" s="6">
        <v>0</v>
      </c>
      <c r="Q31" s="4" t="s">
        <v>26</v>
      </c>
      <c r="R31" s="4">
        <v>0</v>
      </c>
      <c r="S31" s="4" t="s">
        <v>118</v>
      </c>
      <c r="T31" s="4" t="s">
        <v>279</v>
      </c>
      <c r="U31" s="4">
        <v>0</v>
      </c>
      <c r="V31" s="4">
        <v>7</v>
      </c>
      <c r="W31" s="4">
        <v>50</v>
      </c>
    </row>
    <row r="32" spans="1:23" ht="11.25" customHeight="1" x14ac:dyDescent="0.25">
      <c r="A32" s="4" t="s">
        <v>21</v>
      </c>
      <c r="B32" s="4" t="s">
        <v>34</v>
      </c>
      <c r="C32" s="4" t="s">
        <v>35</v>
      </c>
      <c r="D32" s="4" t="s">
        <v>40</v>
      </c>
      <c r="E32" s="4" t="s">
        <v>25</v>
      </c>
      <c r="F32" s="4" t="s">
        <v>25</v>
      </c>
      <c r="G32" s="4" t="s">
        <v>25</v>
      </c>
      <c r="H32" s="4" t="s">
        <v>36</v>
      </c>
      <c r="I32" s="5">
        <v>44593</v>
      </c>
      <c r="J32" s="6">
        <v>0</v>
      </c>
      <c r="K32" s="6">
        <v>0</v>
      </c>
      <c r="L32" s="6">
        <v>0.114</v>
      </c>
      <c r="M32" s="6">
        <v>0.114</v>
      </c>
      <c r="N32" s="6">
        <v>0.114</v>
      </c>
      <c r="O32" s="6">
        <v>0.114</v>
      </c>
      <c r="P32" s="6">
        <v>0</v>
      </c>
      <c r="Q32" s="4" t="s">
        <v>26</v>
      </c>
      <c r="R32" s="4">
        <v>0</v>
      </c>
      <c r="S32" s="4" t="s">
        <v>119</v>
      </c>
      <c r="T32" s="4" t="s">
        <v>280</v>
      </c>
      <c r="U32" s="4">
        <v>0</v>
      </c>
      <c r="V32" s="4">
        <v>7</v>
      </c>
      <c r="W32" s="4">
        <v>50</v>
      </c>
    </row>
    <row r="33" spans="1:23" ht="11.25" customHeight="1" x14ac:dyDescent="0.25">
      <c r="A33" s="4" t="s">
        <v>21</v>
      </c>
      <c r="B33" s="4" t="s">
        <v>34</v>
      </c>
      <c r="C33" s="4" t="s">
        <v>35</v>
      </c>
      <c r="D33" s="4" t="s">
        <v>40</v>
      </c>
      <c r="E33" s="4" t="s">
        <v>25</v>
      </c>
      <c r="F33" s="4" t="s">
        <v>25</v>
      </c>
      <c r="G33" s="4" t="s">
        <v>25</v>
      </c>
      <c r="H33" s="4" t="s">
        <v>36</v>
      </c>
      <c r="I33" s="5">
        <v>44621</v>
      </c>
      <c r="J33" s="6">
        <v>0</v>
      </c>
      <c r="K33" s="6">
        <v>0</v>
      </c>
      <c r="L33" s="6">
        <v>0.184</v>
      </c>
      <c r="M33" s="6">
        <v>0.184</v>
      </c>
      <c r="N33" s="6">
        <v>0.184</v>
      </c>
      <c r="O33" s="6">
        <v>0.184</v>
      </c>
      <c r="P33" s="6">
        <v>0</v>
      </c>
      <c r="Q33" s="4" t="s">
        <v>26</v>
      </c>
      <c r="R33" s="4">
        <v>0</v>
      </c>
      <c r="S33" s="4" t="s">
        <v>120</v>
      </c>
      <c r="T33" s="4" t="s">
        <v>281</v>
      </c>
      <c r="U33" s="4">
        <v>0</v>
      </c>
      <c r="V33" s="4">
        <v>7</v>
      </c>
      <c r="W33" s="4">
        <v>50</v>
      </c>
    </row>
    <row r="34" spans="1:23" ht="11.25" customHeight="1" x14ac:dyDescent="0.25">
      <c r="A34" s="4" t="s">
        <v>21</v>
      </c>
      <c r="B34" s="4" t="s">
        <v>34</v>
      </c>
      <c r="C34" s="4" t="s">
        <v>35</v>
      </c>
      <c r="D34" s="4" t="s">
        <v>40</v>
      </c>
      <c r="E34" s="4" t="s">
        <v>25</v>
      </c>
      <c r="F34" s="4" t="s">
        <v>25</v>
      </c>
      <c r="G34" s="4" t="s">
        <v>25</v>
      </c>
      <c r="H34" s="4" t="s">
        <v>36</v>
      </c>
      <c r="I34" s="5">
        <v>44652</v>
      </c>
      <c r="J34" s="6">
        <v>0</v>
      </c>
      <c r="K34" s="6">
        <v>0</v>
      </c>
      <c r="L34" s="6">
        <v>0.17899999999999999</v>
      </c>
      <c r="M34" s="6">
        <v>0.17899999999999999</v>
      </c>
      <c r="N34" s="6">
        <v>0.17899999999999999</v>
      </c>
      <c r="O34" s="6">
        <v>0.17899999999999999</v>
      </c>
      <c r="P34" s="6">
        <v>0</v>
      </c>
      <c r="Q34" s="4" t="s">
        <v>26</v>
      </c>
      <c r="R34" s="4">
        <v>0</v>
      </c>
      <c r="S34" s="4" t="s">
        <v>121</v>
      </c>
      <c r="T34" s="4" t="s">
        <v>282</v>
      </c>
      <c r="U34" s="4">
        <v>0</v>
      </c>
      <c r="V34" s="4">
        <v>7</v>
      </c>
      <c r="W34" s="4">
        <v>50</v>
      </c>
    </row>
    <row r="35" spans="1:23" ht="11.25" customHeight="1" x14ac:dyDescent="0.25">
      <c r="A35" s="4" t="s">
        <v>21</v>
      </c>
      <c r="B35" s="4" t="s">
        <v>34</v>
      </c>
      <c r="C35" s="4" t="s">
        <v>35</v>
      </c>
      <c r="D35" s="4" t="s">
        <v>40</v>
      </c>
      <c r="E35" s="4" t="s">
        <v>25</v>
      </c>
      <c r="F35" s="4" t="s">
        <v>25</v>
      </c>
      <c r="G35" s="4" t="s">
        <v>25</v>
      </c>
      <c r="H35" s="4" t="s">
        <v>36</v>
      </c>
      <c r="I35" s="5">
        <v>44682</v>
      </c>
      <c r="J35" s="6">
        <v>0</v>
      </c>
      <c r="K35" s="6">
        <v>0</v>
      </c>
      <c r="L35" s="6">
        <v>0.17299999999999999</v>
      </c>
      <c r="M35" s="6">
        <v>0.17299999999999999</v>
      </c>
      <c r="N35" s="6">
        <v>0.17299999999999999</v>
      </c>
      <c r="O35" s="6">
        <v>0.17299999999999999</v>
      </c>
      <c r="P35" s="6">
        <v>0</v>
      </c>
      <c r="Q35" s="4" t="s">
        <v>26</v>
      </c>
      <c r="R35" s="4">
        <v>0</v>
      </c>
      <c r="S35" s="4" t="s">
        <v>122</v>
      </c>
      <c r="T35" s="4" t="s">
        <v>283</v>
      </c>
      <c r="U35" s="4">
        <v>0</v>
      </c>
      <c r="V35" s="4">
        <v>7</v>
      </c>
      <c r="W35" s="4">
        <v>50</v>
      </c>
    </row>
    <row r="36" spans="1:23" ht="11.25" customHeight="1" x14ac:dyDescent="0.25">
      <c r="A36" s="4" t="s">
        <v>21</v>
      </c>
      <c r="B36" s="4" t="s">
        <v>34</v>
      </c>
      <c r="C36" s="4" t="s">
        <v>35</v>
      </c>
      <c r="D36" s="4" t="s">
        <v>40</v>
      </c>
      <c r="E36" s="4" t="s">
        <v>25</v>
      </c>
      <c r="F36" s="4" t="s">
        <v>25</v>
      </c>
      <c r="G36" s="4" t="s">
        <v>25</v>
      </c>
      <c r="H36" s="4" t="s">
        <v>36</v>
      </c>
      <c r="I36" s="5">
        <v>44713</v>
      </c>
      <c r="J36" s="6">
        <v>0</v>
      </c>
      <c r="K36" s="6">
        <v>0</v>
      </c>
      <c r="L36" s="6">
        <v>0.32100000000000001</v>
      </c>
      <c r="M36" s="6">
        <v>0.32100000000000001</v>
      </c>
      <c r="N36" s="6">
        <v>0.32100000000000001</v>
      </c>
      <c r="O36" s="6">
        <v>0.32100000000000001</v>
      </c>
      <c r="P36" s="6">
        <v>0</v>
      </c>
      <c r="Q36" s="4" t="s">
        <v>26</v>
      </c>
      <c r="R36" s="4">
        <v>0</v>
      </c>
      <c r="S36" s="4" t="s">
        <v>123</v>
      </c>
      <c r="T36" s="4" t="s">
        <v>284</v>
      </c>
      <c r="U36" s="4">
        <v>0</v>
      </c>
      <c r="V36" s="4">
        <v>7</v>
      </c>
      <c r="W36" s="4">
        <v>50</v>
      </c>
    </row>
    <row r="37" spans="1:23" ht="11.25" customHeight="1" x14ac:dyDescent="0.25">
      <c r="A37" s="4" t="s">
        <v>21</v>
      </c>
      <c r="B37" s="4" t="s">
        <v>34</v>
      </c>
      <c r="C37" s="4" t="s">
        <v>35</v>
      </c>
      <c r="D37" s="4" t="s">
        <v>40</v>
      </c>
      <c r="E37" s="4" t="s">
        <v>25</v>
      </c>
      <c r="F37" s="4" t="s">
        <v>25</v>
      </c>
      <c r="G37" s="4" t="s">
        <v>25</v>
      </c>
      <c r="H37" s="4" t="s">
        <v>36</v>
      </c>
      <c r="I37" s="5">
        <v>44743</v>
      </c>
      <c r="J37" s="6">
        <v>0</v>
      </c>
      <c r="K37" s="6">
        <v>0</v>
      </c>
      <c r="L37" s="6">
        <v>0.45300000000000001</v>
      </c>
      <c r="M37" s="6">
        <v>0.45300000000000001</v>
      </c>
      <c r="N37" s="6">
        <v>0.45300000000000001</v>
      </c>
      <c r="O37" s="6">
        <v>0.45300000000000001</v>
      </c>
      <c r="P37" s="6">
        <v>0</v>
      </c>
      <c r="Q37" s="4" t="s">
        <v>26</v>
      </c>
      <c r="R37" s="4">
        <v>0</v>
      </c>
      <c r="S37" s="4" t="s">
        <v>124</v>
      </c>
      <c r="T37" s="4" t="s">
        <v>285</v>
      </c>
      <c r="U37" s="4">
        <v>0</v>
      </c>
      <c r="V37" s="4">
        <v>7</v>
      </c>
      <c r="W37" s="4">
        <v>50</v>
      </c>
    </row>
    <row r="38" spans="1:23" ht="11.25" customHeight="1" x14ac:dyDescent="0.25">
      <c r="A38" s="4" t="s">
        <v>21</v>
      </c>
      <c r="B38" s="4" t="s">
        <v>34</v>
      </c>
      <c r="C38" s="4" t="s">
        <v>35</v>
      </c>
      <c r="D38" s="4" t="s">
        <v>33</v>
      </c>
      <c r="E38" s="4" t="s">
        <v>25</v>
      </c>
      <c r="F38" s="4" t="s">
        <v>50</v>
      </c>
      <c r="G38" s="4" t="s">
        <v>25</v>
      </c>
      <c r="H38" s="4" t="s">
        <v>37</v>
      </c>
      <c r="I38" s="5">
        <v>44409</v>
      </c>
      <c r="J38" s="6">
        <v>0</v>
      </c>
      <c r="K38" s="6">
        <v>0</v>
      </c>
      <c r="L38" s="6">
        <v>399.43</v>
      </c>
      <c r="M38" s="6">
        <v>399.43</v>
      </c>
      <c r="N38" s="6">
        <v>0</v>
      </c>
      <c r="O38" s="6">
        <v>0</v>
      </c>
      <c r="P38" s="6">
        <v>0</v>
      </c>
      <c r="Q38" s="4" t="s">
        <v>51</v>
      </c>
      <c r="R38" s="4">
        <v>0</v>
      </c>
      <c r="S38" s="4" t="s">
        <v>89</v>
      </c>
      <c r="U38" s="4">
        <v>0</v>
      </c>
      <c r="V38" s="4">
        <v>8</v>
      </c>
      <c r="W38" s="4">
        <v>0</v>
      </c>
    </row>
    <row r="39" spans="1:23" ht="11.25" customHeight="1" x14ac:dyDescent="0.25">
      <c r="A39" s="4" t="s">
        <v>21</v>
      </c>
      <c r="B39" s="4" t="s">
        <v>34</v>
      </c>
      <c r="C39" s="4" t="s">
        <v>35</v>
      </c>
      <c r="D39" s="4" t="s">
        <v>33</v>
      </c>
      <c r="E39" s="4" t="s">
        <v>25</v>
      </c>
      <c r="F39" s="4" t="s">
        <v>50</v>
      </c>
      <c r="G39" s="4" t="s">
        <v>25</v>
      </c>
      <c r="H39" s="4" t="s">
        <v>37</v>
      </c>
      <c r="I39" s="5">
        <v>44440</v>
      </c>
      <c r="J39" s="6">
        <v>0</v>
      </c>
      <c r="K39" s="6">
        <v>0</v>
      </c>
      <c r="L39" s="6">
        <v>374.197</v>
      </c>
      <c r="M39" s="6">
        <v>374.197</v>
      </c>
      <c r="N39" s="6">
        <v>0</v>
      </c>
      <c r="O39" s="6">
        <v>0</v>
      </c>
      <c r="P39" s="6">
        <v>0</v>
      </c>
      <c r="Q39" s="4" t="s">
        <v>51</v>
      </c>
      <c r="R39" s="4">
        <v>0</v>
      </c>
      <c r="S39" s="4" t="s">
        <v>90</v>
      </c>
      <c r="U39" s="4">
        <v>0</v>
      </c>
      <c r="V39" s="4">
        <v>8</v>
      </c>
      <c r="W39" s="4">
        <v>0</v>
      </c>
    </row>
    <row r="40" spans="1:23" ht="11.25" customHeight="1" x14ac:dyDescent="0.25">
      <c r="A40" s="4" t="s">
        <v>21</v>
      </c>
      <c r="B40" s="4" t="s">
        <v>34</v>
      </c>
      <c r="C40" s="4" t="s">
        <v>35</v>
      </c>
      <c r="D40" s="4" t="s">
        <v>33</v>
      </c>
      <c r="E40" s="4" t="s">
        <v>25</v>
      </c>
      <c r="F40" s="4" t="s">
        <v>50</v>
      </c>
      <c r="G40" s="4" t="s">
        <v>25</v>
      </c>
      <c r="H40" s="4" t="s">
        <v>37</v>
      </c>
      <c r="I40" s="5">
        <v>44470</v>
      </c>
      <c r="J40" s="6">
        <v>0</v>
      </c>
      <c r="K40" s="6">
        <v>0</v>
      </c>
      <c r="L40" s="6">
        <v>383.92899999999997</v>
      </c>
      <c r="M40" s="6">
        <v>383.92899999999997</v>
      </c>
      <c r="N40" s="6">
        <v>0</v>
      </c>
      <c r="O40" s="6">
        <v>0</v>
      </c>
      <c r="P40" s="6">
        <v>0</v>
      </c>
      <c r="Q40" s="4" t="s">
        <v>51</v>
      </c>
      <c r="R40" s="4">
        <v>0</v>
      </c>
      <c r="S40" s="4" t="s">
        <v>91</v>
      </c>
      <c r="U40" s="4">
        <v>0</v>
      </c>
      <c r="V40" s="4">
        <v>8</v>
      </c>
      <c r="W40" s="4">
        <v>0</v>
      </c>
    </row>
    <row r="41" spans="1:23" ht="11.25" customHeight="1" x14ac:dyDescent="0.25">
      <c r="A41" s="4" t="s">
        <v>21</v>
      </c>
      <c r="B41" s="4" t="s">
        <v>34</v>
      </c>
      <c r="C41" s="4" t="s">
        <v>35</v>
      </c>
      <c r="D41" s="4" t="s">
        <v>33</v>
      </c>
      <c r="E41" s="4" t="s">
        <v>25</v>
      </c>
      <c r="F41" s="4" t="s">
        <v>50</v>
      </c>
      <c r="G41" s="4" t="s">
        <v>25</v>
      </c>
      <c r="H41" s="4" t="s">
        <v>37</v>
      </c>
      <c r="I41" s="5">
        <v>44501</v>
      </c>
      <c r="J41" s="6">
        <v>0</v>
      </c>
      <c r="K41" s="6">
        <v>0</v>
      </c>
      <c r="L41" s="6">
        <v>492.41399999999999</v>
      </c>
      <c r="M41" s="6">
        <v>492.41399999999999</v>
      </c>
      <c r="N41" s="6">
        <v>0</v>
      </c>
      <c r="O41" s="6">
        <v>0</v>
      </c>
      <c r="P41" s="6">
        <v>0</v>
      </c>
      <c r="Q41" s="4" t="s">
        <v>51</v>
      </c>
      <c r="R41" s="4">
        <v>0</v>
      </c>
      <c r="S41" s="4" t="s">
        <v>92</v>
      </c>
      <c r="U41" s="4">
        <v>0</v>
      </c>
      <c r="V41" s="4">
        <v>8</v>
      </c>
      <c r="W41" s="4">
        <v>0</v>
      </c>
    </row>
    <row r="42" spans="1:23" ht="11.25" customHeight="1" x14ac:dyDescent="0.25">
      <c r="A42" s="4" t="s">
        <v>21</v>
      </c>
      <c r="B42" s="4" t="s">
        <v>34</v>
      </c>
      <c r="C42" s="4" t="s">
        <v>35</v>
      </c>
      <c r="D42" s="4" t="s">
        <v>33</v>
      </c>
      <c r="E42" s="4" t="s">
        <v>25</v>
      </c>
      <c r="F42" s="4" t="s">
        <v>50</v>
      </c>
      <c r="G42" s="4" t="s">
        <v>25</v>
      </c>
      <c r="H42" s="4" t="s">
        <v>37</v>
      </c>
      <c r="I42" s="5">
        <v>44531</v>
      </c>
      <c r="J42" s="6">
        <v>0</v>
      </c>
      <c r="K42" s="6">
        <v>0</v>
      </c>
      <c r="L42" s="6">
        <v>512.43600000000004</v>
      </c>
      <c r="M42" s="6">
        <v>512.43600000000004</v>
      </c>
      <c r="N42" s="6">
        <v>0</v>
      </c>
      <c r="O42" s="6">
        <v>0</v>
      </c>
      <c r="P42" s="6">
        <v>0</v>
      </c>
      <c r="Q42" s="4" t="s">
        <v>51</v>
      </c>
      <c r="R42" s="4">
        <v>0</v>
      </c>
      <c r="S42" s="4" t="s">
        <v>93</v>
      </c>
      <c r="U42" s="4">
        <v>0</v>
      </c>
      <c r="V42" s="4">
        <v>8</v>
      </c>
      <c r="W42" s="4">
        <v>0</v>
      </c>
    </row>
    <row r="43" spans="1:23" ht="11.25" customHeight="1" x14ac:dyDescent="0.25">
      <c r="A43" s="4" t="s">
        <v>21</v>
      </c>
      <c r="B43" s="4" t="s">
        <v>34</v>
      </c>
      <c r="C43" s="4" t="s">
        <v>35</v>
      </c>
      <c r="D43" s="4" t="s">
        <v>33</v>
      </c>
      <c r="E43" s="4" t="s">
        <v>25</v>
      </c>
      <c r="F43" s="4" t="s">
        <v>50</v>
      </c>
      <c r="G43" s="4" t="s">
        <v>25</v>
      </c>
      <c r="H43" s="4" t="s">
        <v>37</v>
      </c>
      <c r="I43" s="5">
        <v>44562</v>
      </c>
      <c r="J43" s="6">
        <v>0</v>
      </c>
      <c r="K43" s="6">
        <v>0</v>
      </c>
      <c r="L43" s="6">
        <v>509.79700000000003</v>
      </c>
      <c r="M43" s="6">
        <v>509.79700000000003</v>
      </c>
      <c r="N43" s="6">
        <v>0</v>
      </c>
      <c r="O43" s="6">
        <v>0</v>
      </c>
      <c r="P43" s="6">
        <v>0</v>
      </c>
      <c r="Q43" s="4" t="s">
        <v>51</v>
      </c>
      <c r="R43" s="4">
        <v>0</v>
      </c>
      <c r="S43" s="4" t="s">
        <v>94</v>
      </c>
      <c r="U43" s="4">
        <v>0</v>
      </c>
      <c r="V43" s="4">
        <v>8</v>
      </c>
      <c r="W43" s="4">
        <v>0</v>
      </c>
    </row>
    <row r="44" spans="1:23" ht="11.25" customHeight="1" x14ac:dyDescent="0.25">
      <c r="A44" s="4" t="s">
        <v>21</v>
      </c>
      <c r="B44" s="4" t="s">
        <v>34</v>
      </c>
      <c r="C44" s="4" t="s">
        <v>35</v>
      </c>
      <c r="D44" s="4" t="s">
        <v>33</v>
      </c>
      <c r="E44" s="4" t="s">
        <v>25</v>
      </c>
      <c r="F44" s="4" t="s">
        <v>50</v>
      </c>
      <c r="G44" s="4" t="s">
        <v>25</v>
      </c>
      <c r="H44" s="4" t="s">
        <v>37</v>
      </c>
      <c r="I44" s="5">
        <v>44593</v>
      </c>
      <c r="J44" s="6">
        <v>0</v>
      </c>
      <c r="K44" s="6">
        <v>0</v>
      </c>
      <c r="L44" s="6">
        <v>511.16399999999999</v>
      </c>
      <c r="M44" s="6">
        <v>511.16399999999999</v>
      </c>
      <c r="N44" s="6">
        <v>0</v>
      </c>
      <c r="O44" s="6">
        <v>0</v>
      </c>
      <c r="P44" s="6">
        <v>0</v>
      </c>
      <c r="Q44" s="4" t="s">
        <v>51</v>
      </c>
      <c r="R44" s="4">
        <v>0</v>
      </c>
      <c r="S44" s="4" t="s">
        <v>95</v>
      </c>
      <c r="U44" s="4">
        <v>0</v>
      </c>
      <c r="V44" s="4">
        <v>8</v>
      </c>
      <c r="W44" s="4">
        <v>0</v>
      </c>
    </row>
    <row r="45" spans="1:23" ht="11.25" customHeight="1" x14ac:dyDescent="0.25">
      <c r="A45" s="4" t="s">
        <v>21</v>
      </c>
      <c r="B45" s="4" t="s">
        <v>34</v>
      </c>
      <c r="C45" s="4" t="s">
        <v>35</v>
      </c>
      <c r="D45" s="4" t="s">
        <v>33</v>
      </c>
      <c r="E45" s="4" t="s">
        <v>25</v>
      </c>
      <c r="F45" s="4" t="s">
        <v>50</v>
      </c>
      <c r="G45" s="4" t="s">
        <v>25</v>
      </c>
      <c r="H45" s="4" t="s">
        <v>37</v>
      </c>
      <c r="I45" s="5">
        <v>44621</v>
      </c>
      <c r="J45" s="6">
        <v>0</v>
      </c>
      <c r="K45" s="6">
        <v>0</v>
      </c>
      <c r="L45" s="6">
        <v>573.44500000000005</v>
      </c>
      <c r="M45" s="6">
        <v>573.44500000000005</v>
      </c>
      <c r="N45" s="6">
        <v>0</v>
      </c>
      <c r="O45" s="6">
        <v>0</v>
      </c>
      <c r="P45" s="6">
        <v>0</v>
      </c>
      <c r="Q45" s="4" t="s">
        <v>51</v>
      </c>
      <c r="R45" s="4">
        <v>0</v>
      </c>
      <c r="S45" s="4" t="s">
        <v>96</v>
      </c>
      <c r="U45" s="4">
        <v>0</v>
      </c>
      <c r="V45" s="4">
        <v>8</v>
      </c>
      <c r="W45" s="4">
        <v>0</v>
      </c>
    </row>
    <row r="46" spans="1:23" ht="11.25" customHeight="1" x14ac:dyDescent="0.25">
      <c r="A46" s="4" t="s">
        <v>21</v>
      </c>
      <c r="B46" s="4" t="s">
        <v>34</v>
      </c>
      <c r="C46" s="4" t="s">
        <v>35</v>
      </c>
      <c r="D46" s="4" t="s">
        <v>33</v>
      </c>
      <c r="E46" s="4" t="s">
        <v>25</v>
      </c>
      <c r="F46" s="4" t="s">
        <v>50</v>
      </c>
      <c r="G46" s="4" t="s">
        <v>25</v>
      </c>
      <c r="H46" s="4" t="s">
        <v>37</v>
      </c>
      <c r="I46" s="5">
        <v>44652</v>
      </c>
      <c r="J46" s="6">
        <v>0</v>
      </c>
      <c r="K46" s="6">
        <v>0</v>
      </c>
      <c r="L46" s="6">
        <v>505.69200000000001</v>
      </c>
      <c r="M46" s="6">
        <v>505.69200000000001</v>
      </c>
      <c r="N46" s="6">
        <v>0</v>
      </c>
      <c r="O46" s="6">
        <v>0</v>
      </c>
      <c r="P46" s="6">
        <v>0</v>
      </c>
      <c r="Q46" s="4" t="s">
        <v>51</v>
      </c>
      <c r="R46" s="4">
        <v>0</v>
      </c>
      <c r="S46" s="4" t="s">
        <v>97</v>
      </c>
      <c r="U46" s="4">
        <v>0</v>
      </c>
      <c r="V46" s="4">
        <v>8</v>
      </c>
      <c r="W46" s="4">
        <v>0</v>
      </c>
    </row>
    <row r="47" spans="1:23" ht="11.25" customHeight="1" x14ac:dyDescent="0.25">
      <c r="A47" s="4" t="s">
        <v>21</v>
      </c>
      <c r="B47" s="4" t="s">
        <v>34</v>
      </c>
      <c r="C47" s="4" t="s">
        <v>35</v>
      </c>
      <c r="D47" s="4" t="s">
        <v>33</v>
      </c>
      <c r="E47" s="4" t="s">
        <v>25</v>
      </c>
      <c r="F47" s="4" t="s">
        <v>50</v>
      </c>
      <c r="G47" s="4" t="s">
        <v>25</v>
      </c>
      <c r="H47" s="4" t="s">
        <v>37</v>
      </c>
      <c r="I47" s="5">
        <v>44682</v>
      </c>
      <c r="J47" s="6">
        <v>0</v>
      </c>
      <c r="K47" s="6">
        <v>0</v>
      </c>
      <c r="L47" s="6">
        <v>515.16200000000003</v>
      </c>
      <c r="M47" s="6">
        <v>515.16200000000003</v>
      </c>
      <c r="N47" s="6">
        <v>0</v>
      </c>
      <c r="O47" s="6">
        <v>0</v>
      </c>
      <c r="P47" s="6">
        <v>0</v>
      </c>
      <c r="Q47" s="4" t="s">
        <v>51</v>
      </c>
      <c r="R47" s="4">
        <v>0</v>
      </c>
      <c r="S47" s="4" t="s">
        <v>98</v>
      </c>
      <c r="U47" s="4">
        <v>0</v>
      </c>
      <c r="V47" s="4">
        <v>8</v>
      </c>
      <c r="W47" s="4">
        <v>0</v>
      </c>
    </row>
    <row r="48" spans="1:23" ht="11.25" customHeight="1" x14ac:dyDescent="0.25">
      <c r="A48" s="4" t="s">
        <v>21</v>
      </c>
      <c r="B48" s="4" t="s">
        <v>34</v>
      </c>
      <c r="C48" s="4" t="s">
        <v>35</v>
      </c>
      <c r="D48" s="4" t="s">
        <v>33</v>
      </c>
      <c r="E48" s="4" t="s">
        <v>25</v>
      </c>
      <c r="F48" s="4" t="s">
        <v>50</v>
      </c>
      <c r="G48" s="4" t="s">
        <v>25</v>
      </c>
      <c r="H48" s="4" t="s">
        <v>37</v>
      </c>
      <c r="I48" s="5">
        <v>44713</v>
      </c>
      <c r="J48" s="6">
        <v>0</v>
      </c>
      <c r="K48" s="6">
        <v>0</v>
      </c>
      <c r="L48" s="6">
        <v>514.71199999999999</v>
      </c>
      <c r="M48" s="6">
        <v>514.71199999999999</v>
      </c>
      <c r="N48" s="6">
        <v>0</v>
      </c>
      <c r="O48" s="6">
        <v>0</v>
      </c>
      <c r="P48" s="6">
        <v>0</v>
      </c>
      <c r="Q48" s="4" t="s">
        <v>51</v>
      </c>
      <c r="R48" s="4">
        <v>0</v>
      </c>
      <c r="S48" s="4" t="s">
        <v>99</v>
      </c>
      <c r="U48" s="4">
        <v>0</v>
      </c>
      <c r="V48" s="4">
        <v>8</v>
      </c>
      <c r="W48" s="4">
        <v>0</v>
      </c>
    </row>
    <row r="49" spans="1:23" ht="11.25" customHeight="1" x14ac:dyDescent="0.25">
      <c r="A49" s="4" t="s">
        <v>21</v>
      </c>
      <c r="B49" s="4" t="s">
        <v>34</v>
      </c>
      <c r="C49" s="4" t="s">
        <v>35</v>
      </c>
      <c r="D49" s="4" t="s">
        <v>33</v>
      </c>
      <c r="E49" s="4" t="s">
        <v>25</v>
      </c>
      <c r="F49" s="4" t="s">
        <v>50</v>
      </c>
      <c r="G49" s="4" t="s">
        <v>25</v>
      </c>
      <c r="H49" s="4" t="s">
        <v>37</v>
      </c>
      <c r="I49" s="5">
        <v>44743</v>
      </c>
      <c r="J49" s="6">
        <v>0</v>
      </c>
      <c r="K49" s="6">
        <v>0</v>
      </c>
      <c r="L49" s="6">
        <v>525.48800000000006</v>
      </c>
      <c r="M49" s="6">
        <v>525.48800000000006</v>
      </c>
      <c r="N49" s="6">
        <v>0</v>
      </c>
      <c r="O49" s="6">
        <v>0</v>
      </c>
      <c r="P49" s="6">
        <v>0</v>
      </c>
      <c r="Q49" s="4" t="s">
        <v>51</v>
      </c>
      <c r="R49" s="4">
        <v>0</v>
      </c>
      <c r="S49" s="4" t="s">
        <v>100</v>
      </c>
      <c r="U49" s="4">
        <v>0</v>
      </c>
      <c r="V49" s="4">
        <v>8</v>
      </c>
      <c r="W49" s="4">
        <v>0</v>
      </c>
    </row>
    <row r="50" spans="1:23" ht="11.25" customHeight="1" x14ac:dyDescent="0.25">
      <c r="A50" s="4" t="s">
        <v>21</v>
      </c>
      <c r="B50" s="4" t="s">
        <v>34</v>
      </c>
      <c r="C50" s="4" t="s">
        <v>35</v>
      </c>
      <c r="D50" s="4" t="s">
        <v>33</v>
      </c>
      <c r="E50" s="4" t="s">
        <v>25</v>
      </c>
      <c r="F50" s="4" t="s">
        <v>50</v>
      </c>
      <c r="G50" s="4" t="s">
        <v>25</v>
      </c>
      <c r="H50" s="4" t="s">
        <v>25</v>
      </c>
      <c r="I50" s="5">
        <v>44409</v>
      </c>
      <c r="J50" s="6">
        <v>1300</v>
      </c>
      <c r="K50" s="6">
        <v>703.09371599999997</v>
      </c>
      <c r="L50" s="6">
        <v>0</v>
      </c>
      <c r="M50" s="6">
        <v>0</v>
      </c>
      <c r="N50" s="6">
        <v>0</v>
      </c>
      <c r="O50" s="6">
        <v>0</v>
      </c>
      <c r="P50" s="6">
        <v>2</v>
      </c>
      <c r="Q50" s="4" t="s">
        <v>51</v>
      </c>
      <c r="R50" s="4">
        <v>0</v>
      </c>
      <c r="S50" s="4" t="s">
        <v>101</v>
      </c>
      <c r="U50" s="4">
        <v>6</v>
      </c>
      <c r="V50" s="4">
        <v>0</v>
      </c>
      <c r="W50" s="4">
        <v>0</v>
      </c>
    </row>
    <row r="51" spans="1:23" ht="11.25" customHeight="1" x14ac:dyDescent="0.25">
      <c r="A51" s="4" t="s">
        <v>21</v>
      </c>
      <c r="B51" s="4" t="s">
        <v>34</v>
      </c>
      <c r="C51" s="4" t="s">
        <v>35</v>
      </c>
      <c r="D51" s="4" t="s">
        <v>33</v>
      </c>
      <c r="E51" s="4" t="s">
        <v>25</v>
      </c>
      <c r="F51" s="4" t="s">
        <v>50</v>
      </c>
      <c r="G51" s="4" t="s">
        <v>25</v>
      </c>
      <c r="H51" s="4" t="s">
        <v>25</v>
      </c>
      <c r="I51" s="5">
        <v>44440</v>
      </c>
      <c r="J51" s="6">
        <v>1300</v>
      </c>
      <c r="K51" s="6">
        <v>710.24843499999997</v>
      </c>
      <c r="L51" s="6">
        <v>0</v>
      </c>
      <c r="M51" s="6">
        <v>0</v>
      </c>
      <c r="N51" s="6">
        <v>0</v>
      </c>
      <c r="O51" s="6">
        <v>0</v>
      </c>
      <c r="P51" s="6">
        <v>2</v>
      </c>
      <c r="Q51" s="4" t="s">
        <v>51</v>
      </c>
      <c r="R51" s="4">
        <v>0</v>
      </c>
      <c r="S51" s="4" t="s">
        <v>102</v>
      </c>
      <c r="U51" s="4">
        <v>6</v>
      </c>
      <c r="V51" s="4">
        <v>0</v>
      </c>
      <c r="W51" s="4">
        <v>0</v>
      </c>
    </row>
    <row r="52" spans="1:23" ht="11.25" customHeight="1" x14ac:dyDescent="0.25">
      <c r="A52" s="4" t="s">
        <v>21</v>
      </c>
      <c r="B52" s="4" t="s">
        <v>34</v>
      </c>
      <c r="C52" s="4" t="s">
        <v>35</v>
      </c>
      <c r="D52" s="4" t="s">
        <v>33</v>
      </c>
      <c r="E52" s="4" t="s">
        <v>25</v>
      </c>
      <c r="F52" s="4" t="s">
        <v>50</v>
      </c>
      <c r="G52" s="4" t="s">
        <v>25</v>
      </c>
      <c r="H52" s="4" t="s">
        <v>25</v>
      </c>
      <c r="I52" s="5">
        <v>44470</v>
      </c>
      <c r="J52" s="6">
        <v>1300</v>
      </c>
      <c r="K52" s="6">
        <v>713.766482</v>
      </c>
      <c r="L52" s="6">
        <v>0</v>
      </c>
      <c r="M52" s="6">
        <v>0</v>
      </c>
      <c r="N52" s="6">
        <v>0</v>
      </c>
      <c r="O52" s="6">
        <v>0</v>
      </c>
      <c r="P52" s="6">
        <v>2</v>
      </c>
      <c r="Q52" s="4" t="s">
        <v>51</v>
      </c>
      <c r="R52" s="4">
        <v>0</v>
      </c>
      <c r="S52" s="4" t="s">
        <v>103</v>
      </c>
      <c r="U52" s="4">
        <v>6</v>
      </c>
      <c r="V52" s="4">
        <v>0</v>
      </c>
      <c r="W52" s="4">
        <v>0</v>
      </c>
    </row>
    <row r="53" spans="1:23" ht="11.25" customHeight="1" x14ac:dyDescent="0.25">
      <c r="A53" s="4" t="s">
        <v>21</v>
      </c>
      <c r="B53" s="4" t="s">
        <v>34</v>
      </c>
      <c r="C53" s="4" t="s">
        <v>35</v>
      </c>
      <c r="D53" s="4" t="s">
        <v>33</v>
      </c>
      <c r="E53" s="4" t="s">
        <v>25</v>
      </c>
      <c r="F53" s="4" t="s">
        <v>50</v>
      </c>
      <c r="G53" s="4" t="s">
        <v>25</v>
      </c>
      <c r="H53" s="4" t="s">
        <v>25</v>
      </c>
      <c r="I53" s="5">
        <v>44501</v>
      </c>
      <c r="J53" s="6">
        <v>1387</v>
      </c>
      <c r="K53" s="6">
        <v>698.92776097000001</v>
      </c>
      <c r="L53" s="6">
        <v>0</v>
      </c>
      <c r="M53" s="6">
        <v>0</v>
      </c>
      <c r="N53" s="6">
        <v>0</v>
      </c>
      <c r="O53" s="6">
        <v>0</v>
      </c>
      <c r="P53" s="6">
        <v>2</v>
      </c>
      <c r="Q53" s="4" t="s">
        <v>51</v>
      </c>
      <c r="R53" s="4">
        <v>0</v>
      </c>
      <c r="S53" s="4" t="s">
        <v>104</v>
      </c>
      <c r="U53" s="4">
        <v>6</v>
      </c>
      <c r="V53" s="4">
        <v>0</v>
      </c>
      <c r="W53" s="4">
        <v>0</v>
      </c>
    </row>
    <row r="54" spans="1:23" ht="11.25" customHeight="1" x14ac:dyDescent="0.25">
      <c r="A54" s="4" t="s">
        <v>21</v>
      </c>
      <c r="B54" s="4" t="s">
        <v>34</v>
      </c>
      <c r="C54" s="4" t="s">
        <v>35</v>
      </c>
      <c r="D54" s="4" t="s">
        <v>33</v>
      </c>
      <c r="E54" s="4" t="s">
        <v>25</v>
      </c>
      <c r="F54" s="4" t="s">
        <v>50</v>
      </c>
      <c r="G54" s="4" t="s">
        <v>25</v>
      </c>
      <c r="H54" s="4" t="s">
        <v>25</v>
      </c>
      <c r="I54" s="5">
        <v>44531</v>
      </c>
      <c r="J54" s="6">
        <v>1556</v>
      </c>
      <c r="K54" s="6">
        <v>813.63548088000005</v>
      </c>
      <c r="L54" s="6">
        <v>0</v>
      </c>
      <c r="M54" s="6">
        <v>0</v>
      </c>
      <c r="N54" s="6">
        <v>0</v>
      </c>
      <c r="O54" s="6">
        <v>0</v>
      </c>
      <c r="P54" s="6">
        <v>3</v>
      </c>
      <c r="Q54" s="4" t="s">
        <v>51</v>
      </c>
      <c r="R54" s="4">
        <v>0</v>
      </c>
      <c r="S54" s="4" t="s">
        <v>105</v>
      </c>
      <c r="U54" s="4">
        <v>6</v>
      </c>
      <c r="V54" s="4">
        <v>0</v>
      </c>
      <c r="W54" s="4">
        <v>0</v>
      </c>
    </row>
    <row r="55" spans="1:23" ht="11.25" customHeight="1" x14ac:dyDescent="0.25">
      <c r="A55" s="4" t="s">
        <v>21</v>
      </c>
      <c r="B55" s="4" t="s">
        <v>34</v>
      </c>
      <c r="C55" s="4" t="s">
        <v>35</v>
      </c>
      <c r="D55" s="4" t="s">
        <v>33</v>
      </c>
      <c r="E55" s="4" t="s">
        <v>25</v>
      </c>
      <c r="F55" s="4" t="s">
        <v>50</v>
      </c>
      <c r="G55" s="4" t="s">
        <v>25</v>
      </c>
      <c r="H55" s="4" t="s">
        <v>25</v>
      </c>
      <c r="I55" s="5">
        <v>44562</v>
      </c>
      <c r="J55" s="6">
        <v>1548</v>
      </c>
      <c r="K55" s="6">
        <v>802.55984148000005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4" t="s">
        <v>51</v>
      </c>
      <c r="R55" s="4">
        <v>0</v>
      </c>
      <c r="S55" s="4" t="s">
        <v>106</v>
      </c>
      <c r="U55" s="4">
        <v>6</v>
      </c>
      <c r="V55" s="4">
        <v>0</v>
      </c>
      <c r="W55" s="4">
        <v>0</v>
      </c>
    </row>
    <row r="56" spans="1:23" ht="11.25" customHeight="1" x14ac:dyDescent="0.25">
      <c r="A56" s="4" t="s">
        <v>21</v>
      </c>
      <c r="B56" s="4" t="s">
        <v>34</v>
      </c>
      <c r="C56" s="4" t="s">
        <v>35</v>
      </c>
      <c r="D56" s="4" t="s">
        <v>33</v>
      </c>
      <c r="E56" s="4" t="s">
        <v>25</v>
      </c>
      <c r="F56" s="4" t="s">
        <v>50</v>
      </c>
      <c r="G56" s="4" t="s">
        <v>25</v>
      </c>
      <c r="H56" s="4" t="s">
        <v>25</v>
      </c>
      <c r="I56" s="5">
        <v>44593</v>
      </c>
      <c r="J56" s="6">
        <v>1538</v>
      </c>
      <c r="K56" s="6">
        <v>802.99662871999999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4" t="s">
        <v>51</v>
      </c>
      <c r="R56" s="4">
        <v>0</v>
      </c>
      <c r="S56" s="4" t="s">
        <v>107</v>
      </c>
      <c r="U56" s="4">
        <v>6</v>
      </c>
      <c r="V56" s="4">
        <v>0</v>
      </c>
      <c r="W56" s="4">
        <v>0</v>
      </c>
    </row>
    <row r="57" spans="1:23" ht="11.25" customHeight="1" x14ac:dyDescent="0.25">
      <c r="A57" s="4" t="s">
        <v>21</v>
      </c>
      <c r="B57" s="4" t="s">
        <v>34</v>
      </c>
      <c r="C57" s="4" t="s">
        <v>35</v>
      </c>
      <c r="D57" s="4" t="s">
        <v>33</v>
      </c>
      <c r="E57" s="4" t="s">
        <v>25</v>
      </c>
      <c r="F57" s="4" t="s">
        <v>50</v>
      </c>
      <c r="G57" s="4" t="s">
        <v>25</v>
      </c>
      <c r="H57" s="4" t="s">
        <v>25</v>
      </c>
      <c r="I57" s="5">
        <v>44621</v>
      </c>
      <c r="J57" s="6">
        <v>1621</v>
      </c>
      <c r="K57" s="6">
        <v>816.28692136999996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4" t="s">
        <v>51</v>
      </c>
      <c r="R57" s="4">
        <v>0</v>
      </c>
      <c r="S57" s="4" t="s">
        <v>108</v>
      </c>
      <c r="U57" s="4">
        <v>6</v>
      </c>
      <c r="V57" s="4">
        <v>0</v>
      </c>
      <c r="W57" s="4">
        <v>0</v>
      </c>
    </row>
    <row r="58" spans="1:23" ht="11.25" customHeight="1" x14ac:dyDescent="0.25">
      <c r="A58" s="4" t="s">
        <v>21</v>
      </c>
      <c r="B58" s="4" t="s">
        <v>34</v>
      </c>
      <c r="C58" s="4" t="s">
        <v>35</v>
      </c>
      <c r="D58" s="4" t="s">
        <v>33</v>
      </c>
      <c r="E58" s="4" t="s">
        <v>25</v>
      </c>
      <c r="F58" s="4" t="s">
        <v>50</v>
      </c>
      <c r="G58" s="4" t="s">
        <v>25</v>
      </c>
      <c r="H58" s="4" t="s">
        <v>25</v>
      </c>
      <c r="I58" s="5">
        <v>44652</v>
      </c>
      <c r="J58" s="6">
        <v>1572</v>
      </c>
      <c r="K58" s="6">
        <v>822.37163124000006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4" t="s">
        <v>51</v>
      </c>
      <c r="R58" s="4">
        <v>0</v>
      </c>
      <c r="S58" s="4" t="s">
        <v>109</v>
      </c>
      <c r="U58" s="4">
        <v>6</v>
      </c>
      <c r="V58" s="4">
        <v>0</v>
      </c>
      <c r="W58" s="4">
        <v>0</v>
      </c>
    </row>
    <row r="59" spans="1:23" ht="11.25" customHeight="1" x14ac:dyDescent="0.25">
      <c r="A59" s="4" t="s">
        <v>21</v>
      </c>
      <c r="B59" s="4" t="s">
        <v>34</v>
      </c>
      <c r="C59" s="4" t="s">
        <v>35</v>
      </c>
      <c r="D59" s="4" t="s">
        <v>33</v>
      </c>
      <c r="E59" s="4" t="s">
        <v>25</v>
      </c>
      <c r="F59" s="4" t="s">
        <v>50</v>
      </c>
      <c r="G59" s="4" t="s">
        <v>25</v>
      </c>
      <c r="H59" s="4" t="s">
        <v>25</v>
      </c>
      <c r="I59" s="5">
        <v>44682</v>
      </c>
      <c r="J59" s="6">
        <v>1602</v>
      </c>
      <c r="K59" s="6">
        <v>803.84548842000004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  <c r="Q59" s="4" t="s">
        <v>51</v>
      </c>
      <c r="R59" s="4">
        <v>0</v>
      </c>
      <c r="S59" s="4" t="s">
        <v>110</v>
      </c>
      <c r="U59" s="4">
        <v>6</v>
      </c>
      <c r="V59" s="4">
        <v>0</v>
      </c>
      <c r="W59" s="4">
        <v>0</v>
      </c>
    </row>
    <row r="60" spans="1:23" ht="11.25" customHeight="1" x14ac:dyDescent="0.25">
      <c r="A60" s="4" t="s">
        <v>21</v>
      </c>
      <c r="B60" s="4" t="s">
        <v>34</v>
      </c>
      <c r="C60" s="4" t="s">
        <v>35</v>
      </c>
      <c r="D60" s="4" t="s">
        <v>33</v>
      </c>
      <c r="E60" s="4" t="s">
        <v>25</v>
      </c>
      <c r="F60" s="4" t="s">
        <v>50</v>
      </c>
      <c r="G60" s="4" t="s">
        <v>25</v>
      </c>
      <c r="H60" s="4" t="s">
        <v>25</v>
      </c>
      <c r="I60" s="5">
        <v>44713</v>
      </c>
      <c r="J60" s="6">
        <v>1549</v>
      </c>
      <c r="K60" s="6">
        <v>810.33947633000002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4" t="s">
        <v>51</v>
      </c>
      <c r="R60" s="4">
        <v>0</v>
      </c>
      <c r="S60" s="4" t="s">
        <v>111</v>
      </c>
      <c r="U60" s="4">
        <v>6</v>
      </c>
      <c r="V60" s="4">
        <v>0</v>
      </c>
      <c r="W60" s="4">
        <v>0</v>
      </c>
    </row>
    <row r="61" spans="1:23" ht="11.25" customHeight="1" x14ac:dyDescent="0.25">
      <c r="A61" s="4" t="s">
        <v>21</v>
      </c>
      <c r="B61" s="4" t="s">
        <v>34</v>
      </c>
      <c r="C61" s="4" t="s">
        <v>35</v>
      </c>
      <c r="D61" s="4" t="s">
        <v>33</v>
      </c>
      <c r="E61" s="4" t="s">
        <v>25</v>
      </c>
      <c r="F61" s="4" t="s">
        <v>50</v>
      </c>
      <c r="G61" s="4" t="s">
        <v>25</v>
      </c>
      <c r="H61" s="4" t="s">
        <v>25</v>
      </c>
      <c r="I61" s="5">
        <v>44743</v>
      </c>
      <c r="J61" s="6">
        <v>1559</v>
      </c>
      <c r="K61" s="6">
        <v>782.26911139000003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4" t="s">
        <v>51</v>
      </c>
      <c r="R61" s="4">
        <v>0</v>
      </c>
      <c r="S61" s="4" t="s">
        <v>112</v>
      </c>
      <c r="U61" s="4">
        <v>6</v>
      </c>
      <c r="V61" s="4">
        <v>0</v>
      </c>
      <c r="W61" s="4">
        <v>0</v>
      </c>
    </row>
    <row r="62" spans="1:23" ht="11.25" customHeight="1" x14ac:dyDescent="0.25">
      <c r="A62" s="4" t="s">
        <v>21</v>
      </c>
      <c r="B62" s="4" t="s">
        <v>34</v>
      </c>
      <c r="C62" s="4" t="s">
        <v>35</v>
      </c>
      <c r="D62" s="4" t="s">
        <v>33</v>
      </c>
      <c r="E62" s="4" t="s">
        <v>25</v>
      </c>
      <c r="F62" s="4" t="s">
        <v>50</v>
      </c>
      <c r="G62" s="4" t="s">
        <v>25</v>
      </c>
      <c r="H62" s="4" t="s">
        <v>36</v>
      </c>
      <c r="I62" s="5">
        <v>44409</v>
      </c>
      <c r="J62" s="6">
        <v>0</v>
      </c>
      <c r="K62" s="6">
        <v>0</v>
      </c>
      <c r="L62" s="6">
        <v>37.838000000000001</v>
      </c>
      <c r="M62" s="6">
        <v>21.19501094348</v>
      </c>
      <c r="N62" s="6">
        <v>0</v>
      </c>
      <c r="O62" s="6">
        <v>0</v>
      </c>
      <c r="P62" s="6">
        <v>0</v>
      </c>
      <c r="Q62" s="4" t="s">
        <v>51</v>
      </c>
      <c r="R62" s="4">
        <v>0</v>
      </c>
      <c r="S62" s="4" t="s">
        <v>113</v>
      </c>
      <c r="U62" s="4">
        <v>0</v>
      </c>
      <c r="V62" s="4">
        <v>7</v>
      </c>
      <c r="W62" s="4">
        <v>0</v>
      </c>
    </row>
    <row r="63" spans="1:23" ht="11.25" customHeight="1" x14ac:dyDescent="0.25">
      <c r="A63" s="4" t="s">
        <v>21</v>
      </c>
      <c r="B63" s="4" t="s">
        <v>34</v>
      </c>
      <c r="C63" s="4" t="s">
        <v>35</v>
      </c>
      <c r="D63" s="4" t="s">
        <v>33</v>
      </c>
      <c r="E63" s="4" t="s">
        <v>25</v>
      </c>
      <c r="F63" s="4" t="s">
        <v>50</v>
      </c>
      <c r="G63" s="4" t="s">
        <v>25</v>
      </c>
      <c r="H63" s="4" t="s">
        <v>36</v>
      </c>
      <c r="I63" s="5">
        <v>44440</v>
      </c>
      <c r="J63" s="6">
        <v>0</v>
      </c>
      <c r="K63" s="6">
        <v>0</v>
      </c>
      <c r="L63" s="6">
        <v>34.56</v>
      </c>
      <c r="M63" s="6">
        <v>19.6570637568</v>
      </c>
      <c r="N63" s="6">
        <v>0</v>
      </c>
      <c r="O63" s="6">
        <v>0</v>
      </c>
      <c r="P63" s="6">
        <v>0</v>
      </c>
      <c r="Q63" s="4" t="s">
        <v>51</v>
      </c>
      <c r="R63" s="4">
        <v>0</v>
      </c>
      <c r="S63" s="4" t="s">
        <v>114</v>
      </c>
      <c r="U63" s="4">
        <v>0</v>
      </c>
      <c r="V63" s="4">
        <v>7</v>
      </c>
      <c r="W63" s="4">
        <v>0</v>
      </c>
    </row>
    <row r="64" spans="1:23" ht="11.25" customHeight="1" x14ac:dyDescent="0.25">
      <c r="A64" s="4" t="s">
        <v>21</v>
      </c>
      <c r="B64" s="4" t="s">
        <v>34</v>
      </c>
      <c r="C64" s="4" t="s">
        <v>35</v>
      </c>
      <c r="D64" s="4" t="s">
        <v>33</v>
      </c>
      <c r="E64" s="4" t="s">
        <v>25</v>
      </c>
      <c r="F64" s="4" t="s">
        <v>50</v>
      </c>
      <c r="G64" s="4" t="s">
        <v>25</v>
      </c>
      <c r="H64" s="4" t="s">
        <v>36</v>
      </c>
      <c r="I64" s="5">
        <v>44470</v>
      </c>
      <c r="J64" s="6">
        <v>0</v>
      </c>
      <c r="K64" s="6">
        <v>0</v>
      </c>
      <c r="L64" s="6">
        <v>34.85</v>
      </c>
      <c r="M64" s="6">
        <v>19.911656580500001</v>
      </c>
      <c r="N64" s="6">
        <v>0</v>
      </c>
      <c r="O64" s="6">
        <v>0</v>
      </c>
      <c r="P64" s="6">
        <v>0</v>
      </c>
      <c r="Q64" s="4" t="s">
        <v>51</v>
      </c>
      <c r="R64" s="4">
        <v>0</v>
      </c>
      <c r="S64" s="4" t="s">
        <v>115</v>
      </c>
      <c r="U64" s="4">
        <v>0</v>
      </c>
      <c r="V64" s="4">
        <v>7</v>
      </c>
      <c r="W64" s="4">
        <v>0</v>
      </c>
    </row>
    <row r="65" spans="1:23" ht="11.25" customHeight="1" x14ac:dyDescent="0.25">
      <c r="A65" s="4" t="s">
        <v>21</v>
      </c>
      <c r="B65" s="4" t="s">
        <v>34</v>
      </c>
      <c r="C65" s="4" t="s">
        <v>35</v>
      </c>
      <c r="D65" s="4" t="s">
        <v>33</v>
      </c>
      <c r="E65" s="4" t="s">
        <v>25</v>
      </c>
      <c r="F65" s="4" t="s">
        <v>50</v>
      </c>
      <c r="G65" s="4" t="s">
        <v>25</v>
      </c>
      <c r="H65" s="4" t="s">
        <v>36</v>
      </c>
      <c r="I65" s="5">
        <v>44501</v>
      </c>
      <c r="J65" s="6">
        <v>0</v>
      </c>
      <c r="K65" s="6">
        <v>0</v>
      </c>
      <c r="L65" s="6">
        <v>45.478000000000002</v>
      </c>
      <c r="M65" s="6">
        <v>24.032740862360001</v>
      </c>
      <c r="N65" s="6">
        <v>0</v>
      </c>
      <c r="O65" s="6">
        <v>0</v>
      </c>
      <c r="P65" s="6">
        <v>0</v>
      </c>
      <c r="Q65" s="4" t="s">
        <v>51</v>
      </c>
      <c r="R65" s="4">
        <v>0</v>
      </c>
      <c r="S65" s="4" t="s">
        <v>116</v>
      </c>
      <c r="U65" s="4">
        <v>0</v>
      </c>
      <c r="V65" s="4">
        <v>7</v>
      </c>
      <c r="W65" s="4">
        <v>0</v>
      </c>
    </row>
    <row r="66" spans="1:23" ht="11.25" customHeight="1" x14ac:dyDescent="0.25">
      <c r="A66" s="4" t="s">
        <v>21</v>
      </c>
      <c r="B66" s="4" t="s">
        <v>34</v>
      </c>
      <c r="C66" s="4" t="s">
        <v>35</v>
      </c>
      <c r="D66" s="4" t="s">
        <v>33</v>
      </c>
      <c r="E66" s="4" t="s">
        <v>25</v>
      </c>
      <c r="F66" s="4" t="s">
        <v>50</v>
      </c>
      <c r="G66" s="4" t="s">
        <v>25</v>
      </c>
      <c r="H66" s="4" t="s">
        <v>36</v>
      </c>
      <c r="I66" s="5">
        <v>44531</v>
      </c>
      <c r="J66" s="6">
        <v>0</v>
      </c>
      <c r="K66" s="6">
        <v>0</v>
      </c>
      <c r="L66" s="6">
        <v>52.598999999999997</v>
      </c>
      <c r="M66" s="6">
        <v>28.7452062228</v>
      </c>
      <c r="N66" s="6">
        <v>0</v>
      </c>
      <c r="O66" s="6">
        <v>0</v>
      </c>
      <c r="P66" s="6">
        <v>0</v>
      </c>
      <c r="Q66" s="4" t="s">
        <v>51</v>
      </c>
      <c r="R66" s="4">
        <v>0</v>
      </c>
      <c r="S66" s="4" t="s">
        <v>117</v>
      </c>
      <c r="U66" s="4">
        <v>0</v>
      </c>
      <c r="V66" s="4">
        <v>7</v>
      </c>
      <c r="W66" s="4">
        <v>0</v>
      </c>
    </row>
    <row r="67" spans="1:23" ht="11.25" customHeight="1" x14ac:dyDescent="0.25">
      <c r="A67" s="4" t="s">
        <v>21</v>
      </c>
      <c r="B67" s="4" t="s">
        <v>34</v>
      </c>
      <c r="C67" s="4" t="s">
        <v>35</v>
      </c>
      <c r="D67" s="4" t="s">
        <v>33</v>
      </c>
      <c r="E67" s="4" t="s">
        <v>25</v>
      </c>
      <c r="F67" s="4" t="s">
        <v>50</v>
      </c>
      <c r="G67" s="4" t="s">
        <v>25</v>
      </c>
      <c r="H67" s="4" t="s">
        <v>36</v>
      </c>
      <c r="I67" s="5">
        <v>44562</v>
      </c>
      <c r="J67" s="6">
        <v>0</v>
      </c>
      <c r="K67" s="6">
        <v>0</v>
      </c>
      <c r="L67" s="6">
        <v>51.326999999999998</v>
      </c>
      <c r="M67" s="6">
        <v>27.832831548840002</v>
      </c>
      <c r="N67" s="6">
        <v>0</v>
      </c>
      <c r="O67" s="6">
        <v>0</v>
      </c>
      <c r="P67" s="6">
        <v>0</v>
      </c>
      <c r="Q67" s="4" t="s">
        <v>51</v>
      </c>
      <c r="R67" s="4">
        <v>0</v>
      </c>
      <c r="S67" s="4" t="s">
        <v>118</v>
      </c>
      <c r="U67" s="4">
        <v>0</v>
      </c>
      <c r="V67" s="4">
        <v>7</v>
      </c>
      <c r="W67" s="4">
        <v>0</v>
      </c>
    </row>
    <row r="68" spans="1:23" ht="11.25" customHeight="1" x14ac:dyDescent="0.25">
      <c r="A68" s="4" t="s">
        <v>21</v>
      </c>
      <c r="B68" s="4" t="s">
        <v>34</v>
      </c>
      <c r="C68" s="4" t="s">
        <v>35</v>
      </c>
      <c r="D68" s="4" t="s">
        <v>33</v>
      </c>
      <c r="E68" s="4" t="s">
        <v>25</v>
      </c>
      <c r="F68" s="4" t="s">
        <v>50</v>
      </c>
      <c r="G68" s="4" t="s">
        <v>25</v>
      </c>
      <c r="H68" s="4" t="s">
        <v>36</v>
      </c>
      <c r="I68" s="5">
        <v>44593</v>
      </c>
      <c r="J68" s="6">
        <v>0</v>
      </c>
      <c r="K68" s="6">
        <v>0</v>
      </c>
      <c r="L68" s="6">
        <v>50.866999999999997</v>
      </c>
      <c r="M68" s="6">
        <v>27.760110799700001</v>
      </c>
      <c r="N68" s="6">
        <v>0</v>
      </c>
      <c r="O68" s="6">
        <v>0</v>
      </c>
      <c r="P68" s="6">
        <v>0</v>
      </c>
      <c r="Q68" s="4" t="s">
        <v>51</v>
      </c>
      <c r="R68" s="4">
        <v>0</v>
      </c>
      <c r="S68" s="4" t="s">
        <v>119</v>
      </c>
      <c r="U68" s="4">
        <v>0</v>
      </c>
      <c r="V68" s="4">
        <v>7</v>
      </c>
      <c r="W68" s="4">
        <v>0</v>
      </c>
    </row>
    <row r="69" spans="1:23" ht="11.25" customHeight="1" x14ac:dyDescent="0.25">
      <c r="A69" s="4" t="s">
        <v>21</v>
      </c>
      <c r="B69" s="4" t="s">
        <v>34</v>
      </c>
      <c r="C69" s="4" t="s">
        <v>35</v>
      </c>
      <c r="D69" s="4" t="s">
        <v>33</v>
      </c>
      <c r="E69" s="4" t="s">
        <v>25</v>
      </c>
      <c r="F69" s="4" t="s">
        <v>50</v>
      </c>
      <c r="G69" s="4" t="s">
        <v>25</v>
      </c>
      <c r="H69" s="4" t="s">
        <v>36</v>
      </c>
      <c r="I69" s="5">
        <v>44621</v>
      </c>
      <c r="J69" s="6">
        <v>0</v>
      </c>
      <c r="K69" s="6">
        <v>0</v>
      </c>
      <c r="L69" s="6">
        <v>57.411999999999999</v>
      </c>
      <c r="M69" s="6">
        <v>30.320498353240001</v>
      </c>
      <c r="N69" s="6">
        <v>0</v>
      </c>
      <c r="O69" s="6">
        <v>0</v>
      </c>
      <c r="P69" s="6">
        <v>0</v>
      </c>
      <c r="Q69" s="4" t="s">
        <v>51</v>
      </c>
      <c r="R69" s="4">
        <v>0</v>
      </c>
      <c r="S69" s="4" t="s">
        <v>120</v>
      </c>
      <c r="U69" s="4">
        <v>0</v>
      </c>
      <c r="V69" s="4">
        <v>7</v>
      </c>
      <c r="W69" s="4">
        <v>0</v>
      </c>
    </row>
    <row r="70" spans="1:23" ht="11.25" customHeight="1" x14ac:dyDescent="0.25">
      <c r="A70" s="4" t="s">
        <v>21</v>
      </c>
      <c r="B70" s="4" t="s">
        <v>34</v>
      </c>
      <c r="C70" s="4" t="s">
        <v>35</v>
      </c>
      <c r="D70" s="4" t="s">
        <v>33</v>
      </c>
      <c r="E70" s="4" t="s">
        <v>25</v>
      </c>
      <c r="F70" s="4" t="s">
        <v>50</v>
      </c>
      <c r="G70" s="4" t="s">
        <v>25</v>
      </c>
      <c r="H70" s="4" t="s">
        <v>36</v>
      </c>
      <c r="I70" s="5">
        <v>44652</v>
      </c>
      <c r="J70" s="6">
        <v>0</v>
      </c>
      <c r="K70" s="6">
        <v>0</v>
      </c>
      <c r="L70" s="6">
        <v>46.329000000000001</v>
      </c>
      <c r="M70" s="6">
        <v>25.329025626749999</v>
      </c>
      <c r="N70" s="6">
        <v>0</v>
      </c>
      <c r="O70" s="6">
        <v>0</v>
      </c>
      <c r="P70" s="6">
        <v>0</v>
      </c>
      <c r="Q70" s="4" t="s">
        <v>51</v>
      </c>
      <c r="R70" s="4">
        <v>0</v>
      </c>
      <c r="S70" s="4" t="s">
        <v>121</v>
      </c>
      <c r="U70" s="4">
        <v>0</v>
      </c>
      <c r="V70" s="4">
        <v>7</v>
      </c>
      <c r="W70" s="4">
        <v>0</v>
      </c>
    </row>
    <row r="71" spans="1:23" ht="11.25" customHeight="1" x14ac:dyDescent="0.25">
      <c r="A71" s="4" t="s">
        <v>21</v>
      </c>
      <c r="B71" s="4" t="s">
        <v>34</v>
      </c>
      <c r="C71" s="4" t="s">
        <v>35</v>
      </c>
      <c r="D71" s="4" t="s">
        <v>33</v>
      </c>
      <c r="E71" s="4" t="s">
        <v>25</v>
      </c>
      <c r="F71" s="4" t="s">
        <v>50</v>
      </c>
      <c r="G71" s="4" t="s">
        <v>25</v>
      </c>
      <c r="H71" s="4" t="s">
        <v>36</v>
      </c>
      <c r="I71" s="5">
        <v>44682</v>
      </c>
      <c r="J71" s="6">
        <v>0</v>
      </c>
      <c r="K71" s="6">
        <v>0</v>
      </c>
      <c r="L71" s="6">
        <v>48.935000000000002</v>
      </c>
      <c r="M71" s="6">
        <v>25.7601777257</v>
      </c>
      <c r="N71" s="6">
        <v>0</v>
      </c>
      <c r="O71" s="6">
        <v>0</v>
      </c>
      <c r="P71" s="6">
        <v>0</v>
      </c>
      <c r="Q71" s="4" t="s">
        <v>51</v>
      </c>
      <c r="R71" s="4">
        <v>0</v>
      </c>
      <c r="S71" s="4" t="s">
        <v>122</v>
      </c>
      <c r="U71" s="4">
        <v>0</v>
      </c>
      <c r="V71" s="4">
        <v>7</v>
      </c>
      <c r="W71" s="4">
        <v>0</v>
      </c>
    </row>
    <row r="72" spans="1:23" ht="11.25" customHeight="1" x14ac:dyDescent="0.25">
      <c r="A72" s="4" t="s">
        <v>21</v>
      </c>
      <c r="B72" s="4" t="s">
        <v>34</v>
      </c>
      <c r="C72" s="4" t="s">
        <v>35</v>
      </c>
      <c r="D72" s="4" t="s">
        <v>33</v>
      </c>
      <c r="E72" s="4" t="s">
        <v>25</v>
      </c>
      <c r="F72" s="4" t="s">
        <v>50</v>
      </c>
      <c r="G72" s="4" t="s">
        <v>25</v>
      </c>
      <c r="H72" s="4" t="s">
        <v>36</v>
      </c>
      <c r="I72" s="5">
        <v>44713</v>
      </c>
      <c r="J72" s="6">
        <v>0</v>
      </c>
      <c r="K72" s="6">
        <v>0</v>
      </c>
      <c r="L72" s="6">
        <v>49.697000000000003</v>
      </c>
      <c r="M72" s="6">
        <v>27.17038111275</v>
      </c>
      <c r="N72" s="6">
        <v>0</v>
      </c>
      <c r="O72" s="6">
        <v>0</v>
      </c>
      <c r="P72" s="6">
        <v>0</v>
      </c>
      <c r="Q72" s="4" t="s">
        <v>51</v>
      </c>
      <c r="R72" s="4">
        <v>0</v>
      </c>
      <c r="S72" s="4" t="s">
        <v>123</v>
      </c>
      <c r="U72" s="4">
        <v>0</v>
      </c>
      <c r="V72" s="4">
        <v>7</v>
      </c>
      <c r="W72" s="4">
        <v>0</v>
      </c>
    </row>
    <row r="73" spans="1:23" ht="11.25" customHeight="1" x14ac:dyDescent="0.25">
      <c r="A73" s="4" t="s">
        <v>21</v>
      </c>
      <c r="B73" s="4" t="s">
        <v>34</v>
      </c>
      <c r="C73" s="4" t="s">
        <v>35</v>
      </c>
      <c r="D73" s="4" t="s">
        <v>33</v>
      </c>
      <c r="E73" s="4" t="s">
        <v>25</v>
      </c>
      <c r="F73" s="4" t="s">
        <v>50</v>
      </c>
      <c r="G73" s="4" t="s">
        <v>25</v>
      </c>
      <c r="H73" s="4" t="s">
        <v>36</v>
      </c>
      <c r="I73" s="5">
        <v>44743</v>
      </c>
      <c r="J73" s="6">
        <v>0</v>
      </c>
      <c r="K73" s="6">
        <v>0</v>
      </c>
      <c r="L73" s="6">
        <v>48.795999999999999</v>
      </c>
      <c r="M73" s="6">
        <v>25.68700587112</v>
      </c>
      <c r="N73" s="6">
        <v>0</v>
      </c>
      <c r="O73" s="6">
        <v>0</v>
      </c>
      <c r="P73" s="6">
        <v>0</v>
      </c>
      <c r="Q73" s="4" t="s">
        <v>51</v>
      </c>
      <c r="R73" s="4">
        <v>0</v>
      </c>
      <c r="S73" s="4" t="s">
        <v>124</v>
      </c>
      <c r="U73" s="4">
        <v>0</v>
      </c>
      <c r="V73" s="4">
        <v>7</v>
      </c>
      <c r="W73" s="4">
        <v>0</v>
      </c>
    </row>
    <row r="74" spans="1:23" ht="11.25" customHeight="1" x14ac:dyDescent="0.25">
      <c r="A74" s="4" t="s">
        <v>21</v>
      </c>
      <c r="B74" s="4" t="s">
        <v>34</v>
      </c>
      <c r="C74" s="4" t="s">
        <v>35</v>
      </c>
      <c r="D74" s="4" t="s">
        <v>33</v>
      </c>
      <c r="E74" s="4" t="s">
        <v>25</v>
      </c>
      <c r="F74" s="4" t="s">
        <v>25</v>
      </c>
      <c r="G74" s="4" t="s">
        <v>25</v>
      </c>
      <c r="H74" s="4" t="s">
        <v>37</v>
      </c>
      <c r="I74" s="5">
        <v>44409</v>
      </c>
      <c r="J74" s="6">
        <v>0</v>
      </c>
      <c r="K74" s="6">
        <v>0</v>
      </c>
      <c r="L74" s="6">
        <v>180.10599999999999</v>
      </c>
      <c r="M74" s="6">
        <v>180.10599999999999</v>
      </c>
      <c r="N74" s="6">
        <v>180.10599999999999</v>
      </c>
      <c r="O74" s="6">
        <v>180.10599999999999</v>
      </c>
      <c r="P74" s="6">
        <v>0</v>
      </c>
      <c r="Q74" s="4" t="s">
        <v>26</v>
      </c>
      <c r="R74" s="4">
        <v>0</v>
      </c>
      <c r="S74" s="4" t="s">
        <v>89</v>
      </c>
      <c r="T74" s="4" t="s">
        <v>258</v>
      </c>
      <c r="U74" s="4">
        <v>0</v>
      </c>
      <c r="V74" s="4">
        <v>8</v>
      </c>
      <c r="W74" s="4">
        <v>51</v>
      </c>
    </row>
    <row r="75" spans="1:23" ht="11.25" customHeight="1" x14ac:dyDescent="0.25">
      <c r="A75" s="4" t="s">
        <v>21</v>
      </c>
      <c r="B75" s="4" t="s">
        <v>34</v>
      </c>
      <c r="C75" s="4" t="s">
        <v>35</v>
      </c>
      <c r="D75" s="4" t="s">
        <v>33</v>
      </c>
      <c r="E75" s="4" t="s">
        <v>25</v>
      </c>
      <c r="F75" s="4" t="s">
        <v>25</v>
      </c>
      <c r="G75" s="4" t="s">
        <v>25</v>
      </c>
      <c r="H75" s="4" t="s">
        <v>37</v>
      </c>
      <c r="I75" s="5">
        <v>44440</v>
      </c>
      <c r="J75" s="6">
        <v>0</v>
      </c>
      <c r="K75" s="6">
        <v>0</v>
      </c>
      <c r="L75" s="6">
        <v>173.40199999999999</v>
      </c>
      <c r="M75" s="6">
        <v>173.40199999999999</v>
      </c>
      <c r="N75" s="6">
        <v>173.40199999999999</v>
      </c>
      <c r="O75" s="6">
        <v>173.40199999999999</v>
      </c>
      <c r="P75" s="6">
        <v>0</v>
      </c>
      <c r="Q75" s="4" t="s">
        <v>26</v>
      </c>
      <c r="R75" s="4">
        <v>0</v>
      </c>
      <c r="S75" s="4" t="s">
        <v>90</v>
      </c>
      <c r="T75" s="4" t="s">
        <v>259</v>
      </c>
      <c r="U75" s="4">
        <v>0</v>
      </c>
      <c r="V75" s="4">
        <v>8</v>
      </c>
      <c r="W75" s="4">
        <v>51</v>
      </c>
    </row>
    <row r="76" spans="1:23" ht="11.25" customHeight="1" x14ac:dyDescent="0.25">
      <c r="A76" s="4" t="s">
        <v>21</v>
      </c>
      <c r="B76" s="4" t="s">
        <v>34</v>
      </c>
      <c r="C76" s="4" t="s">
        <v>35</v>
      </c>
      <c r="D76" s="4" t="s">
        <v>33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44470</v>
      </c>
      <c r="J76" s="6">
        <v>0</v>
      </c>
      <c r="K76" s="6">
        <v>0</v>
      </c>
      <c r="L76" s="6">
        <v>191.13900000000001</v>
      </c>
      <c r="M76" s="6">
        <v>191.13900000000001</v>
      </c>
      <c r="N76" s="6">
        <v>191.13900000000001</v>
      </c>
      <c r="O76" s="6">
        <v>191.13900000000001</v>
      </c>
      <c r="P76" s="6">
        <v>0</v>
      </c>
      <c r="Q76" s="4" t="s">
        <v>26</v>
      </c>
      <c r="R76" s="4">
        <v>0</v>
      </c>
      <c r="S76" s="4" t="s">
        <v>91</v>
      </c>
      <c r="T76" s="4" t="s">
        <v>260</v>
      </c>
      <c r="U76" s="4">
        <v>0</v>
      </c>
      <c r="V76" s="4">
        <v>8</v>
      </c>
      <c r="W76" s="4">
        <v>51</v>
      </c>
    </row>
    <row r="77" spans="1:23" ht="11.25" customHeight="1" x14ac:dyDescent="0.25">
      <c r="A77" s="4" t="s">
        <v>21</v>
      </c>
      <c r="B77" s="4" t="s">
        <v>34</v>
      </c>
      <c r="C77" s="4" t="s">
        <v>35</v>
      </c>
      <c r="D77" s="4" t="s">
        <v>33</v>
      </c>
      <c r="E77" s="4" t="s">
        <v>25</v>
      </c>
      <c r="F77" s="4" t="s">
        <v>25</v>
      </c>
      <c r="G77" s="4" t="s">
        <v>25</v>
      </c>
      <c r="H77" s="4" t="s">
        <v>37</v>
      </c>
      <c r="I77" s="5">
        <v>44501</v>
      </c>
      <c r="J77" s="6">
        <v>0</v>
      </c>
      <c r="K77" s="6">
        <v>0</v>
      </c>
      <c r="L77" s="6">
        <v>206.661</v>
      </c>
      <c r="M77" s="6">
        <v>206.661</v>
      </c>
      <c r="N77" s="6">
        <v>206.661</v>
      </c>
      <c r="O77" s="6">
        <v>206.661</v>
      </c>
      <c r="P77" s="6">
        <v>0</v>
      </c>
      <c r="Q77" s="4" t="s">
        <v>26</v>
      </c>
      <c r="R77" s="4">
        <v>0</v>
      </c>
      <c r="S77" s="4" t="s">
        <v>92</v>
      </c>
      <c r="T77" s="4" t="s">
        <v>261</v>
      </c>
      <c r="U77" s="4">
        <v>0</v>
      </c>
      <c r="V77" s="4">
        <v>8</v>
      </c>
      <c r="W77" s="4">
        <v>51</v>
      </c>
    </row>
    <row r="78" spans="1:23" ht="11.25" customHeight="1" x14ac:dyDescent="0.25">
      <c r="A78" s="4" t="s">
        <v>21</v>
      </c>
      <c r="B78" s="4" t="s">
        <v>34</v>
      </c>
      <c r="C78" s="4" t="s">
        <v>35</v>
      </c>
      <c r="D78" s="4" t="s">
        <v>33</v>
      </c>
      <c r="E78" s="4" t="s">
        <v>25</v>
      </c>
      <c r="F78" s="4" t="s">
        <v>25</v>
      </c>
      <c r="G78" s="4" t="s">
        <v>25</v>
      </c>
      <c r="H78" s="4" t="s">
        <v>37</v>
      </c>
      <c r="I78" s="5">
        <v>44531</v>
      </c>
      <c r="J78" s="6">
        <v>0</v>
      </c>
      <c r="K78" s="6">
        <v>0</v>
      </c>
      <c r="L78" s="6">
        <v>158.70099999999999</v>
      </c>
      <c r="M78" s="6">
        <v>158.70099999999999</v>
      </c>
      <c r="N78" s="6">
        <v>158.70099999999999</v>
      </c>
      <c r="O78" s="6">
        <v>158.70099999999999</v>
      </c>
      <c r="P78" s="6">
        <v>0</v>
      </c>
      <c r="Q78" s="4" t="s">
        <v>26</v>
      </c>
      <c r="R78" s="4">
        <v>0</v>
      </c>
      <c r="S78" s="4" t="s">
        <v>93</v>
      </c>
      <c r="T78" s="4" t="s">
        <v>262</v>
      </c>
      <c r="U78" s="4">
        <v>0</v>
      </c>
      <c r="V78" s="4">
        <v>8</v>
      </c>
      <c r="W78" s="4">
        <v>51</v>
      </c>
    </row>
    <row r="79" spans="1:23" ht="11.25" customHeight="1" x14ac:dyDescent="0.25">
      <c r="A79" s="4" t="s">
        <v>21</v>
      </c>
      <c r="B79" s="4" t="s">
        <v>34</v>
      </c>
      <c r="C79" s="4" t="s">
        <v>35</v>
      </c>
      <c r="D79" s="4" t="s">
        <v>33</v>
      </c>
      <c r="E79" s="4" t="s">
        <v>25</v>
      </c>
      <c r="F79" s="4" t="s">
        <v>25</v>
      </c>
      <c r="G79" s="4" t="s">
        <v>25</v>
      </c>
      <c r="H79" s="4" t="s">
        <v>37</v>
      </c>
      <c r="I79" s="5">
        <v>44562</v>
      </c>
      <c r="J79" s="6">
        <v>0</v>
      </c>
      <c r="K79" s="6">
        <v>0</v>
      </c>
      <c r="L79" s="6">
        <v>133.976</v>
      </c>
      <c r="M79" s="6">
        <v>133.976</v>
      </c>
      <c r="N79" s="6">
        <v>133.976</v>
      </c>
      <c r="O79" s="6">
        <v>133.976</v>
      </c>
      <c r="P79" s="6">
        <v>0</v>
      </c>
      <c r="Q79" s="4" t="s">
        <v>26</v>
      </c>
      <c r="R79" s="4">
        <v>0</v>
      </c>
      <c r="S79" s="4" t="s">
        <v>94</v>
      </c>
      <c r="T79" s="4" t="s">
        <v>263</v>
      </c>
      <c r="U79" s="4">
        <v>0</v>
      </c>
      <c r="V79" s="4">
        <v>8</v>
      </c>
      <c r="W79" s="4">
        <v>51</v>
      </c>
    </row>
    <row r="80" spans="1:23" ht="11.25" customHeight="1" x14ac:dyDescent="0.25">
      <c r="A80" s="4" t="s">
        <v>21</v>
      </c>
      <c r="B80" s="4" t="s">
        <v>34</v>
      </c>
      <c r="C80" s="4" t="s">
        <v>35</v>
      </c>
      <c r="D80" s="4" t="s">
        <v>33</v>
      </c>
      <c r="E80" s="4" t="s">
        <v>25</v>
      </c>
      <c r="F80" s="4" t="s">
        <v>25</v>
      </c>
      <c r="G80" s="4" t="s">
        <v>25</v>
      </c>
      <c r="H80" s="4" t="s">
        <v>37</v>
      </c>
      <c r="I80" s="5">
        <v>44593</v>
      </c>
      <c r="J80" s="6">
        <v>0</v>
      </c>
      <c r="K80" s="6">
        <v>0</v>
      </c>
      <c r="L80" s="6">
        <v>138.666</v>
      </c>
      <c r="M80" s="6">
        <v>138.666</v>
      </c>
      <c r="N80" s="6">
        <v>138.666</v>
      </c>
      <c r="O80" s="6">
        <v>138.666</v>
      </c>
      <c r="P80" s="6">
        <v>0</v>
      </c>
      <c r="Q80" s="4" t="s">
        <v>26</v>
      </c>
      <c r="R80" s="4">
        <v>0</v>
      </c>
      <c r="S80" s="4" t="s">
        <v>95</v>
      </c>
      <c r="T80" s="4" t="s">
        <v>264</v>
      </c>
      <c r="U80" s="4">
        <v>0</v>
      </c>
      <c r="V80" s="4">
        <v>8</v>
      </c>
      <c r="W80" s="4">
        <v>51</v>
      </c>
    </row>
    <row r="81" spans="1:23" ht="11.25" customHeight="1" x14ac:dyDescent="0.25">
      <c r="A81" s="4" t="s">
        <v>21</v>
      </c>
      <c r="B81" s="4" t="s">
        <v>34</v>
      </c>
      <c r="C81" s="4" t="s">
        <v>35</v>
      </c>
      <c r="D81" s="4" t="s">
        <v>33</v>
      </c>
      <c r="E81" s="4" t="s">
        <v>25</v>
      </c>
      <c r="F81" s="4" t="s">
        <v>25</v>
      </c>
      <c r="G81" s="4" t="s">
        <v>25</v>
      </c>
      <c r="H81" s="4" t="s">
        <v>37</v>
      </c>
      <c r="I81" s="5">
        <v>44621</v>
      </c>
      <c r="J81" s="6">
        <v>0</v>
      </c>
      <c r="K81" s="6">
        <v>0</v>
      </c>
      <c r="L81" s="6">
        <v>150.70599999999999</v>
      </c>
      <c r="M81" s="6">
        <v>150.70599999999999</v>
      </c>
      <c r="N81" s="6">
        <v>150.70599999999999</v>
      </c>
      <c r="O81" s="6">
        <v>150.70599999999999</v>
      </c>
      <c r="P81" s="6">
        <v>0</v>
      </c>
      <c r="Q81" s="4" t="s">
        <v>26</v>
      </c>
      <c r="R81" s="4">
        <v>0</v>
      </c>
      <c r="S81" s="4" t="s">
        <v>96</v>
      </c>
      <c r="T81" s="4" t="s">
        <v>265</v>
      </c>
      <c r="U81" s="4">
        <v>0</v>
      </c>
      <c r="V81" s="4">
        <v>8</v>
      </c>
      <c r="W81" s="4">
        <v>51</v>
      </c>
    </row>
    <row r="82" spans="1:23" ht="11.25" customHeight="1" x14ac:dyDescent="0.25">
      <c r="A82" s="4" t="s">
        <v>21</v>
      </c>
      <c r="B82" s="4" t="s">
        <v>34</v>
      </c>
      <c r="C82" s="4" t="s">
        <v>35</v>
      </c>
      <c r="D82" s="4" t="s">
        <v>33</v>
      </c>
      <c r="E82" s="4" t="s">
        <v>25</v>
      </c>
      <c r="F82" s="4" t="s">
        <v>25</v>
      </c>
      <c r="G82" s="4" t="s">
        <v>25</v>
      </c>
      <c r="H82" s="4" t="s">
        <v>37</v>
      </c>
      <c r="I82" s="5">
        <v>44652</v>
      </c>
      <c r="J82" s="6">
        <v>0</v>
      </c>
      <c r="K82" s="6">
        <v>0</v>
      </c>
      <c r="L82" s="6">
        <v>119.78400000000001</v>
      </c>
      <c r="M82" s="6">
        <v>119.78400000000001</v>
      </c>
      <c r="N82" s="6">
        <v>119.78400000000001</v>
      </c>
      <c r="O82" s="6">
        <v>119.78400000000001</v>
      </c>
      <c r="P82" s="6">
        <v>0</v>
      </c>
      <c r="Q82" s="4" t="s">
        <v>26</v>
      </c>
      <c r="R82" s="4">
        <v>0</v>
      </c>
      <c r="S82" s="4" t="s">
        <v>97</v>
      </c>
      <c r="T82" s="4" t="s">
        <v>266</v>
      </c>
      <c r="U82" s="4">
        <v>0</v>
      </c>
      <c r="V82" s="4">
        <v>8</v>
      </c>
      <c r="W82" s="4">
        <v>51</v>
      </c>
    </row>
    <row r="83" spans="1:23" ht="11.25" customHeight="1" x14ac:dyDescent="0.25">
      <c r="A83" s="4" t="s">
        <v>21</v>
      </c>
      <c r="B83" s="4" t="s">
        <v>34</v>
      </c>
      <c r="C83" s="4" t="s">
        <v>35</v>
      </c>
      <c r="D83" s="4" t="s">
        <v>33</v>
      </c>
      <c r="E83" s="4" t="s">
        <v>25</v>
      </c>
      <c r="F83" s="4" t="s">
        <v>25</v>
      </c>
      <c r="G83" s="4" t="s">
        <v>25</v>
      </c>
      <c r="H83" s="4" t="s">
        <v>37</v>
      </c>
      <c r="I83" s="5">
        <v>44682</v>
      </c>
      <c r="J83" s="6">
        <v>0</v>
      </c>
      <c r="K83" s="6">
        <v>0</v>
      </c>
      <c r="L83" s="6">
        <v>148.124</v>
      </c>
      <c r="M83" s="6">
        <v>148.124</v>
      </c>
      <c r="N83" s="6">
        <v>148.124</v>
      </c>
      <c r="O83" s="6">
        <v>148.124</v>
      </c>
      <c r="P83" s="6">
        <v>0</v>
      </c>
      <c r="Q83" s="4" t="s">
        <v>26</v>
      </c>
      <c r="R83" s="4">
        <v>0</v>
      </c>
      <c r="S83" s="4" t="s">
        <v>98</v>
      </c>
      <c r="T83" s="4" t="s">
        <v>267</v>
      </c>
      <c r="U83" s="4">
        <v>0</v>
      </c>
      <c r="V83" s="4">
        <v>8</v>
      </c>
      <c r="W83" s="4">
        <v>51</v>
      </c>
    </row>
    <row r="84" spans="1:23" ht="11.25" customHeight="1" x14ac:dyDescent="0.25">
      <c r="A84" s="4" t="s">
        <v>21</v>
      </c>
      <c r="B84" s="4" t="s">
        <v>34</v>
      </c>
      <c r="C84" s="4" t="s">
        <v>35</v>
      </c>
      <c r="D84" s="4" t="s">
        <v>33</v>
      </c>
      <c r="E84" s="4" t="s">
        <v>25</v>
      </c>
      <c r="F84" s="4" t="s">
        <v>25</v>
      </c>
      <c r="G84" s="4" t="s">
        <v>25</v>
      </c>
      <c r="H84" s="4" t="s">
        <v>37</v>
      </c>
      <c r="I84" s="5">
        <v>44713</v>
      </c>
      <c r="J84" s="6">
        <v>0</v>
      </c>
      <c r="K84" s="6">
        <v>0</v>
      </c>
      <c r="L84" s="6">
        <v>143.33099999999999</v>
      </c>
      <c r="M84" s="6">
        <v>143.33099999999999</v>
      </c>
      <c r="N84" s="6">
        <v>143.33099999999999</v>
      </c>
      <c r="O84" s="6">
        <v>143.33099999999999</v>
      </c>
      <c r="P84" s="6">
        <v>0</v>
      </c>
      <c r="Q84" s="4" t="s">
        <v>26</v>
      </c>
      <c r="R84" s="4">
        <v>0</v>
      </c>
      <c r="S84" s="4" t="s">
        <v>99</v>
      </c>
      <c r="T84" s="4" t="s">
        <v>268</v>
      </c>
      <c r="U84" s="4">
        <v>0</v>
      </c>
      <c r="V84" s="4">
        <v>8</v>
      </c>
      <c r="W84" s="4">
        <v>51</v>
      </c>
    </row>
    <row r="85" spans="1:23" ht="11.25" customHeight="1" x14ac:dyDescent="0.25">
      <c r="A85" s="4" t="s">
        <v>21</v>
      </c>
      <c r="B85" s="4" t="s">
        <v>34</v>
      </c>
      <c r="C85" s="4" t="s">
        <v>35</v>
      </c>
      <c r="D85" s="4" t="s">
        <v>33</v>
      </c>
      <c r="E85" s="4" t="s">
        <v>25</v>
      </c>
      <c r="F85" s="4" t="s">
        <v>25</v>
      </c>
      <c r="G85" s="4" t="s">
        <v>25</v>
      </c>
      <c r="H85" s="4" t="s">
        <v>37</v>
      </c>
      <c r="I85" s="5">
        <v>44743</v>
      </c>
      <c r="J85" s="6">
        <v>0</v>
      </c>
      <c r="K85" s="6">
        <v>0</v>
      </c>
      <c r="L85" s="6">
        <v>143.77099999999999</v>
      </c>
      <c r="M85" s="6">
        <v>143.77099999999999</v>
      </c>
      <c r="N85" s="6">
        <v>143.77099999999999</v>
      </c>
      <c r="O85" s="6">
        <v>143.77099999999999</v>
      </c>
      <c r="P85" s="6">
        <v>0</v>
      </c>
      <c r="Q85" s="4" t="s">
        <v>26</v>
      </c>
      <c r="R85" s="4">
        <v>0</v>
      </c>
      <c r="S85" s="4" t="s">
        <v>100</v>
      </c>
      <c r="T85" s="4" t="s">
        <v>269</v>
      </c>
      <c r="U85" s="4">
        <v>0</v>
      </c>
      <c r="V85" s="4">
        <v>8</v>
      </c>
      <c r="W85" s="4">
        <v>51</v>
      </c>
    </row>
    <row r="86" spans="1:23" ht="11.25" customHeight="1" x14ac:dyDescent="0.25">
      <c r="A86" s="4" t="s">
        <v>21</v>
      </c>
      <c r="B86" s="4" t="s">
        <v>34</v>
      </c>
      <c r="C86" s="4" t="s">
        <v>35</v>
      </c>
      <c r="D86" s="4" t="s">
        <v>33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44409</v>
      </c>
      <c r="J86" s="6">
        <v>1060</v>
      </c>
      <c r="K86" s="6">
        <v>1060</v>
      </c>
      <c r="L86" s="6">
        <v>0</v>
      </c>
      <c r="M86" s="6">
        <v>0</v>
      </c>
      <c r="N86" s="6">
        <v>0</v>
      </c>
      <c r="O86" s="6">
        <v>0</v>
      </c>
      <c r="P86" s="6">
        <v>6</v>
      </c>
      <c r="Q86" s="4" t="s">
        <v>26</v>
      </c>
      <c r="R86" s="4">
        <v>0</v>
      </c>
      <c r="S86" s="4" t="s">
        <v>101</v>
      </c>
      <c r="U86" s="4">
        <v>6</v>
      </c>
      <c r="V86" s="4">
        <v>0</v>
      </c>
      <c r="W86" s="4">
        <v>0</v>
      </c>
    </row>
    <row r="87" spans="1:23" ht="11.25" customHeight="1" x14ac:dyDescent="0.25">
      <c r="A87" s="4" t="s">
        <v>21</v>
      </c>
      <c r="B87" s="4" t="s">
        <v>34</v>
      </c>
      <c r="C87" s="4" t="s">
        <v>35</v>
      </c>
      <c r="D87" s="4" t="s">
        <v>33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44440</v>
      </c>
      <c r="J87" s="6">
        <v>1057</v>
      </c>
      <c r="K87" s="6">
        <v>1057</v>
      </c>
      <c r="L87" s="6">
        <v>0</v>
      </c>
      <c r="M87" s="6">
        <v>0</v>
      </c>
      <c r="N87" s="6">
        <v>0</v>
      </c>
      <c r="O87" s="6">
        <v>0</v>
      </c>
      <c r="P87" s="6">
        <v>6</v>
      </c>
      <c r="Q87" s="4" t="s">
        <v>26</v>
      </c>
      <c r="R87" s="4">
        <v>0</v>
      </c>
      <c r="S87" s="4" t="s">
        <v>102</v>
      </c>
      <c r="U87" s="4">
        <v>6</v>
      </c>
      <c r="V87" s="4">
        <v>0</v>
      </c>
      <c r="W87" s="4">
        <v>0</v>
      </c>
    </row>
    <row r="88" spans="1:23" ht="11.25" customHeight="1" x14ac:dyDescent="0.25">
      <c r="A88" s="4" t="s">
        <v>21</v>
      </c>
      <c r="B88" s="4" t="s">
        <v>34</v>
      </c>
      <c r="C88" s="4" t="s">
        <v>35</v>
      </c>
      <c r="D88" s="4" t="s">
        <v>33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44470</v>
      </c>
      <c r="J88" s="6">
        <v>955</v>
      </c>
      <c r="K88" s="6">
        <v>955</v>
      </c>
      <c r="L88" s="6">
        <v>0</v>
      </c>
      <c r="M88" s="6">
        <v>0</v>
      </c>
      <c r="N88" s="6">
        <v>0</v>
      </c>
      <c r="O88" s="6">
        <v>0</v>
      </c>
      <c r="P88" s="6">
        <v>6</v>
      </c>
      <c r="Q88" s="4" t="s">
        <v>26</v>
      </c>
      <c r="R88" s="4">
        <v>0</v>
      </c>
      <c r="S88" s="4" t="s">
        <v>103</v>
      </c>
      <c r="U88" s="4">
        <v>6</v>
      </c>
      <c r="V88" s="4">
        <v>0</v>
      </c>
      <c r="W88" s="4">
        <v>0</v>
      </c>
    </row>
    <row r="89" spans="1:23" ht="11.25" customHeight="1" x14ac:dyDescent="0.25">
      <c r="A89" s="4" t="s">
        <v>21</v>
      </c>
      <c r="B89" s="4" t="s">
        <v>34</v>
      </c>
      <c r="C89" s="4" t="s">
        <v>35</v>
      </c>
      <c r="D89" s="4" t="s">
        <v>33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44501</v>
      </c>
      <c r="J89" s="6">
        <v>983</v>
      </c>
      <c r="K89" s="6">
        <v>983</v>
      </c>
      <c r="L89" s="6">
        <v>0</v>
      </c>
      <c r="M89" s="6">
        <v>0</v>
      </c>
      <c r="N89" s="6">
        <v>0</v>
      </c>
      <c r="O89" s="6">
        <v>0</v>
      </c>
      <c r="P89" s="6">
        <v>6</v>
      </c>
      <c r="Q89" s="4" t="s">
        <v>26</v>
      </c>
      <c r="R89" s="4">
        <v>0</v>
      </c>
      <c r="S89" s="4" t="s">
        <v>104</v>
      </c>
      <c r="U89" s="4">
        <v>6</v>
      </c>
      <c r="V89" s="4">
        <v>0</v>
      </c>
      <c r="W89" s="4">
        <v>0</v>
      </c>
    </row>
    <row r="90" spans="1:23" ht="11.25" customHeight="1" x14ac:dyDescent="0.25">
      <c r="A90" s="4" t="s">
        <v>21</v>
      </c>
      <c r="B90" s="4" t="s">
        <v>34</v>
      </c>
      <c r="C90" s="4" t="s">
        <v>35</v>
      </c>
      <c r="D90" s="4" t="s">
        <v>33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44531</v>
      </c>
      <c r="J90" s="6">
        <v>1079</v>
      </c>
      <c r="K90" s="6">
        <v>1079</v>
      </c>
      <c r="L90" s="6">
        <v>0</v>
      </c>
      <c r="M90" s="6">
        <v>0</v>
      </c>
      <c r="N90" s="6">
        <v>0</v>
      </c>
      <c r="O90" s="6">
        <v>0</v>
      </c>
      <c r="P90" s="6">
        <v>6</v>
      </c>
      <c r="Q90" s="4" t="s">
        <v>26</v>
      </c>
      <c r="R90" s="4">
        <v>0</v>
      </c>
      <c r="S90" s="4" t="s">
        <v>105</v>
      </c>
      <c r="U90" s="4">
        <v>6</v>
      </c>
      <c r="V90" s="4">
        <v>0</v>
      </c>
      <c r="W90" s="4">
        <v>0</v>
      </c>
    </row>
    <row r="91" spans="1:23" ht="11.25" customHeight="1" x14ac:dyDescent="0.25">
      <c r="A91" s="4" t="s">
        <v>21</v>
      </c>
      <c r="B91" s="4" t="s">
        <v>34</v>
      </c>
      <c r="C91" s="4" t="s">
        <v>35</v>
      </c>
      <c r="D91" s="4" t="s">
        <v>33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44562</v>
      </c>
      <c r="J91" s="6">
        <v>874</v>
      </c>
      <c r="K91" s="6">
        <v>874</v>
      </c>
      <c r="L91" s="6">
        <v>0</v>
      </c>
      <c r="M91" s="6">
        <v>0</v>
      </c>
      <c r="N91" s="6">
        <v>0</v>
      </c>
      <c r="O91" s="6">
        <v>0</v>
      </c>
      <c r="P91" s="6">
        <v>6</v>
      </c>
      <c r="Q91" s="4" t="s">
        <v>26</v>
      </c>
      <c r="R91" s="4">
        <v>0</v>
      </c>
      <c r="S91" s="4" t="s">
        <v>106</v>
      </c>
      <c r="U91" s="4">
        <v>6</v>
      </c>
      <c r="V91" s="4">
        <v>0</v>
      </c>
      <c r="W91" s="4">
        <v>0</v>
      </c>
    </row>
    <row r="92" spans="1:23" ht="11.25" customHeight="1" x14ac:dyDescent="0.25">
      <c r="A92" s="4" t="s">
        <v>21</v>
      </c>
      <c r="B92" s="4" t="s">
        <v>34</v>
      </c>
      <c r="C92" s="4" t="s">
        <v>35</v>
      </c>
      <c r="D92" s="4" t="s">
        <v>33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44593</v>
      </c>
      <c r="J92" s="6">
        <v>936</v>
      </c>
      <c r="K92" s="6">
        <v>936</v>
      </c>
      <c r="L92" s="6">
        <v>0</v>
      </c>
      <c r="M92" s="6">
        <v>0</v>
      </c>
      <c r="N92" s="6">
        <v>0</v>
      </c>
      <c r="O92" s="6">
        <v>0</v>
      </c>
      <c r="P92" s="6">
        <v>7</v>
      </c>
      <c r="Q92" s="4" t="s">
        <v>26</v>
      </c>
      <c r="R92" s="4">
        <v>0</v>
      </c>
      <c r="S92" s="4" t="s">
        <v>107</v>
      </c>
      <c r="U92" s="4">
        <v>6</v>
      </c>
      <c r="V92" s="4">
        <v>0</v>
      </c>
      <c r="W92" s="4">
        <v>0</v>
      </c>
    </row>
    <row r="93" spans="1:23" ht="11.25" customHeight="1" x14ac:dyDescent="0.25">
      <c r="A93" s="4" t="s">
        <v>21</v>
      </c>
      <c r="B93" s="4" t="s">
        <v>34</v>
      </c>
      <c r="C93" s="4" t="s">
        <v>35</v>
      </c>
      <c r="D93" s="4" t="s">
        <v>33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44621</v>
      </c>
      <c r="J93" s="6">
        <v>887</v>
      </c>
      <c r="K93" s="6">
        <v>887</v>
      </c>
      <c r="L93" s="6">
        <v>0</v>
      </c>
      <c r="M93" s="6">
        <v>0</v>
      </c>
      <c r="N93" s="6">
        <v>0</v>
      </c>
      <c r="O93" s="6">
        <v>0</v>
      </c>
      <c r="P93" s="6">
        <v>6</v>
      </c>
      <c r="Q93" s="4" t="s">
        <v>26</v>
      </c>
      <c r="R93" s="4">
        <v>0</v>
      </c>
      <c r="S93" s="4" t="s">
        <v>108</v>
      </c>
      <c r="U93" s="4">
        <v>6</v>
      </c>
      <c r="V93" s="4">
        <v>0</v>
      </c>
      <c r="W93" s="4">
        <v>0</v>
      </c>
    </row>
    <row r="94" spans="1:23" ht="11.25" customHeight="1" x14ac:dyDescent="0.25">
      <c r="A94" s="4" t="s">
        <v>21</v>
      </c>
      <c r="B94" s="4" t="s">
        <v>34</v>
      </c>
      <c r="C94" s="4" t="s">
        <v>35</v>
      </c>
      <c r="D94" s="4" t="s">
        <v>33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44652</v>
      </c>
      <c r="J94" s="6">
        <v>923</v>
      </c>
      <c r="K94" s="6">
        <v>923</v>
      </c>
      <c r="L94" s="6">
        <v>0</v>
      </c>
      <c r="M94" s="6">
        <v>0</v>
      </c>
      <c r="N94" s="6">
        <v>0</v>
      </c>
      <c r="O94" s="6">
        <v>0</v>
      </c>
      <c r="P94" s="6">
        <v>6</v>
      </c>
      <c r="Q94" s="4" t="s">
        <v>26</v>
      </c>
      <c r="R94" s="4">
        <v>0</v>
      </c>
      <c r="S94" s="4" t="s">
        <v>109</v>
      </c>
      <c r="U94" s="4">
        <v>6</v>
      </c>
      <c r="V94" s="4">
        <v>0</v>
      </c>
      <c r="W94" s="4">
        <v>0</v>
      </c>
    </row>
    <row r="95" spans="1:23" ht="11.25" customHeight="1" x14ac:dyDescent="0.25">
      <c r="A95" s="4" t="s">
        <v>21</v>
      </c>
      <c r="B95" s="4" t="s">
        <v>34</v>
      </c>
      <c r="C95" s="4" t="s">
        <v>35</v>
      </c>
      <c r="D95" s="4" t="s">
        <v>33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44682</v>
      </c>
      <c r="J95" s="6">
        <v>902</v>
      </c>
      <c r="K95" s="6">
        <v>902</v>
      </c>
      <c r="L95" s="6">
        <v>0</v>
      </c>
      <c r="M95" s="6">
        <v>0</v>
      </c>
      <c r="N95" s="6">
        <v>0</v>
      </c>
      <c r="O95" s="6">
        <v>0</v>
      </c>
      <c r="P95" s="6">
        <v>6</v>
      </c>
      <c r="Q95" s="4" t="s">
        <v>26</v>
      </c>
      <c r="R95" s="4">
        <v>0</v>
      </c>
      <c r="S95" s="4" t="s">
        <v>110</v>
      </c>
      <c r="U95" s="4">
        <v>6</v>
      </c>
      <c r="V95" s="4">
        <v>0</v>
      </c>
      <c r="W95" s="4">
        <v>0</v>
      </c>
    </row>
    <row r="96" spans="1:23" ht="11.25" customHeight="1" x14ac:dyDescent="0.25">
      <c r="A96" s="4" t="s">
        <v>21</v>
      </c>
      <c r="B96" s="4" t="s">
        <v>34</v>
      </c>
      <c r="C96" s="4" t="s">
        <v>35</v>
      </c>
      <c r="D96" s="4" t="s">
        <v>33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931</v>
      </c>
      <c r="K96" s="6">
        <v>931</v>
      </c>
      <c r="L96" s="6">
        <v>0</v>
      </c>
      <c r="M96" s="6">
        <v>0</v>
      </c>
      <c r="N96" s="6">
        <v>0</v>
      </c>
      <c r="O96" s="6">
        <v>0</v>
      </c>
      <c r="P96" s="6">
        <v>6</v>
      </c>
      <c r="Q96" s="4" t="s">
        <v>26</v>
      </c>
      <c r="R96" s="4">
        <v>0</v>
      </c>
      <c r="S96" s="4" t="s">
        <v>111</v>
      </c>
      <c r="U96" s="4">
        <v>6</v>
      </c>
      <c r="V96" s="4">
        <v>0</v>
      </c>
      <c r="W96" s="4">
        <v>0</v>
      </c>
    </row>
    <row r="97" spans="1:23" ht="11.25" customHeight="1" x14ac:dyDescent="0.25">
      <c r="A97" s="4" t="s">
        <v>21</v>
      </c>
      <c r="B97" s="4" t="s">
        <v>34</v>
      </c>
      <c r="C97" s="4" t="s">
        <v>35</v>
      </c>
      <c r="D97" s="4" t="s">
        <v>33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44743</v>
      </c>
      <c r="J97" s="6">
        <v>930</v>
      </c>
      <c r="K97" s="6">
        <v>930</v>
      </c>
      <c r="L97" s="6">
        <v>0</v>
      </c>
      <c r="M97" s="6">
        <v>0</v>
      </c>
      <c r="N97" s="6">
        <v>0</v>
      </c>
      <c r="O97" s="6">
        <v>0</v>
      </c>
      <c r="P97" s="6">
        <v>6</v>
      </c>
      <c r="Q97" s="4" t="s">
        <v>26</v>
      </c>
      <c r="R97" s="4">
        <v>0</v>
      </c>
      <c r="S97" s="4" t="s">
        <v>112</v>
      </c>
      <c r="U97" s="4">
        <v>6</v>
      </c>
      <c r="V97" s="4">
        <v>0</v>
      </c>
      <c r="W97" s="4">
        <v>0</v>
      </c>
    </row>
    <row r="98" spans="1:23" ht="11.25" customHeight="1" x14ac:dyDescent="0.25">
      <c r="A98" s="4" t="s">
        <v>21</v>
      </c>
      <c r="B98" s="4" t="s">
        <v>34</v>
      </c>
      <c r="C98" s="4" t="s">
        <v>35</v>
      </c>
      <c r="D98" s="4" t="s">
        <v>33</v>
      </c>
      <c r="E98" s="4" t="s">
        <v>25</v>
      </c>
      <c r="F98" s="4" t="s">
        <v>25</v>
      </c>
      <c r="G98" s="4" t="s">
        <v>25</v>
      </c>
      <c r="H98" s="4" t="s">
        <v>36</v>
      </c>
      <c r="I98" s="5">
        <v>44409</v>
      </c>
      <c r="J98" s="6">
        <v>0</v>
      </c>
      <c r="K98" s="6">
        <v>0</v>
      </c>
      <c r="L98" s="6">
        <v>9.4670000000000005</v>
      </c>
      <c r="M98" s="6">
        <v>9.4670000000000005</v>
      </c>
      <c r="N98" s="6">
        <v>9.4670000000000005</v>
      </c>
      <c r="O98" s="6">
        <v>9.4670000000000005</v>
      </c>
      <c r="P98" s="6">
        <v>0</v>
      </c>
      <c r="Q98" s="4" t="s">
        <v>26</v>
      </c>
      <c r="R98" s="4">
        <v>0</v>
      </c>
      <c r="S98" s="4" t="s">
        <v>113</v>
      </c>
      <c r="T98" s="4" t="s">
        <v>274</v>
      </c>
      <c r="U98" s="4">
        <v>0</v>
      </c>
      <c r="V98" s="4">
        <v>7</v>
      </c>
      <c r="W98" s="4">
        <v>50</v>
      </c>
    </row>
    <row r="99" spans="1:23" ht="11.25" customHeight="1" x14ac:dyDescent="0.25">
      <c r="A99" s="4" t="s">
        <v>21</v>
      </c>
      <c r="B99" s="4" t="s">
        <v>34</v>
      </c>
      <c r="C99" s="4" t="s">
        <v>35</v>
      </c>
      <c r="D99" s="4" t="s">
        <v>33</v>
      </c>
      <c r="E99" s="4" t="s">
        <v>25</v>
      </c>
      <c r="F99" s="4" t="s">
        <v>25</v>
      </c>
      <c r="G99" s="4" t="s">
        <v>25</v>
      </c>
      <c r="H99" s="4" t="s">
        <v>36</v>
      </c>
      <c r="I99" s="5">
        <v>44440</v>
      </c>
      <c r="J99" s="6">
        <v>0</v>
      </c>
      <c r="K99" s="6">
        <v>0</v>
      </c>
      <c r="L99" s="6">
        <v>8.6820000000000004</v>
      </c>
      <c r="M99" s="6">
        <v>8.6820000000000004</v>
      </c>
      <c r="N99" s="6">
        <v>8.6820000000000004</v>
      </c>
      <c r="O99" s="6">
        <v>8.6820000000000004</v>
      </c>
      <c r="P99" s="6">
        <v>0</v>
      </c>
      <c r="Q99" s="4" t="s">
        <v>26</v>
      </c>
      <c r="R99" s="4">
        <v>0</v>
      </c>
      <c r="S99" s="4" t="s">
        <v>114</v>
      </c>
      <c r="T99" s="4" t="s">
        <v>275</v>
      </c>
      <c r="U99" s="4">
        <v>0</v>
      </c>
      <c r="V99" s="4">
        <v>7</v>
      </c>
      <c r="W99" s="4">
        <v>50</v>
      </c>
    </row>
    <row r="100" spans="1:23" ht="11.25" customHeight="1" x14ac:dyDescent="0.25">
      <c r="A100" s="4" t="s">
        <v>21</v>
      </c>
      <c r="B100" s="4" t="s">
        <v>34</v>
      </c>
      <c r="C100" s="4" t="s">
        <v>35</v>
      </c>
      <c r="D100" s="4" t="s">
        <v>33</v>
      </c>
      <c r="E100" s="4" t="s">
        <v>25</v>
      </c>
      <c r="F100" s="4" t="s">
        <v>25</v>
      </c>
      <c r="G100" s="4" t="s">
        <v>25</v>
      </c>
      <c r="H100" s="4" t="s">
        <v>36</v>
      </c>
      <c r="I100" s="5">
        <v>44470</v>
      </c>
      <c r="J100" s="6">
        <v>0</v>
      </c>
      <c r="K100" s="6">
        <v>0</v>
      </c>
      <c r="L100" s="6">
        <v>7.7679999999999998</v>
      </c>
      <c r="M100" s="6">
        <v>7.7679999999999998</v>
      </c>
      <c r="N100" s="6">
        <v>7.7679999999999998</v>
      </c>
      <c r="O100" s="6">
        <v>7.7679999999999998</v>
      </c>
      <c r="P100" s="6">
        <v>0</v>
      </c>
      <c r="Q100" s="4" t="s">
        <v>26</v>
      </c>
      <c r="R100" s="4">
        <v>0</v>
      </c>
      <c r="S100" s="4" t="s">
        <v>115</v>
      </c>
      <c r="T100" s="4" t="s">
        <v>276</v>
      </c>
      <c r="U100" s="4">
        <v>0</v>
      </c>
      <c r="V100" s="4">
        <v>7</v>
      </c>
      <c r="W100" s="4">
        <v>50</v>
      </c>
    </row>
    <row r="101" spans="1:23" ht="11.25" customHeight="1" x14ac:dyDescent="0.25">
      <c r="A101" s="4" t="s">
        <v>21</v>
      </c>
      <c r="B101" s="4" t="s">
        <v>34</v>
      </c>
      <c r="C101" s="4" t="s">
        <v>35</v>
      </c>
      <c r="D101" s="4" t="s">
        <v>33</v>
      </c>
      <c r="E101" s="4" t="s">
        <v>25</v>
      </c>
      <c r="F101" s="4" t="s">
        <v>25</v>
      </c>
      <c r="G101" s="4" t="s">
        <v>25</v>
      </c>
      <c r="H101" s="4" t="s">
        <v>36</v>
      </c>
      <c r="I101" s="5">
        <v>44501</v>
      </c>
      <c r="J101" s="6">
        <v>0</v>
      </c>
      <c r="K101" s="6">
        <v>0</v>
      </c>
      <c r="L101" s="6">
        <v>7.8209999999999997</v>
      </c>
      <c r="M101" s="6">
        <v>7.8209999999999997</v>
      </c>
      <c r="N101" s="6">
        <v>7.8209999999999997</v>
      </c>
      <c r="O101" s="6">
        <v>7.8209999999999997</v>
      </c>
      <c r="P101" s="6">
        <v>0</v>
      </c>
      <c r="Q101" s="4" t="s">
        <v>26</v>
      </c>
      <c r="R101" s="4">
        <v>0</v>
      </c>
      <c r="S101" s="4" t="s">
        <v>116</v>
      </c>
      <c r="T101" s="4" t="s">
        <v>277</v>
      </c>
      <c r="U101" s="4">
        <v>0</v>
      </c>
      <c r="V101" s="4">
        <v>7</v>
      </c>
      <c r="W101" s="4">
        <v>50</v>
      </c>
    </row>
    <row r="102" spans="1:23" ht="11.25" customHeight="1" x14ac:dyDescent="0.25">
      <c r="A102" s="4" t="s">
        <v>21</v>
      </c>
      <c r="B102" s="4" t="s">
        <v>34</v>
      </c>
      <c r="C102" s="4" t="s">
        <v>35</v>
      </c>
      <c r="D102" s="4" t="s">
        <v>33</v>
      </c>
      <c r="E102" s="4" t="s">
        <v>25</v>
      </c>
      <c r="F102" s="4" t="s">
        <v>25</v>
      </c>
      <c r="G102" s="4" t="s">
        <v>25</v>
      </c>
      <c r="H102" s="4" t="s">
        <v>36</v>
      </c>
      <c r="I102" s="5">
        <v>44531</v>
      </c>
      <c r="J102" s="6">
        <v>0</v>
      </c>
      <c r="K102" s="6">
        <v>0</v>
      </c>
      <c r="L102" s="6">
        <v>5.6539999999999999</v>
      </c>
      <c r="M102" s="6">
        <v>5.6539999999999999</v>
      </c>
      <c r="N102" s="6">
        <v>5.6539999999999999</v>
      </c>
      <c r="O102" s="6">
        <v>5.6539999999999999</v>
      </c>
      <c r="P102" s="6">
        <v>0</v>
      </c>
      <c r="Q102" s="4" t="s">
        <v>26</v>
      </c>
      <c r="R102" s="4">
        <v>0</v>
      </c>
      <c r="S102" s="4" t="s">
        <v>117</v>
      </c>
      <c r="T102" s="4" t="s">
        <v>278</v>
      </c>
      <c r="U102" s="4">
        <v>0</v>
      </c>
      <c r="V102" s="4">
        <v>7</v>
      </c>
      <c r="W102" s="4">
        <v>50</v>
      </c>
    </row>
    <row r="103" spans="1:23" ht="11.25" customHeight="1" x14ac:dyDescent="0.25">
      <c r="A103" s="4" t="s">
        <v>21</v>
      </c>
      <c r="B103" s="4" t="s">
        <v>34</v>
      </c>
      <c r="C103" s="4" t="s">
        <v>35</v>
      </c>
      <c r="D103" s="4" t="s">
        <v>33</v>
      </c>
      <c r="E103" s="4" t="s">
        <v>25</v>
      </c>
      <c r="F103" s="4" t="s">
        <v>25</v>
      </c>
      <c r="G103" s="4" t="s">
        <v>25</v>
      </c>
      <c r="H103" s="4" t="s">
        <v>36</v>
      </c>
      <c r="I103" s="5">
        <v>44562</v>
      </c>
      <c r="J103" s="6">
        <v>0</v>
      </c>
      <c r="K103" s="6">
        <v>0</v>
      </c>
      <c r="L103" s="6">
        <v>4.7830000000000004</v>
      </c>
      <c r="M103" s="6">
        <v>4.7830000000000004</v>
      </c>
      <c r="N103" s="6">
        <v>4.7830000000000004</v>
      </c>
      <c r="O103" s="6">
        <v>4.7830000000000004</v>
      </c>
      <c r="P103" s="6">
        <v>0</v>
      </c>
      <c r="Q103" s="4" t="s">
        <v>26</v>
      </c>
      <c r="R103" s="4">
        <v>0</v>
      </c>
      <c r="S103" s="4" t="s">
        <v>118</v>
      </c>
      <c r="T103" s="4" t="s">
        <v>279</v>
      </c>
      <c r="U103" s="4">
        <v>0</v>
      </c>
      <c r="V103" s="4">
        <v>7</v>
      </c>
      <c r="W103" s="4">
        <v>50</v>
      </c>
    </row>
    <row r="104" spans="1:23" ht="11.25" customHeight="1" x14ac:dyDescent="0.25">
      <c r="A104" s="4" t="s">
        <v>21</v>
      </c>
      <c r="B104" s="4" t="s">
        <v>34</v>
      </c>
      <c r="C104" s="4" t="s">
        <v>35</v>
      </c>
      <c r="D104" s="4" t="s">
        <v>33</v>
      </c>
      <c r="E104" s="4" t="s">
        <v>25</v>
      </c>
      <c r="F104" s="4" t="s">
        <v>25</v>
      </c>
      <c r="G104" s="4" t="s">
        <v>25</v>
      </c>
      <c r="H104" s="4" t="s">
        <v>36</v>
      </c>
      <c r="I104" s="5">
        <v>44593</v>
      </c>
      <c r="J104" s="6">
        <v>0</v>
      </c>
      <c r="K104" s="6">
        <v>0</v>
      </c>
      <c r="L104" s="6">
        <v>4.8639999999999999</v>
      </c>
      <c r="M104" s="6">
        <v>4.8639999999999999</v>
      </c>
      <c r="N104" s="6">
        <v>4.8639999999999999</v>
      </c>
      <c r="O104" s="6">
        <v>4.8639999999999999</v>
      </c>
      <c r="P104" s="6">
        <v>0</v>
      </c>
      <c r="Q104" s="4" t="s">
        <v>26</v>
      </c>
      <c r="R104" s="4">
        <v>0</v>
      </c>
      <c r="S104" s="4" t="s">
        <v>119</v>
      </c>
      <c r="T104" s="4" t="s">
        <v>280</v>
      </c>
      <c r="U104" s="4">
        <v>0</v>
      </c>
      <c r="V104" s="4">
        <v>7</v>
      </c>
      <c r="W104" s="4">
        <v>50</v>
      </c>
    </row>
    <row r="105" spans="1:23" ht="11.25" customHeight="1" x14ac:dyDescent="0.25">
      <c r="A105" s="4" t="s">
        <v>21</v>
      </c>
      <c r="B105" s="4" t="s">
        <v>34</v>
      </c>
      <c r="C105" s="4" t="s">
        <v>35</v>
      </c>
      <c r="D105" s="4" t="s">
        <v>33</v>
      </c>
      <c r="E105" s="4" t="s">
        <v>25</v>
      </c>
      <c r="F105" s="4" t="s">
        <v>25</v>
      </c>
      <c r="G105" s="4" t="s">
        <v>25</v>
      </c>
      <c r="H105" s="4" t="s">
        <v>36</v>
      </c>
      <c r="I105" s="5">
        <v>44621</v>
      </c>
      <c r="J105" s="6">
        <v>0</v>
      </c>
      <c r="K105" s="6">
        <v>0</v>
      </c>
      <c r="L105" s="6">
        <v>5.569</v>
      </c>
      <c r="M105" s="6">
        <v>5.569</v>
      </c>
      <c r="N105" s="6">
        <v>5.569</v>
      </c>
      <c r="O105" s="6">
        <v>5.569</v>
      </c>
      <c r="P105" s="6">
        <v>0</v>
      </c>
      <c r="Q105" s="4" t="s">
        <v>26</v>
      </c>
      <c r="R105" s="4">
        <v>0</v>
      </c>
      <c r="S105" s="4" t="s">
        <v>120</v>
      </c>
      <c r="T105" s="4" t="s">
        <v>281</v>
      </c>
      <c r="U105" s="4">
        <v>0</v>
      </c>
      <c r="V105" s="4">
        <v>7</v>
      </c>
      <c r="W105" s="4">
        <v>50</v>
      </c>
    </row>
    <row r="106" spans="1:23" ht="11.25" customHeight="1" x14ac:dyDescent="0.25">
      <c r="A106" s="4" t="s">
        <v>21</v>
      </c>
      <c r="B106" s="4" t="s">
        <v>34</v>
      </c>
      <c r="C106" s="4" t="s">
        <v>35</v>
      </c>
      <c r="D106" s="4" t="s">
        <v>33</v>
      </c>
      <c r="E106" s="4" t="s">
        <v>25</v>
      </c>
      <c r="F106" s="4" t="s">
        <v>25</v>
      </c>
      <c r="G106" s="4" t="s">
        <v>25</v>
      </c>
      <c r="H106" s="4" t="s">
        <v>36</v>
      </c>
      <c r="I106" s="5">
        <v>44652</v>
      </c>
      <c r="J106" s="6">
        <v>0</v>
      </c>
      <c r="K106" s="6">
        <v>0</v>
      </c>
      <c r="L106" s="6">
        <v>3.931</v>
      </c>
      <c r="M106" s="6">
        <v>3.931</v>
      </c>
      <c r="N106" s="6">
        <v>3.931</v>
      </c>
      <c r="O106" s="6">
        <v>3.931</v>
      </c>
      <c r="P106" s="6">
        <v>0</v>
      </c>
      <c r="Q106" s="4" t="s">
        <v>26</v>
      </c>
      <c r="R106" s="4">
        <v>0</v>
      </c>
      <c r="S106" s="4" t="s">
        <v>121</v>
      </c>
      <c r="T106" s="4" t="s">
        <v>282</v>
      </c>
      <c r="U106" s="4">
        <v>0</v>
      </c>
      <c r="V106" s="4">
        <v>7</v>
      </c>
      <c r="W106" s="4">
        <v>50</v>
      </c>
    </row>
    <row r="107" spans="1:23" ht="11.25" customHeight="1" x14ac:dyDescent="0.25">
      <c r="A107" s="4" t="s">
        <v>21</v>
      </c>
      <c r="B107" s="4" t="s">
        <v>34</v>
      </c>
      <c r="C107" s="4" t="s">
        <v>35</v>
      </c>
      <c r="D107" s="4" t="s">
        <v>33</v>
      </c>
      <c r="E107" s="4" t="s">
        <v>25</v>
      </c>
      <c r="F107" s="4" t="s">
        <v>25</v>
      </c>
      <c r="G107" s="4" t="s">
        <v>25</v>
      </c>
      <c r="H107" s="4" t="s">
        <v>36</v>
      </c>
      <c r="I107" s="5">
        <v>44682</v>
      </c>
      <c r="J107" s="6">
        <v>0</v>
      </c>
      <c r="K107" s="6">
        <v>0</v>
      </c>
      <c r="L107" s="6">
        <v>5.6840000000000002</v>
      </c>
      <c r="M107" s="6">
        <v>5.6840000000000002</v>
      </c>
      <c r="N107" s="6">
        <v>5.6840000000000002</v>
      </c>
      <c r="O107" s="6">
        <v>5.6840000000000002</v>
      </c>
      <c r="P107" s="6">
        <v>0</v>
      </c>
      <c r="Q107" s="4" t="s">
        <v>26</v>
      </c>
      <c r="R107" s="4">
        <v>0</v>
      </c>
      <c r="S107" s="4" t="s">
        <v>122</v>
      </c>
      <c r="T107" s="4" t="s">
        <v>283</v>
      </c>
      <c r="U107" s="4">
        <v>0</v>
      </c>
      <c r="V107" s="4">
        <v>7</v>
      </c>
      <c r="W107" s="4">
        <v>50</v>
      </c>
    </row>
    <row r="108" spans="1:23" ht="11.25" customHeight="1" x14ac:dyDescent="0.25">
      <c r="A108" s="4" t="s">
        <v>21</v>
      </c>
      <c r="B108" s="4" t="s">
        <v>34</v>
      </c>
      <c r="C108" s="4" t="s">
        <v>35</v>
      </c>
      <c r="D108" s="4" t="s">
        <v>33</v>
      </c>
      <c r="E108" s="4" t="s">
        <v>25</v>
      </c>
      <c r="F108" s="4" t="s">
        <v>25</v>
      </c>
      <c r="G108" s="4" t="s">
        <v>25</v>
      </c>
      <c r="H108" s="4" t="s">
        <v>36</v>
      </c>
      <c r="I108" s="5">
        <v>44713</v>
      </c>
      <c r="J108" s="6">
        <v>0</v>
      </c>
      <c r="K108" s="6">
        <v>0</v>
      </c>
      <c r="L108" s="6">
        <v>5.5490000000000004</v>
      </c>
      <c r="M108" s="6">
        <v>5.5490000000000004</v>
      </c>
      <c r="N108" s="6">
        <v>5.5490000000000004</v>
      </c>
      <c r="O108" s="6">
        <v>5.5490000000000004</v>
      </c>
      <c r="P108" s="6">
        <v>0</v>
      </c>
      <c r="Q108" s="4" t="s">
        <v>26</v>
      </c>
      <c r="R108" s="4">
        <v>0</v>
      </c>
      <c r="S108" s="4" t="s">
        <v>123</v>
      </c>
      <c r="T108" s="4" t="s">
        <v>284</v>
      </c>
      <c r="U108" s="4">
        <v>0</v>
      </c>
      <c r="V108" s="4">
        <v>7</v>
      </c>
      <c r="W108" s="4">
        <v>50</v>
      </c>
    </row>
    <row r="109" spans="1:23" ht="11.25" customHeight="1" x14ac:dyDescent="0.25">
      <c r="A109" s="4" t="s">
        <v>21</v>
      </c>
      <c r="B109" s="4" t="s">
        <v>34</v>
      </c>
      <c r="C109" s="4" t="s">
        <v>35</v>
      </c>
      <c r="D109" s="4" t="s">
        <v>33</v>
      </c>
      <c r="E109" s="4" t="s">
        <v>25</v>
      </c>
      <c r="F109" s="4" t="s">
        <v>25</v>
      </c>
      <c r="G109" s="4" t="s">
        <v>25</v>
      </c>
      <c r="H109" s="4" t="s">
        <v>36</v>
      </c>
      <c r="I109" s="5">
        <v>44743</v>
      </c>
      <c r="J109" s="6">
        <v>0</v>
      </c>
      <c r="K109" s="6">
        <v>0</v>
      </c>
      <c r="L109" s="6">
        <v>4.47</v>
      </c>
      <c r="M109" s="6">
        <v>4.47</v>
      </c>
      <c r="N109" s="6">
        <v>4.47</v>
      </c>
      <c r="O109" s="6">
        <v>4.47</v>
      </c>
      <c r="P109" s="6">
        <v>0</v>
      </c>
      <c r="Q109" s="4" t="s">
        <v>26</v>
      </c>
      <c r="R109" s="4">
        <v>0</v>
      </c>
      <c r="S109" s="4" t="s">
        <v>124</v>
      </c>
      <c r="T109" s="4" t="s">
        <v>285</v>
      </c>
      <c r="U109" s="4">
        <v>0</v>
      </c>
      <c r="V109" s="4">
        <v>7</v>
      </c>
      <c r="W109" s="4">
        <v>50</v>
      </c>
    </row>
    <row r="110" spans="1:23" ht="11.25" customHeight="1" x14ac:dyDescent="0.25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44409</v>
      </c>
      <c r="J110" s="6">
        <v>0</v>
      </c>
      <c r="K110" s="6">
        <v>0</v>
      </c>
      <c r="L110" s="6">
        <v>542.63900000000001</v>
      </c>
      <c r="M110" s="6">
        <v>542.63900000000001</v>
      </c>
      <c r="N110" s="6">
        <v>542.63900000000001</v>
      </c>
      <c r="O110" s="6">
        <v>542.63900000000001</v>
      </c>
      <c r="P110" s="6">
        <v>2963</v>
      </c>
      <c r="Q110" s="4" t="s">
        <v>26</v>
      </c>
      <c r="R110" s="4">
        <v>0</v>
      </c>
      <c r="S110" s="4" t="s">
        <v>125</v>
      </c>
      <c r="T110" s="4" t="s">
        <v>286</v>
      </c>
      <c r="U110" s="4">
        <v>0</v>
      </c>
      <c r="V110" s="4">
        <v>18</v>
      </c>
      <c r="W110" s="4">
        <v>56</v>
      </c>
    </row>
    <row r="111" spans="1:23" ht="11.25" customHeight="1" x14ac:dyDescent="0.25">
      <c r="A111" s="4" t="s">
        <v>27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44409</v>
      </c>
      <c r="J111" s="6">
        <v>0</v>
      </c>
      <c r="K111" s="6">
        <v>0</v>
      </c>
      <c r="L111" s="6">
        <v>2.3889999999999998</v>
      </c>
      <c r="M111" s="6">
        <v>2.3889999999999998</v>
      </c>
      <c r="N111" s="6">
        <v>2.3889999999999998</v>
      </c>
      <c r="O111" s="6">
        <v>2.3889999999999998</v>
      </c>
      <c r="P111" s="6">
        <v>21</v>
      </c>
      <c r="Q111" s="4" t="s">
        <v>26</v>
      </c>
      <c r="R111" s="4">
        <v>0</v>
      </c>
      <c r="S111" s="4" t="s">
        <v>125</v>
      </c>
      <c r="T111" s="4" t="s">
        <v>286</v>
      </c>
      <c r="U111" s="4">
        <v>0</v>
      </c>
      <c r="V111" s="4">
        <v>18</v>
      </c>
      <c r="W111" s="4">
        <v>56</v>
      </c>
    </row>
    <row r="112" spans="1:23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44440</v>
      </c>
      <c r="J112" s="6">
        <v>0</v>
      </c>
      <c r="K112" s="6">
        <v>0</v>
      </c>
      <c r="L112" s="6">
        <v>502.65699999999998</v>
      </c>
      <c r="M112" s="6">
        <v>502.65699999999998</v>
      </c>
      <c r="N112" s="6">
        <v>502.65699999999998</v>
      </c>
      <c r="O112" s="6">
        <v>502.65699999999998</v>
      </c>
      <c r="P112" s="6">
        <v>2965</v>
      </c>
      <c r="Q112" s="4" t="s">
        <v>26</v>
      </c>
      <c r="R112" s="4">
        <v>0</v>
      </c>
      <c r="S112" s="4" t="s">
        <v>126</v>
      </c>
      <c r="T112" s="4" t="s">
        <v>287</v>
      </c>
      <c r="U112" s="4">
        <v>0</v>
      </c>
      <c r="V112" s="4">
        <v>18</v>
      </c>
      <c r="W112" s="4">
        <v>56</v>
      </c>
    </row>
    <row r="113" spans="1:23" ht="11.25" customHeight="1" x14ac:dyDescent="0.25">
      <c r="A113" s="4" t="s">
        <v>27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44440</v>
      </c>
      <c r="J113" s="6">
        <v>0</v>
      </c>
      <c r="K113" s="6">
        <v>0</v>
      </c>
      <c r="L113" s="6">
        <v>2.5299999999999998</v>
      </c>
      <c r="M113" s="6">
        <v>2.5299999999999998</v>
      </c>
      <c r="N113" s="6">
        <v>2.5299999999999998</v>
      </c>
      <c r="O113" s="6">
        <v>2.5299999999999998</v>
      </c>
      <c r="P113" s="6">
        <v>23</v>
      </c>
      <c r="Q113" s="4" t="s">
        <v>26</v>
      </c>
      <c r="R113" s="4">
        <v>0</v>
      </c>
      <c r="S113" s="4" t="s">
        <v>126</v>
      </c>
      <c r="T113" s="4" t="s">
        <v>287</v>
      </c>
      <c r="U113" s="4">
        <v>0</v>
      </c>
      <c r="V113" s="4">
        <v>18</v>
      </c>
      <c r="W113" s="4">
        <v>56</v>
      </c>
    </row>
    <row r="114" spans="1:23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44470</v>
      </c>
      <c r="J114" s="6">
        <v>0</v>
      </c>
      <c r="K114" s="6">
        <v>0</v>
      </c>
      <c r="L114" s="6">
        <v>562.58399999999995</v>
      </c>
      <c r="M114" s="6">
        <v>562.58399999999995</v>
      </c>
      <c r="N114" s="6">
        <v>562.58399999999995</v>
      </c>
      <c r="O114" s="6">
        <v>562.58399999999995</v>
      </c>
      <c r="P114" s="6">
        <v>2968</v>
      </c>
      <c r="Q114" s="4" t="s">
        <v>26</v>
      </c>
      <c r="R114" s="4">
        <v>0</v>
      </c>
      <c r="S114" s="4" t="s">
        <v>127</v>
      </c>
      <c r="T114" s="4" t="s">
        <v>288</v>
      </c>
      <c r="U114" s="4">
        <v>0</v>
      </c>
      <c r="V114" s="4">
        <v>18</v>
      </c>
      <c r="W114" s="4">
        <v>56</v>
      </c>
    </row>
    <row r="115" spans="1:23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44470</v>
      </c>
      <c r="J115" s="6">
        <v>0</v>
      </c>
      <c r="K115" s="6">
        <v>0</v>
      </c>
      <c r="L115" s="6">
        <v>2.69</v>
      </c>
      <c r="M115" s="6">
        <v>2.69</v>
      </c>
      <c r="N115" s="6">
        <v>2.69</v>
      </c>
      <c r="O115" s="6">
        <v>2.69</v>
      </c>
      <c r="P115" s="6">
        <v>24</v>
      </c>
      <c r="Q115" s="4" t="s">
        <v>26</v>
      </c>
      <c r="R115" s="4">
        <v>0</v>
      </c>
      <c r="S115" s="4" t="s">
        <v>127</v>
      </c>
      <c r="T115" s="4" t="s">
        <v>288</v>
      </c>
      <c r="U115" s="4">
        <v>0</v>
      </c>
      <c r="V115" s="4">
        <v>18</v>
      </c>
      <c r="W115" s="4">
        <v>56</v>
      </c>
    </row>
    <row r="116" spans="1:23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44501</v>
      </c>
      <c r="J116" s="6">
        <v>0</v>
      </c>
      <c r="K116" s="6">
        <v>0</v>
      </c>
      <c r="L116" s="6">
        <v>559.34100000000001</v>
      </c>
      <c r="M116" s="6">
        <v>559.34100000000001</v>
      </c>
      <c r="N116" s="6">
        <v>559.34100000000001</v>
      </c>
      <c r="O116" s="6">
        <v>559.34100000000001</v>
      </c>
      <c r="P116" s="6">
        <v>2956</v>
      </c>
      <c r="Q116" s="4" t="s">
        <v>26</v>
      </c>
      <c r="R116" s="4">
        <v>0</v>
      </c>
      <c r="S116" s="4" t="s">
        <v>128</v>
      </c>
      <c r="T116" s="4" t="s">
        <v>289</v>
      </c>
      <c r="U116" s="4">
        <v>0</v>
      </c>
      <c r="V116" s="4">
        <v>18</v>
      </c>
      <c r="W116" s="4">
        <v>56</v>
      </c>
    </row>
    <row r="117" spans="1:23" ht="11.25" customHeight="1" x14ac:dyDescent="0.25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44501</v>
      </c>
      <c r="J117" s="6">
        <v>0</v>
      </c>
      <c r="K117" s="6">
        <v>0</v>
      </c>
      <c r="L117" s="6">
        <v>2.0569999999999999</v>
      </c>
      <c r="M117" s="6">
        <v>2.0569999999999999</v>
      </c>
      <c r="N117" s="6">
        <v>2.0569999999999999</v>
      </c>
      <c r="O117" s="6">
        <v>2.0569999999999999</v>
      </c>
      <c r="P117" s="6">
        <v>24</v>
      </c>
      <c r="Q117" s="4" t="s">
        <v>26</v>
      </c>
      <c r="R117" s="4">
        <v>0</v>
      </c>
      <c r="S117" s="4" t="s">
        <v>128</v>
      </c>
      <c r="T117" s="4" t="s">
        <v>289</v>
      </c>
      <c r="U117" s="4">
        <v>0</v>
      </c>
      <c r="V117" s="4">
        <v>18</v>
      </c>
      <c r="W117" s="4">
        <v>56</v>
      </c>
    </row>
    <row r="118" spans="1:23" ht="11.25" customHeight="1" x14ac:dyDescent="0.25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44531</v>
      </c>
      <c r="J118" s="6">
        <v>0</v>
      </c>
      <c r="K118" s="6">
        <v>0</v>
      </c>
      <c r="L118" s="6">
        <v>530.17100000000005</v>
      </c>
      <c r="M118" s="6">
        <v>530.17100000000005</v>
      </c>
      <c r="N118" s="6">
        <v>530.17100000000005</v>
      </c>
      <c r="O118" s="6">
        <v>530.17100000000005</v>
      </c>
      <c r="P118" s="6">
        <v>2952</v>
      </c>
      <c r="Q118" s="4" t="s">
        <v>26</v>
      </c>
      <c r="R118" s="4">
        <v>0</v>
      </c>
      <c r="S118" s="4" t="s">
        <v>129</v>
      </c>
      <c r="T118" s="4" t="s">
        <v>290</v>
      </c>
      <c r="U118" s="4">
        <v>0</v>
      </c>
      <c r="V118" s="4">
        <v>18</v>
      </c>
      <c r="W118" s="4">
        <v>56</v>
      </c>
    </row>
    <row r="119" spans="1:23" ht="11.25" customHeight="1" x14ac:dyDescent="0.25">
      <c r="A119" s="4" t="s">
        <v>27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44531</v>
      </c>
      <c r="J119" s="6">
        <v>0</v>
      </c>
      <c r="K119" s="6">
        <v>0</v>
      </c>
      <c r="L119" s="6">
        <v>2.0190000000000001</v>
      </c>
      <c r="M119" s="6">
        <v>2.0190000000000001</v>
      </c>
      <c r="N119" s="6">
        <v>2.0190000000000001</v>
      </c>
      <c r="O119" s="6">
        <v>2.0190000000000001</v>
      </c>
      <c r="P119" s="6">
        <v>27</v>
      </c>
      <c r="Q119" s="4" t="s">
        <v>26</v>
      </c>
      <c r="R119" s="4">
        <v>0</v>
      </c>
      <c r="S119" s="4" t="s">
        <v>129</v>
      </c>
      <c r="T119" s="4" t="s">
        <v>290</v>
      </c>
      <c r="U119" s="4">
        <v>0</v>
      </c>
      <c r="V119" s="4">
        <v>18</v>
      </c>
      <c r="W119" s="4">
        <v>56</v>
      </c>
    </row>
    <row r="120" spans="1:23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510.87900000000002</v>
      </c>
      <c r="M120" s="6">
        <v>510.87900000000002</v>
      </c>
      <c r="N120" s="6">
        <v>510.87900000000002</v>
      </c>
      <c r="O120" s="6">
        <v>510.87900000000002</v>
      </c>
      <c r="P120" s="6">
        <v>2977</v>
      </c>
      <c r="Q120" s="4" t="s">
        <v>26</v>
      </c>
      <c r="R120" s="4">
        <v>0</v>
      </c>
      <c r="S120" s="4" t="s">
        <v>130</v>
      </c>
      <c r="T120" s="4" t="s">
        <v>291</v>
      </c>
      <c r="U120" s="4">
        <v>0</v>
      </c>
      <c r="V120" s="4">
        <v>18</v>
      </c>
      <c r="W120" s="4">
        <v>56</v>
      </c>
    </row>
    <row r="121" spans="1:23" ht="11.25" customHeight="1" x14ac:dyDescent="0.25">
      <c r="A121" s="4" t="s">
        <v>27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44562</v>
      </c>
      <c r="J121" s="6">
        <v>0</v>
      </c>
      <c r="K121" s="6">
        <v>0</v>
      </c>
      <c r="L121" s="6">
        <v>3.1949999999999998</v>
      </c>
      <c r="M121" s="6">
        <v>3.1949999999999998</v>
      </c>
      <c r="N121" s="6">
        <v>3.1949999999999998</v>
      </c>
      <c r="O121" s="6">
        <v>3.1949999999999998</v>
      </c>
      <c r="P121" s="6">
        <v>38</v>
      </c>
      <c r="Q121" s="4" t="s">
        <v>26</v>
      </c>
      <c r="R121" s="4">
        <v>0</v>
      </c>
      <c r="S121" s="4" t="s">
        <v>130</v>
      </c>
      <c r="T121" s="4" t="s">
        <v>291</v>
      </c>
      <c r="U121" s="4">
        <v>0</v>
      </c>
      <c r="V121" s="4">
        <v>18</v>
      </c>
      <c r="W121" s="4">
        <v>56</v>
      </c>
    </row>
    <row r="122" spans="1:23" ht="11.25" customHeight="1" x14ac:dyDescent="0.25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44593</v>
      </c>
      <c r="J122" s="6">
        <v>0</v>
      </c>
      <c r="K122" s="6">
        <v>0</v>
      </c>
      <c r="L122" s="6">
        <v>683.03399999999999</v>
      </c>
      <c r="M122" s="6">
        <v>683.03399999999999</v>
      </c>
      <c r="N122" s="6">
        <v>683.03399999999999</v>
      </c>
      <c r="O122" s="6">
        <v>683.03399999999999</v>
      </c>
      <c r="P122" s="6">
        <v>2972</v>
      </c>
      <c r="Q122" s="4" t="s">
        <v>26</v>
      </c>
      <c r="R122" s="4">
        <v>0</v>
      </c>
      <c r="S122" s="4" t="s">
        <v>131</v>
      </c>
      <c r="T122" s="4" t="s">
        <v>292</v>
      </c>
      <c r="U122" s="4">
        <v>0</v>
      </c>
      <c r="V122" s="4">
        <v>18</v>
      </c>
      <c r="W122" s="4">
        <v>56</v>
      </c>
    </row>
    <row r="123" spans="1:23" ht="11.25" customHeight="1" x14ac:dyDescent="0.25">
      <c r="A123" s="4" t="s">
        <v>27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44593</v>
      </c>
      <c r="J123" s="6">
        <v>0</v>
      </c>
      <c r="K123" s="6">
        <v>0</v>
      </c>
      <c r="L123" s="6">
        <v>4.5869999999999997</v>
      </c>
      <c r="M123" s="6">
        <v>4.5869999999999997</v>
      </c>
      <c r="N123" s="6">
        <v>4.5869999999999997</v>
      </c>
      <c r="O123" s="6">
        <v>4.5869999999999997</v>
      </c>
      <c r="P123" s="6">
        <v>44</v>
      </c>
      <c r="Q123" s="4" t="s">
        <v>26</v>
      </c>
      <c r="R123" s="4">
        <v>0</v>
      </c>
      <c r="S123" s="4" t="s">
        <v>131</v>
      </c>
      <c r="T123" s="4" t="s">
        <v>292</v>
      </c>
      <c r="U123" s="4">
        <v>0</v>
      </c>
      <c r="V123" s="4">
        <v>18</v>
      </c>
      <c r="W123" s="4">
        <v>56</v>
      </c>
    </row>
    <row r="124" spans="1:23" ht="11.25" customHeight="1" x14ac:dyDescent="0.25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44621</v>
      </c>
      <c r="J124" s="6">
        <v>0</v>
      </c>
      <c r="K124" s="6">
        <v>0</v>
      </c>
      <c r="L124" s="6">
        <v>543.96900000000005</v>
      </c>
      <c r="M124" s="6">
        <v>543.96900000000005</v>
      </c>
      <c r="N124" s="6">
        <v>543.96900000000005</v>
      </c>
      <c r="O124" s="6">
        <v>543.96900000000005</v>
      </c>
      <c r="P124" s="6">
        <v>2975</v>
      </c>
      <c r="Q124" s="4" t="s">
        <v>26</v>
      </c>
      <c r="R124" s="4">
        <v>0</v>
      </c>
      <c r="S124" s="4" t="s">
        <v>132</v>
      </c>
      <c r="T124" s="4" t="s">
        <v>293</v>
      </c>
      <c r="U124" s="4">
        <v>0</v>
      </c>
      <c r="V124" s="4">
        <v>18</v>
      </c>
      <c r="W124" s="4">
        <v>56</v>
      </c>
    </row>
    <row r="125" spans="1:23" ht="11.25" customHeight="1" x14ac:dyDescent="0.25">
      <c r="A125" s="4" t="s">
        <v>27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44621</v>
      </c>
      <c r="J125" s="6">
        <v>0</v>
      </c>
      <c r="K125" s="6">
        <v>0</v>
      </c>
      <c r="L125" s="6">
        <v>3.645</v>
      </c>
      <c r="M125" s="6">
        <v>3.645</v>
      </c>
      <c r="N125" s="6">
        <v>3.645</v>
      </c>
      <c r="O125" s="6">
        <v>3.645</v>
      </c>
      <c r="P125" s="6">
        <v>48</v>
      </c>
      <c r="Q125" s="4" t="s">
        <v>26</v>
      </c>
      <c r="R125" s="4">
        <v>0</v>
      </c>
      <c r="S125" s="4" t="s">
        <v>132</v>
      </c>
      <c r="T125" s="4" t="s">
        <v>293</v>
      </c>
      <c r="U125" s="4">
        <v>0</v>
      </c>
      <c r="V125" s="4">
        <v>18</v>
      </c>
      <c r="W125" s="4">
        <v>56</v>
      </c>
    </row>
    <row r="126" spans="1:23" ht="11.25" customHeight="1" x14ac:dyDescent="0.25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25</v>
      </c>
      <c r="I126" s="5">
        <v>44652</v>
      </c>
      <c r="J126" s="6">
        <v>0</v>
      </c>
      <c r="K126" s="6">
        <v>0</v>
      </c>
      <c r="L126" s="6">
        <v>587.64499999999998</v>
      </c>
      <c r="M126" s="6">
        <v>587.64499999999998</v>
      </c>
      <c r="N126" s="6">
        <v>587.64499999999998</v>
      </c>
      <c r="O126" s="6">
        <v>587.64499999999998</v>
      </c>
      <c r="P126" s="6">
        <v>2968</v>
      </c>
      <c r="Q126" s="4" t="s">
        <v>26</v>
      </c>
      <c r="R126" s="4">
        <v>0</v>
      </c>
      <c r="S126" s="4" t="s">
        <v>133</v>
      </c>
      <c r="T126" s="4" t="s">
        <v>294</v>
      </c>
      <c r="U126" s="4">
        <v>0</v>
      </c>
      <c r="V126" s="4">
        <v>18</v>
      </c>
      <c r="W126" s="4">
        <v>56</v>
      </c>
    </row>
    <row r="127" spans="1:23" ht="11.25" customHeight="1" x14ac:dyDescent="0.25">
      <c r="A127" s="4" t="s">
        <v>27</v>
      </c>
      <c r="B127" s="4" t="s">
        <v>22</v>
      </c>
      <c r="C127" s="4" t="s">
        <v>23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25</v>
      </c>
      <c r="I127" s="5">
        <v>44652</v>
      </c>
      <c r="J127" s="6">
        <v>0</v>
      </c>
      <c r="K127" s="6">
        <v>0</v>
      </c>
      <c r="L127" s="6">
        <v>6.05</v>
      </c>
      <c r="M127" s="6">
        <v>6.05</v>
      </c>
      <c r="N127" s="6">
        <v>6.05</v>
      </c>
      <c r="O127" s="6">
        <v>6.05</v>
      </c>
      <c r="P127" s="6">
        <v>56</v>
      </c>
      <c r="Q127" s="4" t="s">
        <v>26</v>
      </c>
      <c r="R127" s="4">
        <v>0</v>
      </c>
      <c r="S127" s="4" t="s">
        <v>133</v>
      </c>
      <c r="T127" s="4" t="s">
        <v>294</v>
      </c>
      <c r="U127" s="4">
        <v>0</v>
      </c>
      <c r="V127" s="4">
        <v>18</v>
      </c>
      <c r="W127" s="4">
        <v>56</v>
      </c>
    </row>
    <row r="128" spans="1:23" ht="11.25" customHeight="1" x14ac:dyDescent="0.25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25</v>
      </c>
      <c r="I128" s="5">
        <v>44682</v>
      </c>
      <c r="J128" s="6">
        <v>0</v>
      </c>
      <c r="K128" s="6">
        <v>0</v>
      </c>
      <c r="L128" s="6">
        <v>522.48199999999997</v>
      </c>
      <c r="M128" s="6">
        <v>522.48199999999997</v>
      </c>
      <c r="N128" s="6">
        <v>522.48199999999997</v>
      </c>
      <c r="O128" s="6">
        <v>522.48199999999997</v>
      </c>
      <c r="P128" s="6">
        <v>2948</v>
      </c>
      <c r="Q128" s="4" t="s">
        <v>26</v>
      </c>
      <c r="R128" s="4">
        <v>0</v>
      </c>
      <c r="S128" s="4" t="s">
        <v>134</v>
      </c>
      <c r="T128" s="4" t="s">
        <v>295</v>
      </c>
      <c r="U128" s="4">
        <v>0</v>
      </c>
      <c r="V128" s="4">
        <v>18</v>
      </c>
      <c r="W128" s="4">
        <v>56</v>
      </c>
    </row>
    <row r="129" spans="1:23" ht="11.25" customHeight="1" x14ac:dyDescent="0.25">
      <c r="A129" s="4" t="s">
        <v>27</v>
      </c>
      <c r="B129" s="4" t="s">
        <v>22</v>
      </c>
      <c r="C129" s="4" t="s">
        <v>23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25</v>
      </c>
      <c r="I129" s="5">
        <v>44682</v>
      </c>
      <c r="J129" s="6">
        <v>0</v>
      </c>
      <c r="K129" s="6">
        <v>0</v>
      </c>
      <c r="L129" s="6">
        <v>5.3959999999999999</v>
      </c>
      <c r="M129" s="6">
        <v>5.3959999999999999</v>
      </c>
      <c r="N129" s="6">
        <v>5.3959999999999999</v>
      </c>
      <c r="O129" s="6">
        <v>5.3959999999999999</v>
      </c>
      <c r="P129" s="6">
        <v>58</v>
      </c>
      <c r="Q129" s="4" t="s">
        <v>26</v>
      </c>
      <c r="R129" s="4">
        <v>0</v>
      </c>
      <c r="S129" s="4" t="s">
        <v>134</v>
      </c>
      <c r="T129" s="4" t="s">
        <v>295</v>
      </c>
      <c r="U129" s="4">
        <v>0</v>
      </c>
      <c r="V129" s="4">
        <v>18</v>
      </c>
      <c r="W129" s="4">
        <v>56</v>
      </c>
    </row>
    <row r="130" spans="1:23" ht="11.25" customHeight="1" x14ac:dyDescent="0.25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25</v>
      </c>
      <c r="I130" s="5">
        <v>44713</v>
      </c>
      <c r="J130" s="6">
        <v>0</v>
      </c>
      <c r="K130" s="6">
        <v>0</v>
      </c>
      <c r="L130" s="6">
        <v>504.49299999999999</v>
      </c>
      <c r="M130" s="6">
        <v>504.49299999999999</v>
      </c>
      <c r="N130" s="6">
        <v>504.49299999999999</v>
      </c>
      <c r="O130" s="6">
        <v>504.49299999999999</v>
      </c>
      <c r="P130" s="6">
        <v>2998</v>
      </c>
      <c r="Q130" s="4" t="s">
        <v>26</v>
      </c>
      <c r="R130" s="4">
        <v>0</v>
      </c>
      <c r="S130" s="4" t="s">
        <v>135</v>
      </c>
      <c r="T130" s="4" t="s">
        <v>296</v>
      </c>
      <c r="U130" s="4">
        <v>0</v>
      </c>
      <c r="V130" s="4">
        <v>18</v>
      </c>
      <c r="W130" s="4">
        <v>56</v>
      </c>
    </row>
    <row r="131" spans="1:23" ht="11.25" customHeight="1" x14ac:dyDescent="0.25">
      <c r="A131" s="4" t="s">
        <v>27</v>
      </c>
      <c r="B131" s="4" t="s">
        <v>22</v>
      </c>
      <c r="C131" s="4" t="s">
        <v>23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0</v>
      </c>
      <c r="K131" s="6">
        <v>0</v>
      </c>
      <c r="L131" s="6">
        <v>4.7649999999999997</v>
      </c>
      <c r="M131" s="6">
        <v>4.7649999999999997</v>
      </c>
      <c r="N131" s="6">
        <v>4.7649999999999997</v>
      </c>
      <c r="O131" s="6">
        <v>4.7649999999999997</v>
      </c>
      <c r="P131" s="6">
        <v>58</v>
      </c>
      <c r="Q131" s="4" t="s">
        <v>26</v>
      </c>
      <c r="R131" s="4">
        <v>0</v>
      </c>
      <c r="S131" s="4" t="s">
        <v>135</v>
      </c>
      <c r="T131" s="4" t="s">
        <v>296</v>
      </c>
      <c r="U131" s="4">
        <v>0</v>
      </c>
      <c r="V131" s="4">
        <v>18</v>
      </c>
      <c r="W131" s="4">
        <v>56</v>
      </c>
    </row>
    <row r="132" spans="1:23" ht="11.25" customHeight="1" x14ac:dyDescent="0.25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0</v>
      </c>
      <c r="K132" s="6">
        <v>0</v>
      </c>
      <c r="L132" s="6">
        <v>570.91700000000003</v>
      </c>
      <c r="M132" s="6">
        <v>570.91700000000003</v>
      </c>
      <c r="N132" s="6">
        <v>570.91700000000003</v>
      </c>
      <c r="O132" s="6">
        <v>570.91700000000003</v>
      </c>
      <c r="P132" s="6">
        <v>3004</v>
      </c>
      <c r="Q132" s="4" t="s">
        <v>26</v>
      </c>
      <c r="R132" s="4">
        <v>0</v>
      </c>
      <c r="S132" s="4" t="s">
        <v>136</v>
      </c>
      <c r="T132" s="4" t="s">
        <v>297</v>
      </c>
      <c r="U132" s="4">
        <v>0</v>
      </c>
      <c r="V132" s="4">
        <v>18</v>
      </c>
      <c r="W132" s="4">
        <v>56</v>
      </c>
    </row>
    <row r="133" spans="1:23" ht="11.25" customHeight="1" x14ac:dyDescent="0.25">
      <c r="A133" s="4" t="s">
        <v>27</v>
      </c>
      <c r="B133" s="4" t="s">
        <v>22</v>
      </c>
      <c r="C133" s="4" t="s">
        <v>23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25</v>
      </c>
      <c r="I133" s="5">
        <v>44743</v>
      </c>
      <c r="J133" s="6">
        <v>0</v>
      </c>
      <c r="K133" s="6">
        <v>0</v>
      </c>
      <c r="L133" s="6">
        <v>9.89</v>
      </c>
      <c r="M133" s="6">
        <v>9.89</v>
      </c>
      <c r="N133" s="6">
        <v>9.89</v>
      </c>
      <c r="O133" s="6">
        <v>9.89</v>
      </c>
      <c r="P133" s="6">
        <v>62</v>
      </c>
      <c r="Q133" s="4" t="s">
        <v>26</v>
      </c>
      <c r="R133" s="4">
        <v>0</v>
      </c>
      <c r="S133" s="4" t="s">
        <v>136</v>
      </c>
      <c r="T133" s="4" t="s">
        <v>297</v>
      </c>
      <c r="U133" s="4">
        <v>0</v>
      </c>
      <c r="V133" s="4">
        <v>18</v>
      </c>
      <c r="W133" s="4">
        <v>56</v>
      </c>
    </row>
    <row r="134" spans="1:23" ht="11.25" customHeight="1" x14ac:dyDescent="0.25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28</v>
      </c>
      <c r="F134" s="4" t="s">
        <v>25</v>
      </c>
      <c r="G134" s="4" t="s">
        <v>25</v>
      </c>
      <c r="H134" s="4" t="s">
        <v>25</v>
      </c>
      <c r="I134" s="5">
        <v>44409</v>
      </c>
      <c r="J134" s="6">
        <v>0</v>
      </c>
      <c r="K134" s="6">
        <v>0</v>
      </c>
      <c r="L134" s="6">
        <v>10.5</v>
      </c>
      <c r="M134" s="6">
        <v>10.5</v>
      </c>
      <c r="N134" s="6">
        <v>10.5</v>
      </c>
      <c r="O134" s="6">
        <v>10.5</v>
      </c>
      <c r="P134" s="6">
        <v>12</v>
      </c>
      <c r="Q134" s="4" t="s">
        <v>26</v>
      </c>
      <c r="R134" s="4">
        <v>0</v>
      </c>
      <c r="S134" s="4" t="s">
        <v>137</v>
      </c>
      <c r="T134" s="4" t="s">
        <v>298</v>
      </c>
      <c r="U134" s="4">
        <v>0</v>
      </c>
      <c r="V134" s="4">
        <v>19</v>
      </c>
      <c r="W134" s="4">
        <v>57</v>
      </c>
    </row>
    <row r="135" spans="1:23" ht="11.25" customHeight="1" x14ac:dyDescent="0.25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28</v>
      </c>
      <c r="F135" s="4" t="s">
        <v>25</v>
      </c>
      <c r="G135" s="4" t="s">
        <v>25</v>
      </c>
      <c r="H135" s="4" t="s">
        <v>25</v>
      </c>
      <c r="I135" s="5">
        <v>44440</v>
      </c>
      <c r="J135" s="6">
        <v>0</v>
      </c>
      <c r="K135" s="6">
        <v>0</v>
      </c>
      <c r="L135" s="6">
        <v>10.35</v>
      </c>
      <c r="M135" s="6">
        <v>10.35</v>
      </c>
      <c r="N135" s="6">
        <v>10.35</v>
      </c>
      <c r="O135" s="6">
        <v>10.35</v>
      </c>
      <c r="P135" s="6">
        <v>12</v>
      </c>
      <c r="Q135" s="4" t="s">
        <v>26</v>
      </c>
      <c r="R135" s="4">
        <v>0</v>
      </c>
      <c r="S135" s="4" t="s">
        <v>138</v>
      </c>
      <c r="T135" s="4" t="s">
        <v>299</v>
      </c>
      <c r="U135" s="4">
        <v>0</v>
      </c>
      <c r="V135" s="4">
        <v>19</v>
      </c>
      <c r="W135" s="4">
        <v>57</v>
      </c>
    </row>
    <row r="136" spans="1:23" ht="11.25" customHeigh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28</v>
      </c>
      <c r="F136" s="4" t="s">
        <v>25</v>
      </c>
      <c r="G136" s="4" t="s">
        <v>25</v>
      </c>
      <c r="H136" s="4" t="s">
        <v>25</v>
      </c>
      <c r="I136" s="5">
        <v>44470</v>
      </c>
      <c r="J136" s="6">
        <v>0</v>
      </c>
      <c r="K136" s="6">
        <v>0</v>
      </c>
      <c r="L136" s="6">
        <v>10.38</v>
      </c>
      <c r="M136" s="6">
        <v>10.38</v>
      </c>
      <c r="N136" s="6">
        <v>10.38</v>
      </c>
      <c r="O136" s="6">
        <v>10.38</v>
      </c>
      <c r="P136" s="6">
        <v>10</v>
      </c>
      <c r="Q136" s="4" t="s">
        <v>26</v>
      </c>
      <c r="R136" s="4">
        <v>0</v>
      </c>
      <c r="S136" s="4" t="s">
        <v>139</v>
      </c>
      <c r="T136" s="4" t="s">
        <v>300</v>
      </c>
      <c r="U136" s="4">
        <v>0</v>
      </c>
      <c r="V136" s="4">
        <v>19</v>
      </c>
      <c r="W136" s="4">
        <v>57</v>
      </c>
    </row>
    <row r="137" spans="1:23" ht="11.25" customHeight="1" x14ac:dyDescent="0.25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28</v>
      </c>
      <c r="F137" s="4" t="s">
        <v>25</v>
      </c>
      <c r="G137" s="4" t="s">
        <v>25</v>
      </c>
      <c r="H137" s="4" t="s">
        <v>25</v>
      </c>
      <c r="I137" s="5">
        <v>44501</v>
      </c>
      <c r="J137" s="6">
        <v>0</v>
      </c>
      <c r="K137" s="6">
        <v>0</v>
      </c>
      <c r="L137" s="6">
        <v>10.59</v>
      </c>
      <c r="M137" s="6">
        <v>10.59</v>
      </c>
      <c r="N137" s="6">
        <v>10.59</v>
      </c>
      <c r="O137" s="6">
        <v>10.59</v>
      </c>
      <c r="P137" s="6">
        <v>10</v>
      </c>
      <c r="Q137" s="4" t="s">
        <v>26</v>
      </c>
      <c r="R137" s="4">
        <v>0</v>
      </c>
      <c r="S137" s="4" t="s">
        <v>140</v>
      </c>
      <c r="T137" s="4" t="s">
        <v>301</v>
      </c>
      <c r="U137" s="4">
        <v>0</v>
      </c>
      <c r="V137" s="4">
        <v>19</v>
      </c>
      <c r="W137" s="4">
        <v>57</v>
      </c>
    </row>
    <row r="138" spans="1:23" ht="11.25" customHeight="1" x14ac:dyDescent="0.25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28</v>
      </c>
      <c r="F138" s="4" t="s">
        <v>25</v>
      </c>
      <c r="G138" s="4" t="s">
        <v>25</v>
      </c>
      <c r="H138" s="4" t="s">
        <v>25</v>
      </c>
      <c r="I138" s="5">
        <v>44531</v>
      </c>
      <c r="J138" s="6">
        <v>0</v>
      </c>
      <c r="K138" s="6">
        <v>0</v>
      </c>
      <c r="L138" s="6">
        <v>10.74</v>
      </c>
      <c r="M138" s="6">
        <v>10.74</v>
      </c>
      <c r="N138" s="6">
        <v>10.74</v>
      </c>
      <c r="O138" s="6">
        <v>10.74</v>
      </c>
      <c r="P138" s="6">
        <v>6</v>
      </c>
      <c r="Q138" s="4" t="s">
        <v>26</v>
      </c>
      <c r="R138" s="4">
        <v>0</v>
      </c>
      <c r="S138" s="4" t="s">
        <v>141</v>
      </c>
      <c r="T138" s="4" t="s">
        <v>302</v>
      </c>
      <c r="U138" s="4">
        <v>0</v>
      </c>
      <c r="V138" s="4">
        <v>19</v>
      </c>
      <c r="W138" s="4">
        <v>57</v>
      </c>
    </row>
    <row r="139" spans="1:23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28</v>
      </c>
      <c r="F139" s="4" t="s">
        <v>25</v>
      </c>
      <c r="G139" s="4" t="s">
        <v>25</v>
      </c>
      <c r="H139" s="4" t="s">
        <v>25</v>
      </c>
      <c r="I139" s="5">
        <v>44562</v>
      </c>
      <c r="J139" s="6">
        <v>0</v>
      </c>
      <c r="K139" s="6">
        <v>0</v>
      </c>
      <c r="L139" s="6">
        <v>10.8</v>
      </c>
      <c r="M139" s="6">
        <v>10.8</v>
      </c>
      <c r="N139" s="6">
        <v>10.8</v>
      </c>
      <c r="O139" s="6">
        <v>10.8</v>
      </c>
      <c r="P139" s="6">
        <v>9</v>
      </c>
      <c r="Q139" s="4" t="s">
        <v>26</v>
      </c>
      <c r="R139" s="4">
        <v>0</v>
      </c>
      <c r="S139" s="4" t="s">
        <v>142</v>
      </c>
      <c r="T139" s="4" t="s">
        <v>303</v>
      </c>
      <c r="U139" s="4">
        <v>0</v>
      </c>
      <c r="V139" s="4">
        <v>19</v>
      </c>
      <c r="W139" s="4">
        <v>57</v>
      </c>
    </row>
    <row r="140" spans="1:23" ht="11.25" customHeight="1" x14ac:dyDescent="0.25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28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0</v>
      </c>
      <c r="K140" s="6">
        <v>0</v>
      </c>
      <c r="L140" s="6">
        <v>10.8</v>
      </c>
      <c r="M140" s="6">
        <v>10.8</v>
      </c>
      <c r="N140" s="6">
        <v>10.8</v>
      </c>
      <c r="O140" s="6">
        <v>10.8</v>
      </c>
      <c r="P140" s="6">
        <v>7</v>
      </c>
      <c r="Q140" s="4" t="s">
        <v>26</v>
      </c>
      <c r="R140" s="4">
        <v>0</v>
      </c>
      <c r="S140" s="4" t="s">
        <v>143</v>
      </c>
      <c r="T140" s="4" t="s">
        <v>304</v>
      </c>
      <c r="U140" s="4">
        <v>0</v>
      </c>
      <c r="V140" s="4">
        <v>19</v>
      </c>
      <c r="W140" s="4">
        <v>57</v>
      </c>
    </row>
    <row r="141" spans="1:23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28</v>
      </c>
      <c r="F141" s="4" t="s">
        <v>25</v>
      </c>
      <c r="G141" s="4" t="s">
        <v>25</v>
      </c>
      <c r="H141" s="4" t="s">
        <v>25</v>
      </c>
      <c r="I141" s="5">
        <v>44621</v>
      </c>
      <c r="J141" s="6">
        <v>0</v>
      </c>
      <c r="K141" s="6">
        <v>0</v>
      </c>
      <c r="L141" s="6">
        <v>10.92</v>
      </c>
      <c r="M141" s="6">
        <v>10.92</v>
      </c>
      <c r="N141" s="6">
        <v>10.92</v>
      </c>
      <c r="O141" s="6">
        <v>10.92</v>
      </c>
      <c r="P141" s="6">
        <v>8</v>
      </c>
      <c r="Q141" s="4" t="s">
        <v>26</v>
      </c>
      <c r="R141" s="4">
        <v>0</v>
      </c>
      <c r="S141" s="4" t="s">
        <v>144</v>
      </c>
      <c r="T141" s="4" t="s">
        <v>305</v>
      </c>
      <c r="U141" s="4">
        <v>0</v>
      </c>
      <c r="V141" s="4">
        <v>19</v>
      </c>
      <c r="W141" s="4">
        <v>57</v>
      </c>
    </row>
    <row r="142" spans="1:23" ht="11.25" customHeight="1" x14ac:dyDescent="0.25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28</v>
      </c>
      <c r="F142" s="4" t="s">
        <v>25</v>
      </c>
      <c r="G142" s="4" t="s">
        <v>25</v>
      </c>
      <c r="H142" s="4" t="s">
        <v>25</v>
      </c>
      <c r="I142" s="5">
        <v>44652</v>
      </c>
      <c r="J142" s="6">
        <v>0</v>
      </c>
      <c r="K142" s="6">
        <v>0</v>
      </c>
      <c r="L142" s="6">
        <v>11.13</v>
      </c>
      <c r="M142" s="6">
        <v>11.13</v>
      </c>
      <c r="N142" s="6">
        <v>11.13</v>
      </c>
      <c r="O142" s="6">
        <v>11.13</v>
      </c>
      <c r="P142" s="6">
        <v>9</v>
      </c>
      <c r="Q142" s="4" t="s">
        <v>26</v>
      </c>
      <c r="R142" s="4">
        <v>0</v>
      </c>
      <c r="S142" s="4" t="s">
        <v>145</v>
      </c>
      <c r="T142" s="4" t="s">
        <v>306</v>
      </c>
      <c r="U142" s="4">
        <v>0</v>
      </c>
      <c r="V142" s="4">
        <v>19</v>
      </c>
      <c r="W142" s="4">
        <v>57</v>
      </c>
    </row>
    <row r="143" spans="1:23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28</v>
      </c>
      <c r="F143" s="4" t="s">
        <v>25</v>
      </c>
      <c r="G143" s="4" t="s">
        <v>25</v>
      </c>
      <c r="H143" s="4" t="s">
        <v>25</v>
      </c>
      <c r="I143" s="5">
        <v>44682</v>
      </c>
      <c r="J143" s="6">
        <v>0</v>
      </c>
      <c r="K143" s="6">
        <v>0</v>
      </c>
      <c r="L143" s="6">
        <v>11.34</v>
      </c>
      <c r="M143" s="6">
        <v>11.34</v>
      </c>
      <c r="N143" s="6">
        <v>11.34</v>
      </c>
      <c r="O143" s="6">
        <v>11.34</v>
      </c>
      <c r="P143" s="6">
        <v>10</v>
      </c>
      <c r="Q143" s="4" t="s">
        <v>26</v>
      </c>
      <c r="R143" s="4">
        <v>0</v>
      </c>
      <c r="S143" s="4" t="s">
        <v>146</v>
      </c>
      <c r="T143" s="4" t="s">
        <v>307</v>
      </c>
      <c r="U143" s="4">
        <v>0</v>
      </c>
      <c r="V143" s="4">
        <v>19</v>
      </c>
      <c r="W143" s="4">
        <v>57</v>
      </c>
    </row>
    <row r="144" spans="1:23" ht="11.25" customHeight="1" x14ac:dyDescent="0.25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28</v>
      </c>
      <c r="F144" s="4" t="s">
        <v>25</v>
      </c>
      <c r="G144" s="4" t="s">
        <v>25</v>
      </c>
      <c r="H144" s="4" t="s">
        <v>25</v>
      </c>
      <c r="I144" s="5">
        <v>44713</v>
      </c>
      <c r="J144" s="6">
        <v>0</v>
      </c>
      <c r="K144" s="6">
        <v>0</v>
      </c>
      <c r="L144" s="6">
        <v>9.99</v>
      </c>
      <c r="M144" s="6">
        <v>9.99</v>
      </c>
      <c r="N144" s="6">
        <v>9.99</v>
      </c>
      <c r="O144" s="6">
        <v>9.99</v>
      </c>
      <c r="P144" s="6">
        <v>5</v>
      </c>
      <c r="Q144" s="4" t="s">
        <v>26</v>
      </c>
      <c r="R144" s="4">
        <v>0</v>
      </c>
      <c r="S144" s="4" t="s">
        <v>147</v>
      </c>
      <c r="T144" s="4" t="s">
        <v>308</v>
      </c>
      <c r="U144" s="4">
        <v>0</v>
      </c>
      <c r="V144" s="4">
        <v>19</v>
      </c>
      <c r="W144" s="4">
        <v>57</v>
      </c>
    </row>
    <row r="145" spans="1:23" ht="11.25" customHeight="1" x14ac:dyDescent="0.25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28</v>
      </c>
      <c r="F145" s="4" t="s">
        <v>25</v>
      </c>
      <c r="G145" s="4" t="s">
        <v>25</v>
      </c>
      <c r="H145" s="4" t="s">
        <v>25</v>
      </c>
      <c r="I145" s="5">
        <v>44743</v>
      </c>
      <c r="J145" s="6">
        <v>0</v>
      </c>
      <c r="K145" s="6">
        <v>0</v>
      </c>
      <c r="L145" s="6">
        <v>9.8699999999999992</v>
      </c>
      <c r="M145" s="6">
        <v>9.8699999999999992</v>
      </c>
      <c r="N145" s="6">
        <v>9.8699999999999992</v>
      </c>
      <c r="O145" s="6">
        <v>9.8699999999999992</v>
      </c>
      <c r="P145" s="6">
        <v>7</v>
      </c>
      <c r="Q145" s="4" t="s">
        <v>26</v>
      </c>
      <c r="R145" s="4">
        <v>0</v>
      </c>
      <c r="S145" s="4" t="s">
        <v>148</v>
      </c>
      <c r="T145" s="4" t="s">
        <v>309</v>
      </c>
      <c r="U145" s="4">
        <v>0</v>
      </c>
      <c r="V145" s="4">
        <v>19</v>
      </c>
      <c r="W145" s="4">
        <v>57</v>
      </c>
    </row>
    <row r="146" spans="1:2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29</v>
      </c>
      <c r="F146" s="4" t="s">
        <v>25</v>
      </c>
      <c r="G146" s="4" t="s">
        <v>25</v>
      </c>
      <c r="H146" s="4" t="s">
        <v>25</v>
      </c>
      <c r="I146" s="5">
        <v>44409</v>
      </c>
      <c r="J146" s="6">
        <v>0</v>
      </c>
      <c r="K146" s="6">
        <v>0</v>
      </c>
      <c r="L146" s="6">
        <v>21.623999999999999</v>
      </c>
      <c r="M146" s="6">
        <v>21.623999999999999</v>
      </c>
      <c r="N146" s="6">
        <v>21.623999999999999</v>
      </c>
      <c r="O146" s="6">
        <v>21.623999999999999</v>
      </c>
      <c r="P146" s="6">
        <v>60</v>
      </c>
      <c r="Q146" s="4" t="s">
        <v>26</v>
      </c>
      <c r="R146" s="4">
        <v>0</v>
      </c>
      <c r="S146" s="4" t="s">
        <v>149</v>
      </c>
      <c r="T146" s="4" t="s">
        <v>310</v>
      </c>
      <c r="U146" s="4">
        <v>0</v>
      </c>
      <c r="V146" s="4">
        <v>20</v>
      </c>
      <c r="W146" s="4">
        <v>58</v>
      </c>
    </row>
    <row r="147" spans="1:23" ht="11.25" customHeight="1" x14ac:dyDescent="0.25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29</v>
      </c>
      <c r="F147" s="4" t="s">
        <v>25</v>
      </c>
      <c r="G147" s="4" t="s">
        <v>25</v>
      </c>
      <c r="H147" s="4" t="s">
        <v>25</v>
      </c>
      <c r="I147" s="5">
        <v>44440</v>
      </c>
      <c r="J147" s="6">
        <v>0</v>
      </c>
      <c r="K147" s="6">
        <v>0</v>
      </c>
      <c r="L147" s="6">
        <v>21.747</v>
      </c>
      <c r="M147" s="6">
        <v>21.747</v>
      </c>
      <c r="N147" s="6">
        <v>21.747</v>
      </c>
      <c r="O147" s="6">
        <v>21.747</v>
      </c>
      <c r="P147" s="6">
        <v>56</v>
      </c>
      <c r="Q147" s="4" t="s">
        <v>26</v>
      </c>
      <c r="R147" s="4">
        <v>0</v>
      </c>
      <c r="S147" s="4" t="s">
        <v>150</v>
      </c>
      <c r="T147" s="4" t="s">
        <v>311</v>
      </c>
      <c r="U147" s="4">
        <v>0</v>
      </c>
      <c r="V147" s="4">
        <v>20</v>
      </c>
      <c r="W147" s="4">
        <v>58</v>
      </c>
    </row>
    <row r="148" spans="1:23" ht="11.25" customHeight="1" x14ac:dyDescent="0.25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29</v>
      </c>
      <c r="F148" s="4" t="s">
        <v>25</v>
      </c>
      <c r="G148" s="4" t="s">
        <v>25</v>
      </c>
      <c r="H148" s="4" t="s">
        <v>25</v>
      </c>
      <c r="I148" s="5">
        <v>44470</v>
      </c>
      <c r="J148" s="6">
        <v>0</v>
      </c>
      <c r="K148" s="6">
        <v>0</v>
      </c>
      <c r="L148" s="6">
        <v>22.292000000000002</v>
      </c>
      <c r="M148" s="6">
        <v>22.292000000000002</v>
      </c>
      <c r="N148" s="6">
        <v>22.292000000000002</v>
      </c>
      <c r="O148" s="6">
        <v>22.292000000000002</v>
      </c>
      <c r="P148" s="6">
        <v>46</v>
      </c>
      <c r="Q148" s="4" t="s">
        <v>26</v>
      </c>
      <c r="R148" s="4">
        <v>0</v>
      </c>
      <c r="S148" s="4" t="s">
        <v>151</v>
      </c>
      <c r="T148" s="4" t="s">
        <v>312</v>
      </c>
      <c r="U148" s="4">
        <v>0</v>
      </c>
      <c r="V148" s="4">
        <v>20</v>
      </c>
      <c r="W148" s="4">
        <v>58</v>
      </c>
    </row>
    <row r="149" spans="1:23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29</v>
      </c>
      <c r="F149" s="4" t="s">
        <v>25</v>
      </c>
      <c r="G149" s="4" t="s">
        <v>25</v>
      </c>
      <c r="H149" s="4" t="s">
        <v>25</v>
      </c>
      <c r="I149" s="5">
        <v>44501</v>
      </c>
      <c r="J149" s="6">
        <v>0</v>
      </c>
      <c r="K149" s="6">
        <v>0</v>
      </c>
      <c r="L149" s="6">
        <v>22.673999999999999</v>
      </c>
      <c r="M149" s="6">
        <v>22.673999999999999</v>
      </c>
      <c r="N149" s="6">
        <v>22.673999999999999</v>
      </c>
      <c r="O149" s="6">
        <v>22.673999999999999</v>
      </c>
      <c r="P149" s="6">
        <v>52</v>
      </c>
      <c r="Q149" s="4" t="s">
        <v>26</v>
      </c>
      <c r="R149" s="4">
        <v>0</v>
      </c>
      <c r="S149" s="4" t="s">
        <v>152</v>
      </c>
      <c r="T149" s="4" t="s">
        <v>313</v>
      </c>
      <c r="U149" s="4">
        <v>0</v>
      </c>
      <c r="V149" s="4">
        <v>20</v>
      </c>
      <c r="W149" s="4">
        <v>58</v>
      </c>
    </row>
    <row r="150" spans="1:23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29</v>
      </c>
      <c r="F150" s="4" t="s">
        <v>25</v>
      </c>
      <c r="G150" s="4" t="s">
        <v>25</v>
      </c>
      <c r="H150" s="4" t="s">
        <v>25</v>
      </c>
      <c r="I150" s="5">
        <v>44531</v>
      </c>
      <c r="J150" s="6">
        <v>0</v>
      </c>
      <c r="K150" s="6">
        <v>0</v>
      </c>
      <c r="L150" s="6">
        <v>23.405999999999999</v>
      </c>
      <c r="M150" s="6">
        <v>23.405999999999999</v>
      </c>
      <c r="N150" s="6">
        <v>23.405999999999999</v>
      </c>
      <c r="O150" s="6">
        <v>23.405999999999999</v>
      </c>
      <c r="P150" s="6">
        <v>44</v>
      </c>
      <c r="Q150" s="4" t="s">
        <v>26</v>
      </c>
      <c r="R150" s="4">
        <v>0</v>
      </c>
      <c r="S150" s="4" t="s">
        <v>153</v>
      </c>
      <c r="T150" s="4" t="s">
        <v>314</v>
      </c>
      <c r="U150" s="4">
        <v>0</v>
      </c>
      <c r="V150" s="4">
        <v>20</v>
      </c>
      <c r="W150" s="4">
        <v>58</v>
      </c>
    </row>
    <row r="151" spans="1:23" ht="11.25" customHeight="1" x14ac:dyDescent="0.25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29</v>
      </c>
      <c r="F151" s="4" t="s">
        <v>25</v>
      </c>
      <c r="G151" s="4" t="s">
        <v>25</v>
      </c>
      <c r="H151" s="4" t="s">
        <v>25</v>
      </c>
      <c r="I151" s="5">
        <v>44562</v>
      </c>
      <c r="J151" s="6">
        <v>0</v>
      </c>
      <c r="K151" s="6">
        <v>0</v>
      </c>
      <c r="L151" s="6">
        <v>23.407</v>
      </c>
      <c r="M151" s="6">
        <v>23.407</v>
      </c>
      <c r="N151" s="6">
        <v>23.407</v>
      </c>
      <c r="O151" s="6">
        <v>23.407</v>
      </c>
      <c r="P151" s="6">
        <v>45</v>
      </c>
      <c r="Q151" s="4" t="s">
        <v>26</v>
      </c>
      <c r="R151" s="4">
        <v>0</v>
      </c>
      <c r="S151" s="4" t="s">
        <v>154</v>
      </c>
      <c r="T151" s="4" t="s">
        <v>315</v>
      </c>
      <c r="U151" s="4">
        <v>0</v>
      </c>
      <c r="V151" s="4">
        <v>20</v>
      </c>
      <c r="W151" s="4">
        <v>58</v>
      </c>
    </row>
    <row r="152" spans="1:23" ht="11.25" customHeight="1" x14ac:dyDescent="0.25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29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24.22</v>
      </c>
      <c r="M152" s="6">
        <v>24.22</v>
      </c>
      <c r="N152" s="6">
        <v>24.22</v>
      </c>
      <c r="O152" s="6">
        <v>24.22</v>
      </c>
      <c r="P152" s="6">
        <v>21</v>
      </c>
      <c r="Q152" s="4" t="s">
        <v>26</v>
      </c>
      <c r="R152" s="4">
        <v>0</v>
      </c>
      <c r="S152" s="4" t="s">
        <v>155</v>
      </c>
      <c r="T152" s="4" t="s">
        <v>316</v>
      </c>
      <c r="U152" s="4">
        <v>0</v>
      </c>
      <c r="V152" s="4">
        <v>20</v>
      </c>
      <c r="W152" s="4">
        <v>58</v>
      </c>
    </row>
    <row r="153" spans="1:23" ht="11.25" customHeight="1" x14ac:dyDescent="0.25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29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24.114000000000001</v>
      </c>
      <c r="M153" s="6">
        <v>24.114000000000001</v>
      </c>
      <c r="N153" s="6">
        <v>24.114000000000001</v>
      </c>
      <c r="O153" s="6">
        <v>24.114000000000001</v>
      </c>
      <c r="P153" s="6">
        <v>43</v>
      </c>
      <c r="Q153" s="4" t="s">
        <v>26</v>
      </c>
      <c r="R153" s="4">
        <v>0</v>
      </c>
      <c r="S153" s="4" t="s">
        <v>156</v>
      </c>
      <c r="T153" s="4" t="s">
        <v>317</v>
      </c>
      <c r="U153" s="4">
        <v>0</v>
      </c>
      <c r="V153" s="4">
        <v>20</v>
      </c>
      <c r="W153" s="4">
        <v>58</v>
      </c>
    </row>
    <row r="154" spans="1:23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0</v>
      </c>
      <c r="K154" s="6">
        <v>0</v>
      </c>
      <c r="L154" s="6">
        <v>24.617999999999999</v>
      </c>
      <c r="M154" s="6">
        <v>24.617999999999999</v>
      </c>
      <c r="N154" s="6">
        <v>24.617999999999999</v>
      </c>
      <c r="O154" s="6">
        <v>24.617999999999999</v>
      </c>
      <c r="P154" s="6">
        <v>35</v>
      </c>
      <c r="Q154" s="4" t="s">
        <v>26</v>
      </c>
      <c r="R154" s="4">
        <v>0</v>
      </c>
      <c r="S154" s="4" t="s">
        <v>157</v>
      </c>
      <c r="T154" s="4" t="s">
        <v>318</v>
      </c>
      <c r="U154" s="4">
        <v>0</v>
      </c>
      <c r="V154" s="4">
        <v>20</v>
      </c>
      <c r="W154" s="4">
        <v>58</v>
      </c>
    </row>
    <row r="155" spans="1:23" ht="11.25" customHeight="1" x14ac:dyDescent="0.25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29</v>
      </c>
      <c r="F155" s="4" t="s">
        <v>25</v>
      </c>
      <c r="G155" s="4" t="s">
        <v>25</v>
      </c>
      <c r="H155" s="4" t="s">
        <v>25</v>
      </c>
      <c r="I155" s="5">
        <v>44682</v>
      </c>
      <c r="J155" s="6">
        <v>0</v>
      </c>
      <c r="K155" s="6">
        <v>0</v>
      </c>
      <c r="L155" s="6">
        <v>24.742000000000001</v>
      </c>
      <c r="M155" s="6">
        <v>24.742000000000001</v>
      </c>
      <c r="N155" s="6">
        <v>24.742000000000001</v>
      </c>
      <c r="O155" s="6">
        <v>24.742000000000001</v>
      </c>
      <c r="P155" s="6">
        <v>45</v>
      </c>
      <c r="Q155" s="4" t="s">
        <v>26</v>
      </c>
      <c r="R155" s="4">
        <v>0</v>
      </c>
      <c r="S155" s="4" t="s">
        <v>158</v>
      </c>
      <c r="T155" s="4" t="s">
        <v>319</v>
      </c>
      <c r="U155" s="4">
        <v>0</v>
      </c>
      <c r="V155" s="4">
        <v>20</v>
      </c>
      <c r="W155" s="4">
        <v>58</v>
      </c>
    </row>
    <row r="156" spans="1:23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29</v>
      </c>
      <c r="F156" s="4" t="s">
        <v>25</v>
      </c>
      <c r="G156" s="4" t="s">
        <v>25</v>
      </c>
      <c r="H156" s="4" t="s">
        <v>25</v>
      </c>
      <c r="I156" s="5">
        <v>44713</v>
      </c>
      <c r="J156" s="6">
        <v>0</v>
      </c>
      <c r="K156" s="6">
        <v>0</v>
      </c>
      <c r="L156" s="6">
        <v>21.544</v>
      </c>
      <c r="M156" s="6">
        <v>21.544</v>
      </c>
      <c r="N156" s="6">
        <v>21.544</v>
      </c>
      <c r="O156" s="6">
        <v>21.544</v>
      </c>
      <c r="P156" s="6">
        <v>54</v>
      </c>
      <c r="Q156" s="4" t="s">
        <v>26</v>
      </c>
      <c r="R156" s="4">
        <v>0</v>
      </c>
      <c r="S156" s="4" t="s">
        <v>159</v>
      </c>
      <c r="T156" s="4" t="s">
        <v>320</v>
      </c>
      <c r="U156" s="4">
        <v>0</v>
      </c>
      <c r="V156" s="4">
        <v>20</v>
      </c>
      <c r="W156" s="4">
        <v>58</v>
      </c>
    </row>
    <row r="157" spans="1:23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29</v>
      </c>
      <c r="F157" s="4" t="s">
        <v>25</v>
      </c>
      <c r="G157" s="4" t="s">
        <v>25</v>
      </c>
      <c r="H157" s="4" t="s">
        <v>25</v>
      </c>
      <c r="I157" s="5">
        <v>44743</v>
      </c>
      <c r="J157" s="6">
        <v>0</v>
      </c>
      <c r="K157" s="6">
        <v>0</v>
      </c>
      <c r="L157" s="6">
        <v>21.042999999999999</v>
      </c>
      <c r="M157" s="6">
        <v>21.042999999999999</v>
      </c>
      <c r="N157" s="6">
        <v>21.042999999999999</v>
      </c>
      <c r="O157" s="6">
        <v>21.042999999999999</v>
      </c>
      <c r="P157" s="6">
        <v>57</v>
      </c>
      <c r="Q157" s="4" t="s">
        <v>26</v>
      </c>
      <c r="R157" s="4">
        <v>0</v>
      </c>
      <c r="S157" s="4" t="s">
        <v>160</v>
      </c>
      <c r="T157" s="4" t="s">
        <v>321</v>
      </c>
      <c r="U157" s="4">
        <v>0</v>
      </c>
      <c r="V157" s="4">
        <v>20</v>
      </c>
      <c r="W157" s="4">
        <v>58</v>
      </c>
    </row>
    <row r="158" spans="1:23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30</v>
      </c>
      <c r="F158" s="4" t="s">
        <v>25</v>
      </c>
      <c r="G158" s="4" t="s">
        <v>25</v>
      </c>
      <c r="H158" s="4" t="s">
        <v>25</v>
      </c>
      <c r="I158" s="5">
        <v>44409</v>
      </c>
      <c r="J158" s="6">
        <v>0</v>
      </c>
      <c r="K158" s="6">
        <v>0</v>
      </c>
      <c r="L158" s="6">
        <v>23.725999999999999</v>
      </c>
      <c r="M158" s="6">
        <v>23.725999999999999</v>
      </c>
      <c r="N158" s="6">
        <v>23.725999999999999</v>
      </c>
      <c r="O158" s="6">
        <v>23.725999999999999</v>
      </c>
      <c r="P158" s="6">
        <v>169</v>
      </c>
      <c r="Q158" s="4" t="s">
        <v>26</v>
      </c>
      <c r="R158" s="4">
        <v>0</v>
      </c>
      <c r="S158" s="4" t="s">
        <v>161</v>
      </c>
      <c r="T158" s="4" t="s">
        <v>322</v>
      </c>
      <c r="U158" s="4">
        <v>0</v>
      </c>
      <c r="V158" s="4">
        <v>21</v>
      </c>
      <c r="W158" s="4">
        <v>59</v>
      </c>
    </row>
    <row r="159" spans="1:23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30</v>
      </c>
      <c r="F159" s="4" t="s">
        <v>25</v>
      </c>
      <c r="G159" s="4" t="s">
        <v>25</v>
      </c>
      <c r="H159" s="4" t="s">
        <v>25</v>
      </c>
      <c r="I159" s="5">
        <v>44440</v>
      </c>
      <c r="J159" s="6">
        <v>0</v>
      </c>
      <c r="K159" s="6">
        <v>0</v>
      </c>
      <c r="L159" s="6">
        <v>21.268999999999998</v>
      </c>
      <c r="M159" s="6">
        <v>21.268999999999998</v>
      </c>
      <c r="N159" s="6">
        <v>21.268999999999998</v>
      </c>
      <c r="O159" s="6">
        <v>21.268999999999998</v>
      </c>
      <c r="P159" s="6">
        <v>196</v>
      </c>
      <c r="Q159" s="4" t="s">
        <v>26</v>
      </c>
      <c r="R159" s="4">
        <v>0</v>
      </c>
      <c r="S159" s="4" t="s">
        <v>162</v>
      </c>
      <c r="T159" s="4" t="s">
        <v>323</v>
      </c>
      <c r="U159" s="4">
        <v>0</v>
      </c>
      <c r="V159" s="4">
        <v>21</v>
      </c>
      <c r="W159" s="4">
        <v>59</v>
      </c>
    </row>
    <row r="160" spans="1:23" ht="11.25" customHeight="1" x14ac:dyDescent="0.25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30</v>
      </c>
      <c r="F160" s="4" t="s">
        <v>25</v>
      </c>
      <c r="G160" s="4" t="s">
        <v>25</v>
      </c>
      <c r="H160" s="4" t="s">
        <v>25</v>
      </c>
      <c r="I160" s="5">
        <v>44470</v>
      </c>
      <c r="J160" s="6">
        <v>0</v>
      </c>
      <c r="K160" s="6">
        <v>0</v>
      </c>
      <c r="L160" s="6">
        <v>26.408000000000001</v>
      </c>
      <c r="M160" s="6">
        <v>26.408000000000001</v>
      </c>
      <c r="N160" s="6">
        <v>26.408000000000001</v>
      </c>
      <c r="O160" s="6">
        <v>26.408000000000001</v>
      </c>
      <c r="P160" s="6">
        <v>164</v>
      </c>
      <c r="Q160" s="4" t="s">
        <v>26</v>
      </c>
      <c r="R160" s="4">
        <v>0</v>
      </c>
      <c r="S160" s="4" t="s">
        <v>163</v>
      </c>
      <c r="T160" s="4" t="s">
        <v>324</v>
      </c>
      <c r="U160" s="4">
        <v>0</v>
      </c>
      <c r="V160" s="4">
        <v>21</v>
      </c>
      <c r="W160" s="4">
        <v>59</v>
      </c>
    </row>
    <row r="161" spans="1:2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30</v>
      </c>
      <c r="F161" s="4" t="s">
        <v>25</v>
      </c>
      <c r="G161" s="4" t="s">
        <v>25</v>
      </c>
      <c r="H161" s="4" t="s">
        <v>25</v>
      </c>
      <c r="I161" s="5">
        <v>44501</v>
      </c>
      <c r="J161" s="6">
        <v>0</v>
      </c>
      <c r="K161" s="6">
        <v>0</v>
      </c>
      <c r="L161" s="6">
        <v>22.603999999999999</v>
      </c>
      <c r="M161" s="6">
        <v>22.603999999999999</v>
      </c>
      <c r="N161" s="6">
        <v>22.603999999999999</v>
      </c>
      <c r="O161" s="6">
        <v>22.603999999999999</v>
      </c>
      <c r="P161" s="6">
        <v>207</v>
      </c>
      <c r="Q161" s="4" t="s">
        <v>26</v>
      </c>
      <c r="R161" s="4">
        <v>0</v>
      </c>
      <c r="S161" s="4" t="s">
        <v>164</v>
      </c>
      <c r="T161" s="4" t="s">
        <v>325</v>
      </c>
      <c r="U161" s="4">
        <v>0</v>
      </c>
      <c r="V161" s="4">
        <v>21</v>
      </c>
      <c r="W161" s="4">
        <v>59</v>
      </c>
    </row>
    <row r="162" spans="1:23" ht="11.25" customHeight="1" x14ac:dyDescent="0.25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30</v>
      </c>
      <c r="F162" s="4" t="s">
        <v>25</v>
      </c>
      <c r="G162" s="4" t="s">
        <v>25</v>
      </c>
      <c r="H162" s="4" t="s">
        <v>25</v>
      </c>
      <c r="I162" s="5">
        <v>44531</v>
      </c>
      <c r="J162" s="6">
        <v>0</v>
      </c>
      <c r="K162" s="6">
        <v>0</v>
      </c>
      <c r="L162" s="6">
        <v>25.882999999999999</v>
      </c>
      <c r="M162" s="6">
        <v>25.882999999999999</v>
      </c>
      <c r="N162" s="6">
        <v>25.882999999999999</v>
      </c>
      <c r="O162" s="6">
        <v>25.882999999999999</v>
      </c>
      <c r="P162" s="6">
        <v>196</v>
      </c>
      <c r="Q162" s="4" t="s">
        <v>26</v>
      </c>
      <c r="R162" s="4">
        <v>0</v>
      </c>
      <c r="S162" s="4" t="s">
        <v>165</v>
      </c>
      <c r="T162" s="4" t="s">
        <v>326</v>
      </c>
      <c r="U162" s="4">
        <v>0</v>
      </c>
      <c r="V162" s="4">
        <v>21</v>
      </c>
      <c r="W162" s="4">
        <v>59</v>
      </c>
    </row>
    <row r="163" spans="1:2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30</v>
      </c>
      <c r="F163" s="4" t="s">
        <v>25</v>
      </c>
      <c r="G163" s="4" t="s">
        <v>25</v>
      </c>
      <c r="H163" s="4" t="s">
        <v>25</v>
      </c>
      <c r="I163" s="5">
        <v>44562</v>
      </c>
      <c r="J163" s="6">
        <v>0</v>
      </c>
      <c r="K163" s="6">
        <v>0</v>
      </c>
      <c r="L163" s="6">
        <v>24.427</v>
      </c>
      <c r="M163" s="6">
        <v>24.427</v>
      </c>
      <c r="N163" s="6">
        <v>24.427</v>
      </c>
      <c r="O163" s="6">
        <v>24.427</v>
      </c>
      <c r="P163" s="6">
        <v>208</v>
      </c>
      <c r="Q163" s="4" t="s">
        <v>26</v>
      </c>
      <c r="R163" s="4">
        <v>0</v>
      </c>
      <c r="S163" s="4" t="s">
        <v>166</v>
      </c>
      <c r="T163" s="4" t="s">
        <v>327</v>
      </c>
      <c r="U163" s="4">
        <v>0</v>
      </c>
      <c r="V163" s="4">
        <v>21</v>
      </c>
      <c r="W163" s="4">
        <v>59</v>
      </c>
    </row>
    <row r="164" spans="1:23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30</v>
      </c>
      <c r="F164" s="4" t="s">
        <v>25</v>
      </c>
      <c r="G164" s="4" t="s">
        <v>25</v>
      </c>
      <c r="H164" s="4" t="s">
        <v>25</v>
      </c>
      <c r="I164" s="5">
        <v>44593</v>
      </c>
      <c r="J164" s="6">
        <v>0</v>
      </c>
      <c r="K164" s="6">
        <v>0</v>
      </c>
      <c r="L164" s="6">
        <v>31.364000000000001</v>
      </c>
      <c r="M164" s="6">
        <v>31.364000000000001</v>
      </c>
      <c r="N164" s="6">
        <v>31.364000000000001</v>
      </c>
      <c r="O164" s="6">
        <v>31.364000000000001</v>
      </c>
      <c r="P164" s="6">
        <v>152</v>
      </c>
      <c r="Q164" s="4" t="s">
        <v>26</v>
      </c>
      <c r="R164" s="4">
        <v>0</v>
      </c>
      <c r="S164" s="4" t="s">
        <v>167</v>
      </c>
      <c r="T164" s="4" t="s">
        <v>328</v>
      </c>
      <c r="U164" s="4">
        <v>0</v>
      </c>
      <c r="V164" s="4">
        <v>21</v>
      </c>
      <c r="W164" s="4">
        <v>59</v>
      </c>
    </row>
    <row r="165" spans="1:23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30</v>
      </c>
      <c r="F165" s="4" t="s">
        <v>25</v>
      </c>
      <c r="G165" s="4" t="s">
        <v>25</v>
      </c>
      <c r="H165" s="4" t="s">
        <v>25</v>
      </c>
      <c r="I165" s="5">
        <v>44621</v>
      </c>
      <c r="J165" s="6">
        <v>0</v>
      </c>
      <c r="K165" s="6">
        <v>0</v>
      </c>
      <c r="L165" s="6">
        <v>26.513999999999999</v>
      </c>
      <c r="M165" s="6">
        <v>26.513999999999999</v>
      </c>
      <c r="N165" s="6">
        <v>26.513999999999999</v>
      </c>
      <c r="O165" s="6">
        <v>26.513999999999999</v>
      </c>
      <c r="P165" s="6">
        <v>192</v>
      </c>
      <c r="Q165" s="4" t="s">
        <v>26</v>
      </c>
      <c r="R165" s="4">
        <v>0</v>
      </c>
      <c r="S165" s="4" t="s">
        <v>168</v>
      </c>
      <c r="T165" s="4" t="s">
        <v>329</v>
      </c>
      <c r="U165" s="4">
        <v>0</v>
      </c>
      <c r="V165" s="4">
        <v>21</v>
      </c>
      <c r="W165" s="4">
        <v>59</v>
      </c>
    </row>
    <row r="166" spans="1:2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30</v>
      </c>
      <c r="F166" s="4" t="s">
        <v>25</v>
      </c>
      <c r="G166" s="4" t="s">
        <v>25</v>
      </c>
      <c r="H166" s="4" t="s">
        <v>25</v>
      </c>
      <c r="I166" s="5">
        <v>44652</v>
      </c>
      <c r="J166" s="6">
        <v>0</v>
      </c>
      <c r="K166" s="6">
        <v>0</v>
      </c>
      <c r="L166" s="6">
        <v>29.779</v>
      </c>
      <c r="M166" s="6">
        <v>29.779</v>
      </c>
      <c r="N166" s="6">
        <v>29.779</v>
      </c>
      <c r="O166" s="6">
        <v>29.779</v>
      </c>
      <c r="P166" s="6">
        <v>175</v>
      </c>
      <c r="Q166" s="4" t="s">
        <v>26</v>
      </c>
      <c r="R166" s="4">
        <v>0</v>
      </c>
      <c r="S166" s="4" t="s">
        <v>169</v>
      </c>
      <c r="T166" s="4" t="s">
        <v>330</v>
      </c>
      <c r="U166" s="4">
        <v>0</v>
      </c>
      <c r="V166" s="4">
        <v>21</v>
      </c>
      <c r="W166" s="4">
        <v>59</v>
      </c>
    </row>
    <row r="167" spans="1:23" ht="11.25" customHeight="1" x14ac:dyDescent="0.25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30</v>
      </c>
      <c r="F167" s="4" t="s">
        <v>25</v>
      </c>
      <c r="G167" s="4" t="s">
        <v>25</v>
      </c>
      <c r="H167" s="4" t="s">
        <v>25</v>
      </c>
      <c r="I167" s="5">
        <v>44682</v>
      </c>
      <c r="J167" s="6">
        <v>0</v>
      </c>
      <c r="K167" s="6">
        <v>0</v>
      </c>
      <c r="L167" s="6">
        <v>28.013000000000002</v>
      </c>
      <c r="M167" s="6">
        <v>28.013000000000002</v>
      </c>
      <c r="N167" s="6">
        <v>28.013000000000002</v>
      </c>
      <c r="O167" s="6">
        <v>28.013000000000002</v>
      </c>
      <c r="P167" s="6">
        <v>201</v>
      </c>
      <c r="Q167" s="4" t="s">
        <v>26</v>
      </c>
      <c r="R167" s="4">
        <v>0</v>
      </c>
      <c r="S167" s="4" t="s">
        <v>170</v>
      </c>
      <c r="T167" s="4" t="s">
        <v>331</v>
      </c>
      <c r="U167" s="4">
        <v>0</v>
      </c>
      <c r="V167" s="4">
        <v>21</v>
      </c>
      <c r="W167" s="4">
        <v>59</v>
      </c>
    </row>
    <row r="168" spans="1:23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30</v>
      </c>
      <c r="F168" s="4" t="s">
        <v>25</v>
      </c>
      <c r="G168" s="4" t="s">
        <v>25</v>
      </c>
      <c r="H168" s="4" t="s">
        <v>25</v>
      </c>
      <c r="I168" s="5">
        <v>44713</v>
      </c>
      <c r="J168" s="6">
        <v>0</v>
      </c>
      <c r="K168" s="6">
        <v>0</v>
      </c>
      <c r="L168" s="6">
        <v>22.375</v>
      </c>
      <c r="M168" s="6">
        <v>22.375</v>
      </c>
      <c r="N168" s="6">
        <v>22.375</v>
      </c>
      <c r="O168" s="6">
        <v>22.375</v>
      </c>
      <c r="P168" s="6">
        <v>181</v>
      </c>
      <c r="Q168" s="4" t="s">
        <v>26</v>
      </c>
      <c r="R168" s="4">
        <v>0</v>
      </c>
      <c r="S168" s="4" t="s">
        <v>171</v>
      </c>
      <c r="T168" s="4" t="s">
        <v>332</v>
      </c>
      <c r="U168" s="4">
        <v>0</v>
      </c>
      <c r="V168" s="4">
        <v>21</v>
      </c>
      <c r="W168" s="4">
        <v>59</v>
      </c>
    </row>
    <row r="169" spans="1:23" ht="11.25" customHeight="1" x14ac:dyDescent="0.25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30</v>
      </c>
      <c r="F169" s="4" t="s">
        <v>25</v>
      </c>
      <c r="G169" s="4" t="s">
        <v>25</v>
      </c>
      <c r="H169" s="4" t="s">
        <v>25</v>
      </c>
      <c r="I169" s="5">
        <v>44743</v>
      </c>
      <c r="J169" s="6">
        <v>0</v>
      </c>
      <c r="K169" s="6">
        <v>0</v>
      </c>
      <c r="L169" s="6">
        <v>22.675000000000001</v>
      </c>
      <c r="M169" s="6">
        <v>22.675000000000001</v>
      </c>
      <c r="N169" s="6">
        <v>22.675000000000001</v>
      </c>
      <c r="O169" s="6">
        <v>22.675000000000001</v>
      </c>
      <c r="P169" s="6">
        <v>157</v>
      </c>
      <c r="Q169" s="4" t="s">
        <v>26</v>
      </c>
      <c r="R169" s="4">
        <v>0</v>
      </c>
      <c r="S169" s="4" t="s">
        <v>172</v>
      </c>
      <c r="T169" s="4" t="s">
        <v>333</v>
      </c>
      <c r="U169" s="4">
        <v>0</v>
      </c>
      <c r="V169" s="4">
        <v>21</v>
      </c>
      <c r="W169" s="4">
        <v>59</v>
      </c>
    </row>
    <row r="170" spans="1:23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31</v>
      </c>
      <c r="F170" s="4" t="s">
        <v>25</v>
      </c>
      <c r="G170" s="4" t="s">
        <v>25</v>
      </c>
      <c r="H170" s="4" t="s">
        <v>25</v>
      </c>
      <c r="I170" s="5">
        <v>44409</v>
      </c>
      <c r="J170" s="6">
        <v>0</v>
      </c>
      <c r="K170" s="6">
        <v>0</v>
      </c>
      <c r="L170" s="6">
        <v>7.9669999999999996</v>
      </c>
      <c r="M170" s="6">
        <v>7.9669999999999996</v>
      </c>
      <c r="N170" s="6">
        <v>7.9669999999999996</v>
      </c>
      <c r="O170" s="6">
        <v>7.9669999999999996</v>
      </c>
      <c r="P170" s="6">
        <v>109</v>
      </c>
      <c r="Q170" s="4" t="s">
        <v>26</v>
      </c>
      <c r="R170" s="4">
        <v>0</v>
      </c>
      <c r="S170" s="4" t="s">
        <v>173</v>
      </c>
      <c r="T170" s="4" t="s">
        <v>334</v>
      </c>
      <c r="U170" s="4">
        <v>0</v>
      </c>
      <c r="V170" s="4">
        <v>22</v>
      </c>
      <c r="W170" s="4">
        <v>60</v>
      </c>
    </row>
    <row r="171" spans="1:23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31</v>
      </c>
      <c r="F171" s="4" t="s">
        <v>25</v>
      </c>
      <c r="G171" s="4" t="s">
        <v>25</v>
      </c>
      <c r="H171" s="4" t="s">
        <v>25</v>
      </c>
      <c r="I171" s="5">
        <v>44440</v>
      </c>
      <c r="J171" s="6">
        <v>0</v>
      </c>
      <c r="K171" s="6">
        <v>0</v>
      </c>
      <c r="L171" s="6">
        <v>5.3879999999999999</v>
      </c>
      <c r="M171" s="6">
        <v>5.3879999999999999</v>
      </c>
      <c r="N171" s="6">
        <v>5.3879999999999999</v>
      </c>
      <c r="O171" s="6">
        <v>5.3879999999999999</v>
      </c>
      <c r="P171" s="6">
        <v>81</v>
      </c>
      <c r="Q171" s="4" t="s">
        <v>26</v>
      </c>
      <c r="R171" s="4">
        <v>0</v>
      </c>
      <c r="S171" s="4" t="s">
        <v>174</v>
      </c>
      <c r="T171" s="4" t="s">
        <v>335</v>
      </c>
      <c r="U171" s="4">
        <v>0</v>
      </c>
      <c r="V171" s="4">
        <v>22</v>
      </c>
      <c r="W171" s="4">
        <v>60</v>
      </c>
    </row>
    <row r="172" spans="1:23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31</v>
      </c>
      <c r="F172" s="4" t="s">
        <v>25</v>
      </c>
      <c r="G172" s="4" t="s">
        <v>25</v>
      </c>
      <c r="H172" s="4" t="s">
        <v>25</v>
      </c>
      <c r="I172" s="5">
        <v>44470</v>
      </c>
      <c r="J172" s="6">
        <v>0</v>
      </c>
      <c r="K172" s="6">
        <v>0</v>
      </c>
      <c r="L172" s="6">
        <v>9.2989999999999995</v>
      </c>
      <c r="M172" s="6">
        <v>9.2989999999999995</v>
      </c>
      <c r="N172" s="6">
        <v>9.2989999999999995</v>
      </c>
      <c r="O172" s="6">
        <v>9.2989999999999995</v>
      </c>
      <c r="P172" s="6">
        <v>126</v>
      </c>
      <c r="Q172" s="4" t="s">
        <v>26</v>
      </c>
      <c r="R172" s="4">
        <v>0</v>
      </c>
      <c r="S172" s="4" t="s">
        <v>175</v>
      </c>
      <c r="T172" s="4" t="s">
        <v>336</v>
      </c>
      <c r="U172" s="4">
        <v>0</v>
      </c>
      <c r="V172" s="4">
        <v>22</v>
      </c>
      <c r="W172" s="4">
        <v>60</v>
      </c>
    </row>
    <row r="173" spans="1:23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31</v>
      </c>
      <c r="F173" s="4" t="s">
        <v>25</v>
      </c>
      <c r="G173" s="4" t="s">
        <v>25</v>
      </c>
      <c r="H173" s="4" t="s">
        <v>25</v>
      </c>
      <c r="I173" s="5">
        <v>44501</v>
      </c>
      <c r="J173" s="6">
        <v>0</v>
      </c>
      <c r="K173" s="6">
        <v>0</v>
      </c>
      <c r="L173" s="6">
        <v>5.3890000000000002</v>
      </c>
      <c r="M173" s="6">
        <v>5.3890000000000002</v>
      </c>
      <c r="N173" s="6">
        <v>5.3890000000000002</v>
      </c>
      <c r="O173" s="6">
        <v>5.3890000000000002</v>
      </c>
      <c r="P173" s="6">
        <v>84</v>
      </c>
      <c r="Q173" s="4" t="s">
        <v>26</v>
      </c>
      <c r="R173" s="4">
        <v>0</v>
      </c>
      <c r="S173" s="4" t="s">
        <v>176</v>
      </c>
      <c r="T173" s="4" t="s">
        <v>337</v>
      </c>
      <c r="U173" s="4">
        <v>0</v>
      </c>
      <c r="V173" s="4">
        <v>22</v>
      </c>
      <c r="W173" s="4">
        <v>60</v>
      </c>
    </row>
    <row r="174" spans="1:23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31</v>
      </c>
      <c r="F174" s="4" t="s">
        <v>25</v>
      </c>
      <c r="G174" s="4" t="s">
        <v>25</v>
      </c>
      <c r="H174" s="4" t="s">
        <v>25</v>
      </c>
      <c r="I174" s="5">
        <v>44531</v>
      </c>
      <c r="J174" s="6">
        <v>0</v>
      </c>
      <c r="K174" s="6">
        <v>0</v>
      </c>
      <c r="L174" s="6">
        <v>8.0939999999999994</v>
      </c>
      <c r="M174" s="6">
        <v>8.0939999999999994</v>
      </c>
      <c r="N174" s="6">
        <v>8.0939999999999994</v>
      </c>
      <c r="O174" s="6">
        <v>8.0939999999999994</v>
      </c>
      <c r="P174" s="6">
        <v>112</v>
      </c>
      <c r="Q174" s="4" t="s">
        <v>26</v>
      </c>
      <c r="R174" s="4">
        <v>0</v>
      </c>
      <c r="S174" s="4" t="s">
        <v>177</v>
      </c>
      <c r="T174" s="4" t="s">
        <v>338</v>
      </c>
      <c r="U174" s="4">
        <v>0</v>
      </c>
      <c r="V174" s="4">
        <v>22</v>
      </c>
      <c r="W174" s="4">
        <v>60</v>
      </c>
    </row>
    <row r="175" spans="1:23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31</v>
      </c>
      <c r="F175" s="4" t="s">
        <v>25</v>
      </c>
      <c r="G175" s="4" t="s">
        <v>25</v>
      </c>
      <c r="H175" s="4" t="s">
        <v>25</v>
      </c>
      <c r="I175" s="5">
        <v>44562</v>
      </c>
      <c r="J175" s="6">
        <v>0</v>
      </c>
      <c r="K175" s="6">
        <v>0</v>
      </c>
      <c r="L175" s="6">
        <v>6.9139999999999997</v>
      </c>
      <c r="M175" s="6">
        <v>6.9139999999999997</v>
      </c>
      <c r="N175" s="6">
        <v>6.9139999999999997</v>
      </c>
      <c r="O175" s="6">
        <v>6.9139999999999997</v>
      </c>
      <c r="P175" s="6">
        <v>98</v>
      </c>
      <c r="Q175" s="4" t="s">
        <v>26</v>
      </c>
      <c r="R175" s="4">
        <v>0</v>
      </c>
      <c r="S175" s="4" t="s">
        <v>178</v>
      </c>
      <c r="T175" s="4" t="s">
        <v>339</v>
      </c>
      <c r="U175" s="4">
        <v>0</v>
      </c>
      <c r="V175" s="4">
        <v>22</v>
      </c>
      <c r="W175" s="4">
        <v>60</v>
      </c>
    </row>
    <row r="176" spans="1:23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31</v>
      </c>
      <c r="F176" s="4" t="s">
        <v>25</v>
      </c>
      <c r="G176" s="4" t="s">
        <v>25</v>
      </c>
      <c r="H176" s="4" t="s">
        <v>25</v>
      </c>
      <c r="I176" s="5">
        <v>44593</v>
      </c>
      <c r="J176" s="6">
        <v>0</v>
      </c>
      <c r="K176" s="6">
        <v>0</v>
      </c>
      <c r="L176" s="6">
        <v>18.236999999999998</v>
      </c>
      <c r="M176" s="6">
        <v>18.236999999999998</v>
      </c>
      <c r="N176" s="6">
        <v>18.236999999999998</v>
      </c>
      <c r="O176" s="6">
        <v>18.236999999999998</v>
      </c>
      <c r="P176" s="6">
        <v>180</v>
      </c>
      <c r="Q176" s="4" t="s">
        <v>26</v>
      </c>
      <c r="R176" s="4">
        <v>0</v>
      </c>
      <c r="S176" s="4" t="s">
        <v>179</v>
      </c>
      <c r="T176" s="4" t="s">
        <v>340</v>
      </c>
      <c r="U176" s="4">
        <v>0</v>
      </c>
      <c r="V176" s="4">
        <v>22</v>
      </c>
      <c r="W176" s="4">
        <v>60</v>
      </c>
    </row>
    <row r="177" spans="1:23" ht="11.25" customHeight="1" x14ac:dyDescent="0.25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31</v>
      </c>
      <c r="F177" s="4" t="s">
        <v>25</v>
      </c>
      <c r="G177" s="4" t="s">
        <v>25</v>
      </c>
      <c r="H177" s="4" t="s">
        <v>25</v>
      </c>
      <c r="I177" s="5">
        <v>44621</v>
      </c>
      <c r="J177" s="6">
        <v>0</v>
      </c>
      <c r="K177" s="6">
        <v>0</v>
      </c>
      <c r="L177" s="6">
        <v>9.5129999999999999</v>
      </c>
      <c r="M177" s="6">
        <v>9.5129999999999999</v>
      </c>
      <c r="N177" s="6">
        <v>9.5129999999999999</v>
      </c>
      <c r="O177" s="6">
        <v>9.5129999999999999</v>
      </c>
      <c r="P177" s="6">
        <v>121</v>
      </c>
      <c r="Q177" s="4" t="s">
        <v>26</v>
      </c>
      <c r="R177" s="4">
        <v>0</v>
      </c>
      <c r="S177" s="4" t="s">
        <v>180</v>
      </c>
      <c r="T177" s="4" t="s">
        <v>341</v>
      </c>
      <c r="U177" s="4">
        <v>0</v>
      </c>
      <c r="V177" s="4">
        <v>22</v>
      </c>
      <c r="W177" s="4">
        <v>60</v>
      </c>
    </row>
    <row r="178" spans="1:23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31</v>
      </c>
      <c r="F178" s="4" t="s">
        <v>25</v>
      </c>
      <c r="G178" s="4" t="s">
        <v>25</v>
      </c>
      <c r="H178" s="4" t="s">
        <v>25</v>
      </c>
      <c r="I178" s="5">
        <v>44652</v>
      </c>
      <c r="J178" s="6">
        <v>0</v>
      </c>
      <c r="K178" s="6">
        <v>0</v>
      </c>
      <c r="L178" s="6">
        <v>13.606999999999999</v>
      </c>
      <c r="M178" s="6">
        <v>13.606999999999999</v>
      </c>
      <c r="N178" s="6">
        <v>13.606999999999999</v>
      </c>
      <c r="O178" s="6">
        <v>13.606999999999999</v>
      </c>
      <c r="P178" s="6">
        <v>152</v>
      </c>
      <c r="Q178" s="4" t="s">
        <v>26</v>
      </c>
      <c r="R178" s="4">
        <v>0</v>
      </c>
      <c r="S178" s="4" t="s">
        <v>181</v>
      </c>
      <c r="T178" s="4" t="s">
        <v>342</v>
      </c>
      <c r="U178" s="4">
        <v>0</v>
      </c>
      <c r="V178" s="4">
        <v>22</v>
      </c>
      <c r="W178" s="4">
        <v>60</v>
      </c>
    </row>
    <row r="179" spans="1:23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31</v>
      </c>
      <c r="F179" s="4" t="s">
        <v>25</v>
      </c>
      <c r="G179" s="4" t="s">
        <v>25</v>
      </c>
      <c r="H179" s="4" t="s">
        <v>25</v>
      </c>
      <c r="I179" s="5">
        <v>44682</v>
      </c>
      <c r="J179" s="6">
        <v>0</v>
      </c>
      <c r="K179" s="6">
        <v>0</v>
      </c>
      <c r="L179" s="6">
        <v>8.8539999999999992</v>
      </c>
      <c r="M179" s="6">
        <v>8.8539999999999992</v>
      </c>
      <c r="N179" s="6">
        <v>8.8539999999999992</v>
      </c>
      <c r="O179" s="6">
        <v>8.8539999999999992</v>
      </c>
      <c r="P179" s="6">
        <v>122</v>
      </c>
      <c r="Q179" s="4" t="s">
        <v>26</v>
      </c>
      <c r="R179" s="4">
        <v>0</v>
      </c>
      <c r="S179" s="4" t="s">
        <v>182</v>
      </c>
      <c r="T179" s="4" t="s">
        <v>343</v>
      </c>
      <c r="U179" s="4">
        <v>0</v>
      </c>
      <c r="V179" s="4">
        <v>22</v>
      </c>
      <c r="W179" s="4">
        <v>60</v>
      </c>
    </row>
    <row r="180" spans="1:23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31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0</v>
      </c>
      <c r="K180" s="6">
        <v>0</v>
      </c>
      <c r="L180" s="6">
        <v>5.9820000000000002</v>
      </c>
      <c r="M180" s="6">
        <v>5.9820000000000002</v>
      </c>
      <c r="N180" s="6">
        <v>5.9820000000000002</v>
      </c>
      <c r="O180" s="6">
        <v>5.9820000000000002</v>
      </c>
      <c r="P180" s="6">
        <v>93</v>
      </c>
      <c r="Q180" s="4" t="s">
        <v>26</v>
      </c>
      <c r="R180" s="4">
        <v>0</v>
      </c>
      <c r="S180" s="4" t="s">
        <v>183</v>
      </c>
      <c r="T180" s="4" t="s">
        <v>344</v>
      </c>
      <c r="U180" s="4">
        <v>0</v>
      </c>
      <c r="V180" s="4">
        <v>22</v>
      </c>
      <c r="W180" s="4">
        <v>60</v>
      </c>
    </row>
    <row r="181" spans="1:23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31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0</v>
      </c>
      <c r="K181" s="6">
        <v>0</v>
      </c>
      <c r="L181" s="6">
        <v>10.238</v>
      </c>
      <c r="M181" s="6">
        <v>10.238</v>
      </c>
      <c r="N181" s="6">
        <v>10.238</v>
      </c>
      <c r="O181" s="6">
        <v>10.238</v>
      </c>
      <c r="P181" s="6">
        <v>108</v>
      </c>
      <c r="Q181" s="4" t="s">
        <v>26</v>
      </c>
      <c r="R181" s="4">
        <v>0</v>
      </c>
      <c r="S181" s="4" t="s">
        <v>184</v>
      </c>
      <c r="T181" s="4" t="s">
        <v>345</v>
      </c>
      <c r="U181" s="4">
        <v>0</v>
      </c>
      <c r="V181" s="4">
        <v>22</v>
      </c>
      <c r="W181" s="4">
        <v>60</v>
      </c>
    </row>
    <row r="182" spans="1:23" ht="11.25" customHeight="1" x14ac:dyDescent="0.25">
      <c r="A182" s="4" t="s">
        <v>21</v>
      </c>
      <c r="B182" s="4" t="s">
        <v>41</v>
      </c>
      <c r="C182" s="4" t="s">
        <v>23</v>
      </c>
      <c r="D182" s="4" t="s">
        <v>42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44409</v>
      </c>
      <c r="J182" s="6">
        <v>0</v>
      </c>
      <c r="K182" s="6">
        <v>0</v>
      </c>
      <c r="L182" s="6">
        <v>0.85299999999999998</v>
      </c>
      <c r="M182" s="6">
        <v>0.85299999999999998</v>
      </c>
      <c r="N182" s="6">
        <v>0.85299999999999998</v>
      </c>
      <c r="O182" s="6">
        <v>0.85299999999999998</v>
      </c>
      <c r="P182" s="6">
        <v>4</v>
      </c>
      <c r="Q182" s="4" t="s">
        <v>26</v>
      </c>
      <c r="R182" s="4">
        <v>0</v>
      </c>
      <c r="S182" s="4" t="s">
        <v>185</v>
      </c>
      <c r="T182" s="4" t="s">
        <v>346</v>
      </c>
      <c r="U182" s="4">
        <v>0</v>
      </c>
      <c r="V182" s="4">
        <v>31</v>
      </c>
      <c r="W182" s="4">
        <v>69</v>
      </c>
    </row>
    <row r="183" spans="1:23" ht="11.25" customHeight="1" x14ac:dyDescent="0.25">
      <c r="A183" s="4" t="s">
        <v>21</v>
      </c>
      <c r="B183" s="4" t="s">
        <v>41</v>
      </c>
      <c r="C183" s="4" t="s">
        <v>23</v>
      </c>
      <c r="D183" s="4" t="s">
        <v>42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44440</v>
      </c>
      <c r="J183" s="6">
        <v>0</v>
      </c>
      <c r="K183" s="6">
        <v>0</v>
      </c>
      <c r="L183" s="6">
        <v>0.92300000000000004</v>
      </c>
      <c r="M183" s="6">
        <v>0.92300000000000004</v>
      </c>
      <c r="N183" s="6">
        <v>0.92300000000000004</v>
      </c>
      <c r="O183" s="6">
        <v>0.92300000000000004</v>
      </c>
      <c r="P183" s="6">
        <v>4</v>
      </c>
      <c r="Q183" s="4" t="s">
        <v>26</v>
      </c>
      <c r="R183" s="4">
        <v>0</v>
      </c>
      <c r="S183" s="4" t="s">
        <v>186</v>
      </c>
      <c r="T183" s="4" t="s">
        <v>347</v>
      </c>
      <c r="U183" s="4">
        <v>0</v>
      </c>
      <c r="V183" s="4">
        <v>31</v>
      </c>
      <c r="W183" s="4">
        <v>69</v>
      </c>
    </row>
    <row r="184" spans="1:23" ht="11.25" customHeight="1" x14ac:dyDescent="0.25">
      <c r="A184" s="4" t="s">
        <v>21</v>
      </c>
      <c r="B184" s="4" t="s">
        <v>41</v>
      </c>
      <c r="C184" s="4" t="s">
        <v>23</v>
      </c>
      <c r="D184" s="4" t="s">
        <v>42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0</v>
      </c>
      <c r="K184" s="6">
        <v>0</v>
      </c>
      <c r="L184" s="6">
        <v>1.0189999999999999</v>
      </c>
      <c r="M184" s="6">
        <v>1.0189999999999999</v>
      </c>
      <c r="N184" s="6">
        <v>1.0189999999999999</v>
      </c>
      <c r="O184" s="6">
        <v>1.0189999999999999</v>
      </c>
      <c r="P184" s="6">
        <v>4</v>
      </c>
      <c r="Q184" s="4" t="s">
        <v>26</v>
      </c>
      <c r="R184" s="4">
        <v>0</v>
      </c>
      <c r="S184" s="4" t="s">
        <v>187</v>
      </c>
      <c r="T184" s="4" t="s">
        <v>348</v>
      </c>
      <c r="U184" s="4">
        <v>0</v>
      </c>
      <c r="V184" s="4">
        <v>31</v>
      </c>
      <c r="W184" s="4">
        <v>69</v>
      </c>
    </row>
    <row r="185" spans="1:23" ht="11.25" customHeight="1" x14ac:dyDescent="0.25">
      <c r="A185" s="4" t="s">
        <v>21</v>
      </c>
      <c r="B185" s="4" t="s">
        <v>41</v>
      </c>
      <c r="C185" s="4" t="s">
        <v>23</v>
      </c>
      <c r="D185" s="4" t="s">
        <v>42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0</v>
      </c>
      <c r="K185" s="6">
        <v>0</v>
      </c>
      <c r="L185" s="6">
        <v>0.93100000000000005</v>
      </c>
      <c r="M185" s="6">
        <v>0.93100000000000005</v>
      </c>
      <c r="N185" s="6">
        <v>0.93100000000000005</v>
      </c>
      <c r="O185" s="6">
        <v>0.93100000000000005</v>
      </c>
      <c r="P185" s="6">
        <v>4</v>
      </c>
      <c r="Q185" s="4" t="s">
        <v>26</v>
      </c>
      <c r="R185" s="4">
        <v>0</v>
      </c>
      <c r="S185" s="4" t="s">
        <v>188</v>
      </c>
      <c r="T185" s="4" t="s">
        <v>349</v>
      </c>
      <c r="U185" s="4">
        <v>0</v>
      </c>
      <c r="V185" s="4">
        <v>31</v>
      </c>
      <c r="W185" s="4">
        <v>69</v>
      </c>
    </row>
    <row r="186" spans="1:23" ht="11.25" customHeight="1" x14ac:dyDescent="0.25">
      <c r="A186" s="4" t="s">
        <v>21</v>
      </c>
      <c r="B186" s="4" t="s">
        <v>41</v>
      </c>
      <c r="C186" s="4" t="s">
        <v>23</v>
      </c>
      <c r="D186" s="4" t="s">
        <v>42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1.1719999999999999</v>
      </c>
      <c r="M186" s="6">
        <v>1.1719999999999999</v>
      </c>
      <c r="N186" s="6">
        <v>1.1719999999999999</v>
      </c>
      <c r="O186" s="6">
        <v>1.1719999999999999</v>
      </c>
      <c r="P186" s="6">
        <v>4</v>
      </c>
      <c r="Q186" s="4" t="s">
        <v>26</v>
      </c>
      <c r="R186" s="4">
        <v>0</v>
      </c>
      <c r="S186" s="4" t="s">
        <v>189</v>
      </c>
      <c r="T186" s="4" t="s">
        <v>350</v>
      </c>
      <c r="U186" s="4">
        <v>0</v>
      </c>
      <c r="V186" s="4">
        <v>31</v>
      </c>
      <c r="W186" s="4">
        <v>69</v>
      </c>
    </row>
    <row r="187" spans="1:23" ht="11.25" customHeight="1" x14ac:dyDescent="0.25">
      <c r="A187" s="4" t="s">
        <v>21</v>
      </c>
      <c r="B187" s="4" t="s">
        <v>41</v>
      </c>
      <c r="C187" s="4" t="s">
        <v>23</v>
      </c>
      <c r="D187" s="4" t="s">
        <v>42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1.1339999999999999</v>
      </c>
      <c r="M187" s="6">
        <v>1.1339999999999999</v>
      </c>
      <c r="N187" s="6">
        <v>1.1339999999999999</v>
      </c>
      <c r="O187" s="6">
        <v>1.1339999999999999</v>
      </c>
      <c r="P187" s="6">
        <v>4</v>
      </c>
      <c r="Q187" s="4" t="s">
        <v>26</v>
      </c>
      <c r="R187" s="4">
        <v>0</v>
      </c>
      <c r="S187" s="4" t="s">
        <v>190</v>
      </c>
      <c r="T187" s="4" t="s">
        <v>351</v>
      </c>
      <c r="U187" s="4">
        <v>0</v>
      </c>
      <c r="V187" s="4">
        <v>31</v>
      </c>
      <c r="W187" s="4">
        <v>69</v>
      </c>
    </row>
    <row r="188" spans="1:23" ht="11.25" customHeight="1" x14ac:dyDescent="0.25">
      <c r="A188" s="4" t="s">
        <v>21</v>
      </c>
      <c r="B188" s="4" t="s">
        <v>41</v>
      </c>
      <c r="C188" s="4" t="s">
        <v>23</v>
      </c>
      <c r="D188" s="4" t="s">
        <v>42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44593</v>
      </c>
      <c r="J188" s="6">
        <v>0</v>
      </c>
      <c r="K188" s="6">
        <v>0</v>
      </c>
      <c r="L188" s="6">
        <v>1.478</v>
      </c>
      <c r="M188" s="6">
        <v>1.478</v>
      </c>
      <c r="N188" s="6">
        <v>1.478</v>
      </c>
      <c r="O188" s="6">
        <v>1.478</v>
      </c>
      <c r="P188" s="6">
        <v>4</v>
      </c>
      <c r="Q188" s="4" t="s">
        <v>26</v>
      </c>
      <c r="R188" s="4">
        <v>0</v>
      </c>
      <c r="S188" s="4" t="s">
        <v>191</v>
      </c>
      <c r="T188" s="4" t="s">
        <v>352</v>
      </c>
      <c r="U188" s="4">
        <v>0</v>
      </c>
      <c r="V188" s="4">
        <v>31</v>
      </c>
      <c r="W188" s="4">
        <v>69</v>
      </c>
    </row>
    <row r="189" spans="1:23" ht="11.25" customHeight="1" x14ac:dyDescent="0.25">
      <c r="A189" s="4" t="s">
        <v>21</v>
      </c>
      <c r="B189" s="4" t="s">
        <v>41</v>
      </c>
      <c r="C189" s="4" t="s">
        <v>23</v>
      </c>
      <c r="D189" s="4" t="s">
        <v>42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44621</v>
      </c>
      <c r="J189" s="6">
        <v>0</v>
      </c>
      <c r="K189" s="6">
        <v>0</v>
      </c>
      <c r="L189" s="6">
        <v>1.0720000000000001</v>
      </c>
      <c r="M189" s="6">
        <v>1.0720000000000001</v>
      </c>
      <c r="N189" s="6">
        <v>1.0720000000000001</v>
      </c>
      <c r="O189" s="6">
        <v>1.0720000000000001</v>
      </c>
      <c r="P189" s="6">
        <v>4</v>
      </c>
      <c r="Q189" s="4" t="s">
        <v>26</v>
      </c>
      <c r="R189" s="4">
        <v>0</v>
      </c>
      <c r="S189" s="4" t="s">
        <v>192</v>
      </c>
      <c r="T189" s="4" t="s">
        <v>353</v>
      </c>
      <c r="U189" s="4">
        <v>0</v>
      </c>
      <c r="V189" s="4">
        <v>31</v>
      </c>
      <c r="W189" s="4">
        <v>69</v>
      </c>
    </row>
    <row r="190" spans="1:23" ht="11.25" customHeight="1" x14ac:dyDescent="0.25">
      <c r="A190" s="4" t="s">
        <v>21</v>
      </c>
      <c r="B190" s="4" t="s">
        <v>41</v>
      </c>
      <c r="C190" s="4" t="s">
        <v>23</v>
      </c>
      <c r="D190" s="4" t="s">
        <v>42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44652</v>
      </c>
      <c r="J190" s="6">
        <v>0</v>
      </c>
      <c r="K190" s="6">
        <v>0</v>
      </c>
      <c r="L190" s="6">
        <v>1.143</v>
      </c>
      <c r="M190" s="6">
        <v>1.143</v>
      </c>
      <c r="N190" s="6">
        <v>1.143</v>
      </c>
      <c r="O190" s="6">
        <v>1.143</v>
      </c>
      <c r="P190" s="6">
        <v>4</v>
      </c>
      <c r="Q190" s="4" t="s">
        <v>26</v>
      </c>
      <c r="R190" s="4">
        <v>0</v>
      </c>
      <c r="S190" s="4" t="s">
        <v>193</v>
      </c>
      <c r="T190" s="4" t="s">
        <v>354</v>
      </c>
      <c r="U190" s="4">
        <v>0</v>
      </c>
      <c r="V190" s="4">
        <v>31</v>
      </c>
      <c r="W190" s="4">
        <v>69</v>
      </c>
    </row>
    <row r="191" spans="1:23" ht="11.25" customHeight="1" x14ac:dyDescent="0.25">
      <c r="A191" s="4" t="s">
        <v>21</v>
      </c>
      <c r="B191" s="4" t="s">
        <v>41</v>
      </c>
      <c r="C191" s="4" t="s">
        <v>23</v>
      </c>
      <c r="D191" s="4" t="s">
        <v>42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44682</v>
      </c>
      <c r="J191" s="6">
        <v>0</v>
      </c>
      <c r="K191" s="6">
        <v>0</v>
      </c>
      <c r="L191" s="6">
        <v>0.77100000000000002</v>
      </c>
      <c r="M191" s="6">
        <v>0.77100000000000002</v>
      </c>
      <c r="N191" s="6">
        <v>0.77100000000000002</v>
      </c>
      <c r="O191" s="6">
        <v>0.77100000000000002</v>
      </c>
      <c r="P191" s="6">
        <v>4</v>
      </c>
      <c r="Q191" s="4" t="s">
        <v>26</v>
      </c>
      <c r="R191" s="4">
        <v>0</v>
      </c>
      <c r="S191" s="4" t="s">
        <v>194</v>
      </c>
      <c r="T191" s="4" t="s">
        <v>355</v>
      </c>
      <c r="U191" s="4">
        <v>0</v>
      </c>
      <c r="V191" s="4">
        <v>31</v>
      </c>
      <c r="W191" s="4">
        <v>69</v>
      </c>
    </row>
    <row r="192" spans="1:23" ht="11.25" customHeight="1" x14ac:dyDescent="0.25">
      <c r="A192" s="4" t="s">
        <v>21</v>
      </c>
      <c r="B192" s="4" t="s">
        <v>41</v>
      </c>
      <c r="C192" s="4" t="s">
        <v>23</v>
      </c>
      <c r="D192" s="4" t="s">
        <v>42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44713</v>
      </c>
      <c r="J192" s="6">
        <v>0</v>
      </c>
      <c r="K192" s="6">
        <v>0</v>
      </c>
      <c r="L192" s="6">
        <v>0.69299999999999995</v>
      </c>
      <c r="M192" s="6">
        <v>0.69299999999999995</v>
      </c>
      <c r="N192" s="6">
        <v>0.69299999999999995</v>
      </c>
      <c r="O192" s="6">
        <v>0.69299999999999995</v>
      </c>
      <c r="P192" s="6">
        <v>4</v>
      </c>
      <c r="Q192" s="4" t="s">
        <v>26</v>
      </c>
      <c r="R192" s="4">
        <v>0</v>
      </c>
      <c r="S192" s="4" t="s">
        <v>195</v>
      </c>
      <c r="T192" s="4" t="s">
        <v>356</v>
      </c>
      <c r="U192" s="4">
        <v>0</v>
      </c>
      <c r="V192" s="4">
        <v>31</v>
      </c>
      <c r="W192" s="4">
        <v>69</v>
      </c>
    </row>
    <row r="193" spans="1:23" ht="11.25" customHeight="1" x14ac:dyDescent="0.25">
      <c r="A193" s="4" t="s">
        <v>21</v>
      </c>
      <c r="B193" s="4" t="s">
        <v>41</v>
      </c>
      <c r="C193" s="4" t="s">
        <v>23</v>
      </c>
      <c r="D193" s="4" t="s">
        <v>42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44743</v>
      </c>
      <c r="J193" s="6">
        <v>0</v>
      </c>
      <c r="K193" s="6">
        <v>0</v>
      </c>
      <c r="L193" s="6">
        <v>0.65100000000000002</v>
      </c>
      <c r="M193" s="6">
        <v>0.65100000000000002</v>
      </c>
      <c r="N193" s="6">
        <v>0.65100000000000002</v>
      </c>
      <c r="O193" s="6">
        <v>0.65100000000000002</v>
      </c>
      <c r="P193" s="6">
        <v>4</v>
      </c>
      <c r="Q193" s="4" t="s">
        <v>26</v>
      </c>
      <c r="R193" s="4">
        <v>0</v>
      </c>
      <c r="S193" s="4" t="s">
        <v>196</v>
      </c>
      <c r="T193" s="4" t="s">
        <v>357</v>
      </c>
      <c r="U193" s="4">
        <v>0</v>
      </c>
      <c r="V193" s="4">
        <v>31</v>
      </c>
      <c r="W193" s="4">
        <v>69</v>
      </c>
    </row>
    <row r="194" spans="1:23" ht="11.25" customHeight="1" x14ac:dyDescent="0.25">
      <c r="A194" s="4" t="s">
        <v>21</v>
      </c>
      <c r="B194" s="4" t="s">
        <v>32</v>
      </c>
      <c r="C194" s="4" t="s">
        <v>38</v>
      </c>
      <c r="D194" s="4" t="s">
        <v>40</v>
      </c>
      <c r="E194" s="4" t="s">
        <v>25</v>
      </c>
      <c r="F194" s="4" t="s">
        <v>25</v>
      </c>
      <c r="G194" s="4" t="s">
        <v>25</v>
      </c>
      <c r="H194" s="4" t="s">
        <v>37</v>
      </c>
      <c r="I194" s="5">
        <v>44409</v>
      </c>
      <c r="J194" s="6">
        <v>0</v>
      </c>
      <c r="K194" s="6">
        <v>0</v>
      </c>
      <c r="L194" s="6">
        <v>8.2989999999999995</v>
      </c>
      <c r="M194" s="6">
        <v>8.2989999999999995</v>
      </c>
      <c r="N194" s="6">
        <v>8.2989999999999995</v>
      </c>
      <c r="O194" s="6">
        <v>8.2989999999999995</v>
      </c>
      <c r="P194" s="6">
        <v>0</v>
      </c>
      <c r="Q194" s="4" t="s">
        <v>26</v>
      </c>
      <c r="R194" s="4">
        <v>0</v>
      </c>
      <c r="S194" s="4" t="s">
        <v>197</v>
      </c>
      <c r="T194" s="4" t="s">
        <v>358</v>
      </c>
      <c r="U194" s="4">
        <v>0</v>
      </c>
      <c r="V194" s="4">
        <v>45</v>
      </c>
      <c r="W194" s="4">
        <v>83</v>
      </c>
    </row>
    <row r="195" spans="1:23" ht="11.25" customHeight="1" x14ac:dyDescent="0.25">
      <c r="A195" s="4" t="s">
        <v>21</v>
      </c>
      <c r="B195" s="4" t="s">
        <v>32</v>
      </c>
      <c r="C195" s="4" t="s">
        <v>38</v>
      </c>
      <c r="D195" s="4" t="s">
        <v>40</v>
      </c>
      <c r="E195" s="4" t="s">
        <v>25</v>
      </c>
      <c r="F195" s="4" t="s">
        <v>25</v>
      </c>
      <c r="G195" s="4" t="s">
        <v>25</v>
      </c>
      <c r="H195" s="4" t="s">
        <v>37</v>
      </c>
      <c r="I195" s="5">
        <v>44440</v>
      </c>
      <c r="J195" s="6">
        <v>0</v>
      </c>
      <c r="K195" s="6">
        <v>0</v>
      </c>
      <c r="L195" s="6">
        <v>8.4309999999999992</v>
      </c>
      <c r="M195" s="6">
        <v>8.4309999999999992</v>
      </c>
      <c r="N195" s="6">
        <v>8.4309999999999992</v>
      </c>
      <c r="O195" s="6">
        <v>8.4309999999999992</v>
      </c>
      <c r="P195" s="6">
        <v>0</v>
      </c>
      <c r="Q195" s="4" t="s">
        <v>26</v>
      </c>
      <c r="R195" s="4">
        <v>0</v>
      </c>
      <c r="S195" s="4" t="s">
        <v>198</v>
      </c>
      <c r="T195" s="4" t="s">
        <v>359</v>
      </c>
      <c r="U195" s="4">
        <v>0</v>
      </c>
      <c r="V195" s="4">
        <v>45</v>
      </c>
      <c r="W195" s="4">
        <v>83</v>
      </c>
    </row>
    <row r="196" spans="1:23" ht="11.25" customHeight="1" x14ac:dyDescent="0.25">
      <c r="A196" s="4" t="s">
        <v>21</v>
      </c>
      <c r="B196" s="4" t="s">
        <v>32</v>
      </c>
      <c r="C196" s="4" t="s">
        <v>38</v>
      </c>
      <c r="D196" s="4" t="s">
        <v>40</v>
      </c>
      <c r="E196" s="4" t="s">
        <v>25</v>
      </c>
      <c r="F196" s="4" t="s">
        <v>25</v>
      </c>
      <c r="G196" s="4" t="s">
        <v>25</v>
      </c>
      <c r="H196" s="4" t="s">
        <v>37</v>
      </c>
      <c r="I196" s="5">
        <v>44470</v>
      </c>
      <c r="J196" s="6">
        <v>0</v>
      </c>
      <c r="K196" s="6">
        <v>0</v>
      </c>
      <c r="L196" s="6">
        <v>7.63</v>
      </c>
      <c r="M196" s="6">
        <v>7.63</v>
      </c>
      <c r="N196" s="6">
        <v>7.63</v>
      </c>
      <c r="O196" s="6">
        <v>7.63</v>
      </c>
      <c r="P196" s="6">
        <v>0</v>
      </c>
      <c r="Q196" s="4" t="s">
        <v>26</v>
      </c>
      <c r="R196" s="4">
        <v>0</v>
      </c>
      <c r="S196" s="4" t="s">
        <v>199</v>
      </c>
      <c r="T196" s="4" t="s">
        <v>360</v>
      </c>
      <c r="U196" s="4">
        <v>0</v>
      </c>
      <c r="V196" s="4">
        <v>45</v>
      </c>
      <c r="W196" s="4">
        <v>83</v>
      </c>
    </row>
    <row r="197" spans="1:23" ht="11.25" customHeight="1" x14ac:dyDescent="0.25">
      <c r="A197" s="4" t="s">
        <v>21</v>
      </c>
      <c r="B197" s="4" t="s">
        <v>32</v>
      </c>
      <c r="C197" s="4" t="s">
        <v>38</v>
      </c>
      <c r="D197" s="4" t="s">
        <v>40</v>
      </c>
      <c r="E197" s="4" t="s">
        <v>25</v>
      </c>
      <c r="F197" s="4" t="s">
        <v>25</v>
      </c>
      <c r="G197" s="4" t="s">
        <v>25</v>
      </c>
      <c r="H197" s="4" t="s">
        <v>37</v>
      </c>
      <c r="I197" s="5">
        <v>44501</v>
      </c>
      <c r="J197" s="6">
        <v>0</v>
      </c>
      <c r="K197" s="6">
        <v>0</v>
      </c>
      <c r="L197" s="6">
        <v>7.742</v>
      </c>
      <c r="M197" s="6">
        <v>7.742</v>
      </c>
      <c r="N197" s="6">
        <v>7.742</v>
      </c>
      <c r="O197" s="6">
        <v>7.742</v>
      </c>
      <c r="P197" s="6">
        <v>0</v>
      </c>
      <c r="Q197" s="4" t="s">
        <v>26</v>
      </c>
      <c r="R197" s="4">
        <v>0</v>
      </c>
      <c r="S197" s="4" t="s">
        <v>200</v>
      </c>
      <c r="T197" s="4" t="s">
        <v>361</v>
      </c>
      <c r="U197" s="4">
        <v>0</v>
      </c>
      <c r="V197" s="4">
        <v>45</v>
      </c>
      <c r="W197" s="4">
        <v>83</v>
      </c>
    </row>
    <row r="198" spans="1:23" ht="11.25" customHeight="1" x14ac:dyDescent="0.25">
      <c r="A198" s="4" t="s">
        <v>21</v>
      </c>
      <c r="B198" s="4" t="s">
        <v>32</v>
      </c>
      <c r="C198" s="4" t="s">
        <v>38</v>
      </c>
      <c r="D198" s="4" t="s">
        <v>40</v>
      </c>
      <c r="E198" s="4" t="s">
        <v>25</v>
      </c>
      <c r="F198" s="4" t="s">
        <v>25</v>
      </c>
      <c r="G198" s="4" t="s">
        <v>25</v>
      </c>
      <c r="H198" s="4" t="s">
        <v>37</v>
      </c>
      <c r="I198" s="5">
        <v>44531</v>
      </c>
      <c r="J198" s="6">
        <v>0</v>
      </c>
      <c r="K198" s="6">
        <v>0</v>
      </c>
      <c r="L198" s="6">
        <v>8.7270000000000003</v>
      </c>
      <c r="M198" s="6">
        <v>8.7270000000000003</v>
      </c>
      <c r="N198" s="6">
        <v>8.7270000000000003</v>
      </c>
      <c r="O198" s="6">
        <v>8.7270000000000003</v>
      </c>
      <c r="P198" s="6">
        <v>0</v>
      </c>
      <c r="Q198" s="4" t="s">
        <v>26</v>
      </c>
      <c r="R198" s="4">
        <v>0</v>
      </c>
      <c r="S198" s="4" t="s">
        <v>201</v>
      </c>
      <c r="T198" s="4" t="s">
        <v>362</v>
      </c>
      <c r="U198" s="4">
        <v>0</v>
      </c>
      <c r="V198" s="4">
        <v>45</v>
      </c>
      <c r="W198" s="4">
        <v>83</v>
      </c>
    </row>
    <row r="199" spans="1:23" ht="11.25" customHeight="1" x14ac:dyDescent="0.25">
      <c r="A199" s="4" t="s">
        <v>21</v>
      </c>
      <c r="B199" s="4" t="s">
        <v>32</v>
      </c>
      <c r="C199" s="4" t="s">
        <v>38</v>
      </c>
      <c r="D199" s="4" t="s">
        <v>40</v>
      </c>
      <c r="E199" s="4" t="s">
        <v>25</v>
      </c>
      <c r="F199" s="4" t="s">
        <v>25</v>
      </c>
      <c r="G199" s="4" t="s">
        <v>25</v>
      </c>
      <c r="H199" s="4" t="s">
        <v>37</v>
      </c>
      <c r="I199" s="5">
        <v>44562</v>
      </c>
      <c r="J199" s="6">
        <v>0</v>
      </c>
      <c r="K199" s="6">
        <v>0</v>
      </c>
      <c r="L199" s="6">
        <v>7.1580000000000004</v>
      </c>
      <c r="M199" s="6">
        <v>7.1580000000000004</v>
      </c>
      <c r="N199" s="6">
        <v>7.1580000000000004</v>
      </c>
      <c r="O199" s="6">
        <v>7.1580000000000004</v>
      </c>
      <c r="P199" s="6">
        <v>0</v>
      </c>
      <c r="Q199" s="4" t="s">
        <v>26</v>
      </c>
      <c r="R199" s="4">
        <v>0</v>
      </c>
      <c r="S199" s="4" t="s">
        <v>202</v>
      </c>
      <c r="T199" s="4" t="s">
        <v>363</v>
      </c>
      <c r="U199" s="4">
        <v>0</v>
      </c>
      <c r="V199" s="4">
        <v>45</v>
      </c>
      <c r="W199" s="4">
        <v>83</v>
      </c>
    </row>
    <row r="200" spans="1:23" ht="11.25" customHeight="1" x14ac:dyDescent="0.25">
      <c r="A200" s="4" t="s">
        <v>21</v>
      </c>
      <c r="B200" s="4" t="s">
        <v>32</v>
      </c>
      <c r="C200" s="4" t="s">
        <v>38</v>
      </c>
      <c r="D200" s="4" t="s">
        <v>40</v>
      </c>
      <c r="E200" s="4" t="s">
        <v>25</v>
      </c>
      <c r="F200" s="4" t="s">
        <v>25</v>
      </c>
      <c r="G200" s="4" t="s">
        <v>25</v>
      </c>
      <c r="H200" s="4" t="s">
        <v>37</v>
      </c>
      <c r="I200" s="5">
        <v>44593</v>
      </c>
      <c r="J200" s="6">
        <v>0</v>
      </c>
      <c r="K200" s="6">
        <v>0</v>
      </c>
      <c r="L200" s="6">
        <v>9.8309999999999995</v>
      </c>
      <c r="M200" s="6">
        <v>9.8309999999999995</v>
      </c>
      <c r="N200" s="6">
        <v>9.8309999999999995</v>
      </c>
      <c r="O200" s="6">
        <v>9.8309999999999995</v>
      </c>
      <c r="P200" s="6">
        <v>0</v>
      </c>
      <c r="Q200" s="4" t="s">
        <v>26</v>
      </c>
      <c r="R200" s="4">
        <v>0</v>
      </c>
      <c r="S200" s="4" t="s">
        <v>203</v>
      </c>
      <c r="T200" s="4" t="s">
        <v>364</v>
      </c>
      <c r="U200" s="4">
        <v>0</v>
      </c>
      <c r="V200" s="4">
        <v>45</v>
      </c>
      <c r="W200" s="4">
        <v>83</v>
      </c>
    </row>
    <row r="201" spans="1:23" ht="11.25" customHeight="1" x14ac:dyDescent="0.25">
      <c r="A201" s="4" t="s">
        <v>21</v>
      </c>
      <c r="B201" s="4" t="s">
        <v>32</v>
      </c>
      <c r="C201" s="4" t="s">
        <v>38</v>
      </c>
      <c r="D201" s="4" t="s">
        <v>40</v>
      </c>
      <c r="E201" s="4" t="s">
        <v>25</v>
      </c>
      <c r="F201" s="4" t="s">
        <v>25</v>
      </c>
      <c r="G201" s="4" t="s">
        <v>25</v>
      </c>
      <c r="H201" s="4" t="s">
        <v>37</v>
      </c>
      <c r="I201" s="5">
        <v>44621</v>
      </c>
      <c r="J201" s="6">
        <v>0</v>
      </c>
      <c r="K201" s="6">
        <v>0</v>
      </c>
      <c r="L201" s="6">
        <v>10.012</v>
      </c>
      <c r="M201" s="6">
        <v>10.012</v>
      </c>
      <c r="N201" s="6">
        <v>10.012</v>
      </c>
      <c r="O201" s="6">
        <v>10.012</v>
      </c>
      <c r="P201" s="6">
        <v>0</v>
      </c>
      <c r="Q201" s="4" t="s">
        <v>26</v>
      </c>
      <c r="R201" s="4">
        <v>0</v>
      </c>
      <c r="S201" s="4" t="s">
        <v>204</v>
      </c>
      <c r="T201" s="4" t="s">
        <v>365</v>
      </c>
      <c r="U201" s="4">
        <v>0</v>
      </c>
      <c r="V201" s="4">
        <v>45</v>
      </c>
      <c r="W201" s="4">
        <v>83</v>
      </c>
    </row>
    <row r="202" spans="1:23" ht="11.25" customHeight="1" x14ac:dyDescent="0.25">
      <c r="A202" s="4" t="s">
        <v>21</v>
      </c>
      <c r="B202" s="4" t="s">
        <v>32</v>
      </c>
      <c r="C202" s="4" t="s">
        <v>38</v>
      </c>
      <c r="D202" s="4" t="s">
        <v>40</v>
      </c>
      <c r="E202" s="4" t="s">
        <v>25</v>
      </c>
      <c r="F202" s="4" t="s">
        <v>25</v>
      </c>
      <c r="G202" s="4" t="s">
        <v>25</v>
      </c>
      <c r="H202" s="4" t="s">
        <v>37</v>
      </c>
      <c r="I202" s="5">
        <v>44652</v>
      </c>
      <c r="J202" s="6">
        <v>0</v>
      </c>
      <c r="K202" s="6">
        <v>0</v>
      </c>
      <c r="L202" s="6">
        <v>10.441000000000001</v>
      </c>
      <c r="M202" s="6">
        <v>10.441000000000001</v>
      </c>
      <c r="N202" s="6">
        <v>10.441000000000001</v>
      </c>
      <c r="O202" s="6">
        <v>10.441000000000001</v>
      </c>
      <c r="P202" s="6">
        <v>0</v>
      </c>
      <c r="Q202" s="4" t="s">
        <v>26</v>
      </c>
      <c r="R202" s="4">
        <v>0</v>
      </c>
      <c r="S202" s="4" t="s">
        <v>205</v>
      </c>
      <c r="T202" s="4" t="s">
        <v>366</v>
      </c>
      <c r="U202" s="4">
        <v>0</v>
      </c>
      <c r="V202" s="4">
        <v>45</v>
      </c>
      <c r="W202" s="4">
        <v>83</v>
      </c>
    </row>
    <row r="203" spans="1:23" ht="11.25" customHeight="1" x14ac:dyDescent="0.25">
      <c r="A203" s="4" t="s">
        <v>21</v>
      </c>
      <c r="B203" s="4" t="s">
        <v>32</v>
      </c>
      <c r="C203" s="4" t="s">
        <v>38</v>
      </c>
      <c r="D203" s="4" t="s">
        <v>40</v>
      </c>
      <c r="E203" s="4" t="s">
        <v>25</v>
      </c>
      <c r="F203" s="4" t="s">
        <v>25</v>
      </c>
      <c r="G203" s="4" t="s">
        <v>25</v>
      </c>
      <c r="H203" s="4" t="s">
        <v>37</v>
      </c>
      <c r="I203" s="5">
        <v>44682</v>
      </c>
      <c r="J203" s="6">
        <v>0</v>
      </c>
      <c r="K203" s="6">
        <v>0</v>
      </c>
      <c r="L203" s="6">
        <v>7.8769999999999998</v>
      </c>
      <c r="M203" s="6">
        <v>7.8769999999999998</v>
      </c>
      <c r="N203" s="6">
        <v>7.8769999999999998</v>
      </c>
      <c r="O203" s="6">
        <v>7.8769999999999998</v>
      </c>
      <c r="P203" s="6">
        <v>0</v>
      </c>
      <c r="Q203" s="4" t="s">
        <v>26</v>
      </c>
      <c r="R203" s="4">
        <v>0</v>
      </c>
      <c r="S203" s="4" t="s">
        <v>206</v>
      </c>
      <c r="T203" s="4" t="s">
        <v>367</v>
      </c>
      <c r="U203" s="4">
        <v>0</v>
      </c>
      <c r="V203" s="4">
        <v>45</v>
      </c>
      <c r="W203" s="4">
        <v>83</v>
      </c>
    </row>
    <row r="204" spans="1:23" ht="11.25" customHeight="1" x14ac:dyDescent="0.25">
      <c r="A204" s="4" t="s">
        <v>21</v>
      </c>
      <c r="B204" s="4" t="s">
        <v>32</v>
      </c>
      <c r="C204" s="4" t="s">
        <v>38</v>
      </c>
      <c r="D204" s="4" t="s">
        <v>40</v>
      </c>
      <c r="E204" s="4" t="s">
        <v>25</v>
      </c>
      <c r="F204" s="4" t="s">
        <v>25</v>
      </c>
      <c r="G204" s="4" t="s">
        <v>25</v>
      </c>
      <c r="H204" s="4" t="s">
        <v>37</v>
      </c>
      <c r="I204" s="5">
        <v>44713</v>
      </c>
      <c r="J204" s="6">
        <v>0</v>
      </c>
      <c r="K204" s="6">
        <v>0</v>
      </c>
      <c r="L204" s="6">
        <v>7.9480000000000004</v>
      </c>
      <c r="M204" s="6">
        <v>7.9480000000000004</v>
      </c>
      <c r="N204" s="6">
        <v>7.9480000000000004</v>
      </c>
      <c r="O204" s="6">
        <v>7.9480000000000004</v>
      </c>
      <c r="P204" s="6">
        <v>0</v>
      </c>
      <c r="Q204" s="4" t="s">
        <v>26</v>
      </c>
      <c r="R204" s="4">
        <v>0</v>
      </c>
      <c r="S204" s="4" t="s">
        <v>207</v>
      </c>
      <c r="T204" s="4" t="s">
        <v>368</v>
      </c>
      <c r="U204" s="4">
        <v>0</v>
      </c>
      <c r="V204" s="4">
        <v>45</v>
      </c>
      <c r="W204" s="4">
        <v>83</v>
      </c>
    </row>
    <row r="205" spans="1:23" ht="11.25" customHeight="1" x14ac:dyDescent="0.25">
      <c r="A205" s="4" t="s">
        <v>21</v>
      </c>
      <c r="B205" s="4" t="s">
        <v>32</v>
      </c>
      <c r="C205" s="4" t="s">
        <v>38</v>
      </c>
      <c r="D205" s="4" t="s">
        <v>40</v>
      </c>
      <c r="E205" s="4" t="s">
        <v>25</v>
      </c>
      <c r="F205" s="4" t="s">
        <v>25</v>
      </c>
      <c r="G205" s="4" t="s">
        <v>25</v>
      </c>
      <c r="H205" s="4" t="s">
        <v>37</v>
      </c>
      <c r="I205" s="5">
        <v>44743</v>
      </c>
      <c r="J205" s="6">
        <v>0</v>
      </c>
      <c r="K205" s="6">
        <v>0</v>
      </c>
      <c r="L205" s="6">
        <v>7.3920000000000003</v>
      </c>
      <c r="M205" s="6">
        <v>7.3920000000000003</v>
      </c>
      <c r="N205" s="6">
        <v>7.3920000000000003</v>
      </c>
      <c r="O205" s="6">
        <v>7.3920000000000003</v>
      </c>
      <c r="P205" s="6">
        <v>0</v>
      </c>
      <c r="Q205" s="4" t="s">
        <v>26</v>
      </c>
      <c r="R205" s="4">
        <v>0</v>
      </c>
      <c r="S205" s="4" t="s">
        <v>208</v>
      </c>
      <c r="T205" s="4" t="s">
        <v>369</v>
      </c>
      <c r="U205" s="4">
        <v>0</v>
      </c>
      <c r="V205" s="4">
        <v>45</v>
      </c>
      <c r="W205" s="4">
        <v>83</v>
      </c>
    </row>
    <row r="206" spans="1:23" ht="11.25" customHeight="1" x14ac:dyDescent="0.25">
      <c r="A206" s="4" t="s">
        <v>21</v>
      </c>
      <c r="B206" s="4" t="s">
        <v>32</v>
      </c>
      <c r="C206" s="4" t="s">
        <v>38</v>
      </c>
      <c r="D206" s="4" t="s">
        <v>40</v>
      </c>
      <c r="E206" s="4" t="s">
        <v>25</v>
      </c>
      <c r="F206" s="4" t="s">
        <v>25</v>
      </c>
      <c r="G206" s="4" t="s">
        <v>25</v>
      </c>
      <c r="H206" s="4" t="s">
        <v>39</v>
      </c>
      <c r="I206" s="5">
        <v>44409</v>
      </c>
      <c r="J206" s="6">
        <v>0</v>
      </c>
      <c r="K206" s="6">
        <v>0</v>
      </c>
      <c r="L206" s="6">
        <v>0.38200000000000001</v>
      </c>
      <c r="M206" s="6">
        <v>0.38200000000000001</v>
      </c>
      <c r="N206" s="6">
        <v>0.38200000000000001</v>
      </c>
      <c r="O206" s="6">
        <v>0.38200000000000001</v>
      </c>
      <c r="P206" s="6">
        <v>0</v>
      </c>
      <c r="Q206" s="4" t="s">
        <v>26</v>
      </c>
      <c r="R206" s="4">
        <v>0</v>
      </c>
      <c r="S206" s="4" t="s">
        <v>209</v>
      </c>
      <c r="T206" s="4" t="s">
        <v>370</v>
      </c>
      <c r="U206" s="4">
        <v>0</v>
      </c>
      <c r="V206" s="4">
        <v>44</v>
      </c>
      <c r="W206" s="4">
        <v>82</v>
      </c>
    </row>
    <row r="207" spans="1:23" ht="11.25" customHeight="1" x14ac:dyDescent="0.25">
      <c r="A207" s="4" t="s">
        <v>21</v>
      </c>
      <c r="B207" s="4" t="s">
        <v>32</v>
      </c>
      <c r="C207" s="4" t="s">
        <v>38</v>
      </c>
      <c r="D207" s="4" t="s">
        <v>40</v>
      </c>
      <c r="E207" s="4" t="s">
        <v>25</v>
      </c>
      <c r="F207" s="4" t="s">
        <v>25</v>
      </c>
      <c r="G207" s="4" t="s">
        <v>25</v>
      </c>
      <c r="H207" s="4" t="s">
        <v>39</v>
      </c>
      <c r="I207" s="5">
        <v>44440</v>
      </c>
      <c r="J207" s="6">
        <v>0</v>
      </c>
      <c r="K207" s="6">
        <v>0</v>
      </c>
      <c r="L207" s="6">
        <v>0.318</v>
      </c>
      <c r="M207" s="6">
        <v>0.318</v>
      </c>
      <c r="N207" s="6">
        <v>0.318</v>
      </c>
      <c r="O207" s="6">
        <v>0.318</v>
      </c>
      <c r="P207" s="6">
        <v>0</v>
      </c>
      <c r="Q207" s="4" t="s">
        <v>26</v>
      </c>
      <c r="R207" s="4">
        <v>0</v>
      </c>
      <c r="S207" s="4" t="s">
        <v>210</v>
      </c>
      <c r="T207" s="4" t="s">
        <v>371</v>
      </c>
      <c r="U207" s="4">
        <v>0</v>
      </c>
      <c r="V207" s="4">
        <v>44</v>
      </c>
      <c r="W207" s="4">
        <v>82</v>
      </c>
    </row>
    <row r="208" spans="1:23" ht="11.25" customHeight="1" x14ac:dyDescent="0.25">
      <c r="A208" s="4" t="s">
        <v>21</v>
      </c>
      <c r="B208" s="4" t="s">
        <v>32</v>
      </c>
      <c r="C208" s="4" t="s">
        <v>38</v>
      </c>
      <c r="D208" s="4" t="s">
        <v>40</v>
      </c>
      <c r="E208" s="4" t="s">
        <v>25</v>
      </c>
      <c r="F208" s="4" t="s">
        <v>25</v>
      </c>
      <c r="G208" s="4" t="s">
        <v>25</v>
      </c>
      <c r="H208" s="4" t="s">
        <v>39</v>
      </c>
      <c r="I208" s="5">
        <v>44470</v>
      </c>
      <c r="J208" s="6">
        <v>0</v>
      </c>
      <c r="K208" s="6">
        <v>0</v>
      </c>
      <c r="L208" s="6">
        <v>0.28100000000000003</v>
      </c>
      <c r="M208" s="6">
        <v>0.28100000000000003</v>
      </c>
      <c r="N208" s="6">
        <v>0.28100000000000003</v>
      </c>
      <c r="O208" s="6">
        <v>0.28100000000000003</v>
      </c>
      <c r="P208" s="6">
        <v>0</v>
      </c>
      <c r="Q208" s="4" t="s">
        <v>26</v>
      </c>
      <c r="R208" s="4">
        <v>0</v>
      </c>
      <c r="S208" s="4" t="s">
        <v>211</v>
      </c>
      <c r="T208" s="4" t="s">
        <v>372</v>
      </c>
      <c r="U208" s="4">
        <v>0</v>
      </c>
      <c r="V208" s="4">
        <v>44</v>
      </c>
      <c r="W208" s="4">
        <v>82</v>
      </c>
    </row>
    <row r="209" spans="1:23" ht="11.25" customHeight="1" x14ac:dyDescent="0.25">
      <c r="A209" s="4" t="s">
        <v>21</v>
      </c>
      <c r="B209" s="4" t="s">
        <v>32</v>
      </c>
      <c r="C209" s="4" t="s">
        <v>38</v>
      </c>
      <c r="D209" s="4" t="s">
        <v>40</v>
      </c>
      <c r="E209" s="4" t="s">
        <v>25</v>
      </c>
      <c r="F209" s="4" t="s">
        <v>25</v>
      </c>
      <c r="G209" s="4" t="s">
        <v>25</v>
      </c>
      <c r="H209" s="4" t="s">
        <v>39</v>
      </c>
      <c r="I209" s="5">
        <v>44501</v>
      </c>
      <c r="J209" s="6">
        <v>0</v>
      </c>
      <c r="K209" s="6">
        <v>0</v>
      </c>
      <c r="L209" s="6">
        <v>0.29799999999999999</v>
      </c>
      <c r="M209" s="6">
        <v>0.29799999999999999</v>
      </c>
      <c r="N209" s="6">
        <v>0.29799999999999999</v>
      </c>
      <c r="O209" s="6">
        <v>0.29799999999999999</v>
      </c>
      <c r="P209" s="6">
        <v>0</v>
      </c>
      <c r="Q209" s="4" t="s">
        <v>26</v>
      </c>
      <c r="R209" s="4">
        <v>0</v>
      </c>
      <c r="S209" s="4" t="s">
        <v>212</v>
      </c>
      <c r="T209" s="4" t="s">
        <v>373</v>
      </c>
      <c r="U209" s="4">
        <v>0</v>
      </c>
      <c r="V209" s="4">
        <v>44</v>
      </c>
      <c r="W209" s="4">
        <v>82</v>
      </c>
    </row>
    <row r="210" spans="1:23" ht="11.25" customHeight="1" x14ac:dyDescent="0.25">
      <c r="A210" s="4" t="s">
        <v>21</v>
      </c>
      <c r="B210" s="4" t="s">
        <v>32</v>
      </c>
      <c r="C210" s="4" t="s">
        <v>38</v>
      </c>
      <c r="D210" s="4" t="s">
        <v>40</v>
      </c>
      <c r="E210" s="4" t="s">
        <v>25</v>
      </c>
      <c r="F210" s="4" t="s">
        <v>25</v>
      </c>
      <c r="G210" s="4" t="s">
        <v>25</v>
      </c>
      <c r="H210" s="4" t="s">
        <v>39</v>
      </c>
      <c r="I210" s="5">
        <v>44531</v>
      </c>
      <c r="J210" s="6">
        <v>0</v>
      </c>
      <c r="K210" s="6">
        <v>0</v>
      </c>
      <c r="L210" s="6">
        <v>0.375</v>
      </c>
      <c r="M210" s="6">
        <v>0.375</v>
      </c>
      <c r="N210" s="6">
        <v>0.375</v>
      </c>
      <c r="O210" s="6">
        <v>0.375</v>
      </c>
      <c r="P210" s="6">
        <v>0</v>
      </c>
      <c r="Q210" s="4" t="s">
        <v>26</v>
      </c>
      <c r="R210" s="4">
        <v>0</v>
      </c>
      <c r="S210" s="4" t="s">
        <v>213</v>
      </c>
      <c r="T210" s="4" t="s">
        <v>374</v>
      </c>
      <c r="U210" s="4">
        <v>0</v>
      </c>
      <c r="V210" s="4">
        <v>44</v>
      </c>
      <c r="W210" s="4">
        <v>82</v>
      </c>
    </row>
    <row r="211" spans="1:23" ht="11.25" customHeight="1" x14ac:dyDescent="0.25">
      <c r="A211" s="4" t="s">
        <v>21</v>
      </c>
      <c r="B211" s="4" t="s">
        <v>32</v>
      </c>
      <c r="C211" s="4" t="s">
        <v>38</v>
      </c>
      <c r="D211" s="4" t="s">
        <v>40</v>
      </c>
      <c r="E211" s="4" t="s">
        <v>25</v>
      </c>
      <c r="F211" s="4" t="s">
        <v>25</v>
      </c>
      <c r="G211" s="4" t="s">
        <v>25</v>
      </c>
      <c r="H211" s="4" t="s">
        <v>39</v>
      </c>
      <c r="I211" s="5">
        <v>44562</v>
      </c>
      <c r="J211" s="6">
        <v>0</v>
      </c>
      <c r="K211" s="6">
        <v>0</v>
      </c>
      <c r="L211" s="6">
        <v>0.34100000000000003</v>
      </c>
      <c r="M211" s="6">
        <v>0.34100000000000003</v>
      </c>
      <c r="N211" s="6">
        <v>0.34100000000000003</v>
      </c>
      <c r="O211" s="6">
        <v>0.34100000000000003</v>
      </c>
      <c r="P211" s="6">
        <v>0</v>
      </c>
      <c r="Q211" s="4" t="s">
        <v>26</v>
      </c>
      <c r="R211" s="4">
        <v>0</v>
      </c>
      <c r="S211" s="4" t="s">
        <v>214</v>
      </c>
      <c r="T211" s="4" t="s">
        <v>375</v>
      </c>
      <c r="U211" s="4">
        <v>0</v>
      </c>
      <c r="V211" s="4">
        <v>44</v>
      </c>
      <c r="W211" s="4">
        <v>82</v>
      </c>
    </row>
    <row r="212" spans="1:23" ht="11.25" customHeight="1" x14ac:dyDescent="0.25">
      <c r="A212" s="4" t="s">
        <v>21</v>
      </c>
      <c r="B212" s="4" t="s">
        <v>32</v>
      </c>
      <c r="C212" s="4" t="s">
        <v>38</v>
      </c>
      <c r="D212" s="4" t="s">
        <v>40</v>
      </c>
      <c r="E212" s="4" t="s">
        <v>25</v>
      </c>
      <c r="F212" s="4" t="s">
        <v>25</v>
      </c>
      <c r="G212" s="4" t="s">
        <v>25</v>
      </c>
      <c r="H212" s="4" t="s">
        <v>39</v>
      </c>
      <c r="I212" s="5">
        <v>44593</v>
      </c>
      <c r="J212" s="6">
        <v>0</v>
      </c>
      <c r="K212" s="6">
        <v>0</v>
      </c>
      <c r="L212" s="6">
        <v>0.36</v>
      </c>
      <c r="M212" s="6">
        <v>0.36</v>
      </c>
      <c r="N212" s="6">
        <v>0.36</v>
      </c>
      <c r="O212" s="6">
        <v>0.36</v>
      </c>
      <c r="P212" s="6">
        <v>0</v>
      </c>
      <c r="Q212" s="4" t="s">
        <v>26</v>
      </c>
      <c r="R212" s="4">
        <v>0</v>
      </c>
      <c r="S212" s="4" t="s">
        <v>215</v>
      </c>
      <c r="T212" s="4" t="s">
        <v>376</v>
      </c>
      <c r="U212" s="4">
        <v>0</v>
      </c>
      <c r="V212" s="4">
        <v>44</v>
      </c>
      <c r="W212" s="4">
        <v>82</v>
      </c>
    </row>
    <row r="213" spans="1:23" ht="11.25" customHeight="1" x14ac:dyDescent="0.25">
      <c r="A213" s="4" t="s">
        <v>21</v>
      </c>
      <c r="B213" s="4" t="s">
        <v>32</v>
      </c>
      <c r="C213" s="4" t="s">
        <v>38</v>
      </c>
      <c r="D213" s="4" t="s">
        <v>40</v>
      </c>
      <c r="E213" s="4" t="s">
        <v>25</v>
      </c>
      <c r="F213" s="4" t="s">
        <v>25</v>
      </c>
      <c r="G213" s="4" t="s">
        <v>25</v>
      </c>
      <c r="H213" s="4" t="s">
        <v>39</v>
      </c>
      <c r="I213" s="5">
        <v>44621</v>
      </c>
      <c r="J213" s="6">
        <v>0</v>
      </c>
      <c r="K213" s="6">
        <v>0</v>
      </c>
      <c r="L213" s="6">
        <v>0.32100000000000001</v>
      </c>
      <c r="M213" s="6">
        <v>0.32100000000000001</v>
      </c>
      <c r="N213" s="6">
        <v>0.32100000000000001</v>
      </c>
      <c r="O213" s="6">
        <v>0.32100000000000001</v>
      </c>
      <c r="P213" s="6">
        <v>0</v>
      </c>
      <c r="Q213" s="4" t="s">
        <v>26</v>
      </c>
      <c r="R213" s="4">
        <v>0</v>
      </c>
      <c r="S213" s="4" t="s">
        <v>216</v>
      </c>
      <c r="T213" s="4" t="s">
        <v>377</v>
      </c>
      <c r="U213" s="4">
        <v>0</v>
      </c>
      <c r="V213" s="4">
        <v>44</v>
      </c>
      <c r="W213" s="4">
        <v>82</v>
      </c>
    </row>
    <row r="214" spans="1:23" ht="11.25" customHeight="1" x14ac:dyDescent="0.25">
      <c r="A214" s="4" t="s">
        <v>21</v>
      </c>
      <c r="B214" s="4" t="s">
        <v>32</v>
      </c>
      <c r="C214" s="4" t="s">
        <v>38</v>
      </c>
      <c r="D214" s="4" t="s">
        <v>40</v>
      </c>
      <c r="E214" s="4" t="s">
        <v>25</v>
      </c>
      <c r="F214" s="4" t="s">
        <v>25</v>
      </c>
      <c r="G214" s="4" t="s">
        <v>25</v>
      </c>
      <c r="H214" s="4" t="s">
        <v>39</v>
      </c>
      <c r="I214" s="5">
        <v>44652</v>
      </c>
      <c r="J214" s="6">
        <v>0</v>
      </c>
      <c r="K214" s="6">
        <v>0</v>
      </c>
      <c r="L214" s="6">
        <v>0.26300000000000001</v>
      </c>
      <c r="M214" s="6">
        <v>0.26300000000000001</v>
      </c>
      <c r="N214" s="6">
        <v>0.26300000000000001</v>
      </c>
      <c r="O214" s="6">
        <v>0.26300000000000001</v>
      </c>
      <c r="P214" s="6">
        <v>0</v>
      </c>
      <c r="Q214" s="4" t="s">
        <v>26</v>
      </c>
      <c r="R214" s="4">
        <v>0</v>
      </c>
      <c r="S214" s="4" t="s">
        <v>217</v>
      </c>
      <c r="T214" s="4" t="s">
        <v>378</v>
      </c>
      <c r="U214" s="4">
        <v>0</v>
      </c>
      <c r="V214" s="4">
        <v>44</v>
      </c>
      <c r="W214" s="4">
        <v>82</v>
      </c>
    </row>
    <row r="215" spans="1:23" ht="11.25" customHeight="1" x14ac:dyDescent="0.25">
      <c r="A215" s="4" t="s">
        <v>21</v>
      </c>
      <c r="B215" s="4" t="s">
        <v>32</v>
      </c>
      <c r="C215" s="4" t="s">
        <v>38</v>
      </c>
      <c r="D215" s="4" t="s">
        <v>40</v>
      </c>
      <c r="E215" s="4" t="s">
        <v>25</v>
      </c>
      <c r="F215" s="4" t="s">
        <v>25</v>
      </c>
      <c r="G215" s="4" t="s">
        <v>25</v>
      </c>
      <c r="H215" s="4" t="s">
        <v>39</v>
      </c>
      <c r="I215" s="5">
        <v>44682</v>
      </c>
      <c r="J215" s="6">
        <v>0</v>
      </c>
      <c r="K215" s="6">
        <v>0</v>
      </c>
      <c r="L215" s="6">
        <v>0.19600000000000001</v>
      </c>
      <c r="M215" s="6">
        <v>0.19600000000000001</v>
      </c>
      <c r="N215" s="6">
        <v>0.19600000000000001</v>
      </c>
      <c r="O215" s="6">
        <v>0.19600000000000001</v>
      </c>
      <c r="P215" s="6">
        <v>0</v>
      </c>
      <c r="Q215" s="4" t="s">
        <v>26</v>
      </c>
      <c r="R215" s="4">
        <v>0</v>
      </c>
      <c r="S215" s="4" t="s">
        <v>218</v>
      </c>
      <c r="T215" s="4" t="s">
        <v>379</v>
      </c>
      <c r="U215" s="4">
        <v>0</v>
      </c>
      <c r="V215" s="4">
        <v>44</v>
      </c>
      <c r="W215" s="4">
        <v>82</v>
      </c>
    </row>
    <row r="216" spans="1:23" ht="11.25" customHeight="1" x14ac:dyDescent="0.25">
      <c r="A216" s="4" t="s">
        <v>21</v>
      </c>
      <c r="B216" s="4" t="s">
        <v>32</v>
      </c>
      <c r="C216" s="4" t="s">
        <v>38</v>
      </c>
      <c r="D216" s="4" t="s">
        <v>40</v>
      </c>
      <c r="E216" s="4" t="s">
        <v>25</v>
      </c>
      <c r="F216" s="4" t="s">
        <v>25</v>
      </c>
      <c r="G216" s="4" t="s">
        <v>25</v>
      </c>
      <c r="H216" s="4" t="s">
        <v>39</v>
      </c>
      <c r="I216" s="5">
        <v>44713</v>
      </c>
      <c r="J216" s="6">
        <v>0</v>
      </c>
      <c r="K216" s="6">
        <v>0</v>
      </c>
      <c r="L216" s="6">
        <v>0.17599999999999999</v>
      </c>
      <c r="M216" s="6">
        <v>0.17599999999999999</v>
      </c>
      <c r="N216" s="6">
        <v>0.17599999999999999</v>
      </c>
      <c r="O216" s="6">
        <v>0.17599999999999999</v>
      </c>
      <c r="P216" s="6">
        <v>0</v>
      </c>
      <c r="Q216" s="4" t="s">
        <v>26</v>
      </c>
      <c r="R216" s="4">
        <v>0</v>
      </c>
      <c r="S216" s="4" t="s">
        <v>219</v>
      </c>
      <c r="T216" s="4" t="s">
        <v>380</v>
      </c>
      <c r="U216" s="4">
        <v>0</v>
      </c>
      <c r="V216" s="4">
        <v>44</v>
      </c>
      <c r="W216" s="4">
        <v>82</v>
      </c>
    </row>
    <row r="217" spans="1:23" ht="11.25" customHeight="1" x14ac:dyDescent="0.25">
      <c r="A217" s="4" t="s">
        <v>21</v>
      </c>
      <c r="B217" s="4" t="s">
        <v>32</v>
      </c>
      <c r="C217" s="4" t="s">
        <v>38</v>
      </c>
      <c r="D217" s="4" t="s">
        <v>40</v>
      </c>
      <c r="E217" s="4" t="s">
        <v>25</v>
      </c>
      <c r="F217" s="4" t="s">
        <v>25</v>
      </c>
      <c r="G217" s="4" t="s">
        <v>25</v>
      </c>
      <c r="H217" s="4" t="s">
        <v>39</v>
      </c>
      <c r="I217" s="5">
        <v>44743</v>
      </c>
      <c r="J217" s="6">
        <v>0</v>
      </c>
      <c r="K217" s="6">
        <v>0</v>
      </c>
      <c r="L217" s="6">
        <v>0.183</v>
      </c>
      <c r="M217" s="6">
        <v>0.183</v>
      </c>
      <c r="N217" s="6">
        <v>0.183</v>
      </c>
      <c r="O217" s="6">
        <v>0.183</v>
      </c>
      <c r="P217" s="6">
        <v>0</v>
      </c>
      <c r="Q217" s="4" t="s">
        <v>26</v>
      </c>
      <c r="R217" s="4">
        <v>0</v>
      </c>
      <c r="S217" s="4" t="s">
        <v>220</v>
      </c>
      <c r="T217" s="4" t="s">
        <v>381</v>
      </c>
      <c r="U217" s="4">
        <v>0</v>
      </c>
      <c r="V217" s="4">
        <v>44</v>
      </c>
      <c r="W217" s="4">
        <v>82</v>
      </c>
    </row>
    <row r="218" spans="1:23" ht="11.25" customHeight="1" x14ac:dyDescent="0.25">
      <c r="A218" s="4" t="s">
        <v>21</v>
      </c>
      <c r="B218" s="4" t="s">
        <v>32</v>
      </c>
      <c r="C218" s="4" t="s">
        <v>38</v>
      </c>
      <c r="D218" s="4" t="s">
        <v>40</v>
      </c>
      <c r="E218" s="4" t="s">
        <v>25</v>
      </c>
      <c r="F218" s="4" t="s">
        <v>25</v>
      </c>
      <c r="G218" s="4" t="s">
        <v>25</v>
      </c>
      <c r="H218" s="4" t="s">
        <v>36</v>
      </c>
      <c r="I218" s="5">
        <v>44409</v>
      </c>
      <c r="J218" s="6">
        <v>0</v>
      </c>
      <c r="K218" s="6">
        <v>0</v>
      </c>
      <c r="L218" s="6">
        <v>0.73499999999999999</v>
      </c>
      <c r="M218" s="6">
        <v>0.73499999999999999</v>
      </c>
      <c r="N218" s="6">
        <v>0.73499999999999999</v>
      </c>
      <c r="O218" s="6">
        <v>0.73499999999999999</v>
      </c>
      <c r="P218" s="6">
        <v>0</v>
      </c>
      <c r="Q218" s="4" t="s">
        <v>26</v>
      </c>
      <c r="R218" s="4">
        <v>0</v>
      </c>
      <c r="S218" s="4" t="s">
        <v>221</v>
      </c>
      <c r="T218" s="4" t="s">
        <v>382</v>
      </c>
      <c r="U218" s="4">
        <v>0</v>
      </c>
      <c r="V218" s="4">
        <v>43</v>
      </c>
      <c r="W218" s="4">
        <v>81</v>
      </c>
    </row>
    <row r="219" spans="1:23" ht="11.25" customHeight="1" x14ac:dyDescent="0.25">
      <c r="A219" s="4" t="s">
        <v>21</v>
      </c>
      <c r="B219" s="4" t="s">
        <v>32</v>
      </c>
      <c r="C219" s="4" t="s">
        <v>38</v>
      </c>
      <c r="D219" s="4" t="s">
        <v>40</v>
      </c>
      <c r="E219" s="4" t="s">
        <v>25</v>
      </c>
      <c r="F219" s="4" t="s">
        <v>25</v>
      </c>
      <c r="G219" s="4" t="s">
        <v>25</v>
      </c>
      <c r="H219" s="4" t="s">
        <v>36</v>
      </c>
      <c r="I219" s="5">
        <v>44440</v>
      </c>
      <c r="J219" s="6">
        <v>0</v>
      </c>
      <c r="K219" s="6">
        <v>0</v>
      </c>
      <c r="L219" s="6">
        <v>0.53100000000000003</v>
      </c>
      <c r="M219" s="6">
        <v>0.53100000000000003</v>
      </c>
      <c r="N219" s="6">
        <v>0.53100000000000003</v>
      </c>
      <c r="O219" s="6">
        <v>0.53100000000000003</v>
      </c>
      <c r="P219" s="6">
        <v>0</v>
      </c>
      <c r="Q219" s="4" t="s">
        <v>26</v>
      </c>
      <c r="R219" s="4">
        <v>0</v>
      </c>
      <c r="S219" s="4" t="s">
        <v>222</v>
      </c>
      <c r="T219" s="4" t="s">
        <v>383</v>
      </c>
      <c r="U219" s="4">
        <v>0</v>
      </c>
      <c r="V219" s="4">
        <v>43</v>
      </c>
      <c r="W219" s="4">
        <v>81</v>
      </c>
    </row>
    <row r="220" spans="1:23" ht="11.25" customHeight="1" x14ac:dyDescent="0.25">
      <c r="A220" s="4" t="s">
        <v>21</v>
      </c>
      <c r="B220" s="4" t="s">
        <v>32</v>
      </c>
      <c r="C220" s="4" t="s">
        <v>38</v>
      </c>
      <c r="D220" s="4" t="s">
        <v>40</v>
      </c>
      <c r="E220" s="4" t="s">
        <v>25</v>
      </c>
      <c r="F220" s="4" t="s">
        <v>25</v>
      </c>
      <c r="G220" s="4" t="s">
        <v>25</v>
      </c>
      <c r="H220" s="4" t="s">
        <v>36</v>
      </c>
      <c r="I220" s="5">
        <v>44470</v>
      </c>
      <c r="J220" s="6">
        <v>0</v>
      </c>
      <c r="K220" s="6">
        <v>0</v>
      </c>
      <c r="L220" s="6">
        <v>0.46300000000000002</v>
      </c>
      <c r="M220" s="6">
        <v>0.46300000000000002</v>
      </c>
      <c r="N220" s="6">
        <v>0.46300000000000002</v>
      </c>
      <c r="O220" s="6">
        <v>0.46300000000000002</v>
      </c>
      <c r="P220" s="6">
        <v>0</v>
      </c>
      <c r="Q220" s="4" t="s">
        <v>26</v>
      </c>
      <c r="R220" s="4">
        <v>0</v>
      </c>
      <c r="S220" s="4" t="s">
        <v>223</v>
      </c>
      <c r="T220" s="4" t="s">
        <v>384</v>
      </c>
      <c r="U220" s="4">
        <v>0</v>
      </c>
      <c r="V220" s="4">
        <v>43</v>
      </c>
      <c r="W220" s="4">
        <v>81</v>
      </c>
    </row>
    <row r="221" spans="1:23" ht="11.25" customHeight="1" x14ac:dyDescent="0.25">
      <c r="A221" s="4" t="s">
        <v>21</v>
      </c>
      <c r="B221" s="4" t="s">
        <v>32</v>
      </c>
      <c r="C221" s="4" t="s">
        <v>38</v>
      </c>
      <c r="D221" s="4" t="s">
        <v>40</v>
      </c>
      <c r="E221" s="4" t="s">
        <v>25</v>
      </c>
      <c r="F221" s="4" t="s">
        <v>25</v>
      </c>
      <c r="G221" s="4" t="s">
        <v>25</v>
      </c>
      <c r="H221" s="4" t="s">
        <v>36</v>
      </c>
      <c r="I221" s="5">
        <v>44501</v>
      </c>
      <c r="J221" s="6">
        <v>0</v>
      </c>
      <c r="K221" s="6">
        <v>0</v>
      </c>
      <c r="L221" s="6">
        <v>0.51600000000000001</v>
      </c>
      <c r="M221" s="6">
        <v>0.51600000000000001</v>
      </c>
      <c r="N221" s="6">
        <v>0.51600000000000001</v>
      </c>
      <c r="O221" s="6">
        <v>0.51600000000000001</v>
      </c>
      <c r="P221" s="6">
        <v>0</v>
      </c>
      <c r="Q221" s="4" t="s">
        <v>26</v>
      </c>
      <c r="R221" s="4">
        <v>0</v>
      </c>
      <c r="S221" s="4" t="s">
        <v>224</v>
      </c>
      <c r="T221" s="4" t="s">
        <v>385</v>
      </c>
      <c r="U221" s="4">
        <v>0</v>
      </c>
      <c r="V221" s="4">
        <v>43</v>
      </c>
      <c r="W221" s="4">
        <v>81</v>
      </c>
    </row>
    <row r="222" spans="1:23" ht="11.25" customHeight="1" x14ac:dyDescent="0.25">
      <c r="A222" s="4" t="s">
        <v>21</v>
      </c>
      <c r="B222" s="4" t="s">
        <v>32</v>
      </c>
      <c r="C222" s="4" t="s">
        <v>38</v>
      </c>
      <c r="D222" s="4" t="s">
        <v>40</v>
      </c>
      <c r="E222" s="4" t="s">
        <v>25</v>
      </c>
      <c r="F222" s="4" t="s">
        <v>25</v>
      </c>
      <c r="G222" s="4" t="s">
        <v>25</v>
      </c>
      <c r="H222" s="4" t="s">
        <v>36</v>
      </c>
      <c r="I222" s="5">
        <v>44531</v>
      </c>
      <c r="J222" s="6">
        <v>0</v>
      </c>
      <c r="K222" s="6">
        <v>0</v>
      </c>
      <c r="L222" s="6">
        <v>0.61199999999999999</v>
      </c>
      <c r="M222" s="6">
        <v>0.61199999999999999</v>
      </c>
      <c r="N222" s="6">
        <v>0.61199999999999999</v>
      </c>
      <c r="O222" s="6">
        <v>0.61199999999999999</v>
      </c>
      <c r="P222" s="6">
        <v>0</v>
      </c>
      <c r="Q222" s="4" t="s">
        <v>26</v>
      </c>
      <c r="R222" s="4">
        <v>0</v>
      </c>
      <c r="S222" s="4" t="s">
        <v>225</v>
      </c>
      <c r="T222" s="4" t="s">
        <v>386</v>
      </c>
      <c r="U222" s="4">
        <v>0</v>
      </c>
      <c r="V222" s="4">
        <v>43</v>
      </c>
      <c r="W222" s="4">
        <v>81</v>
      </c>
    </row>
    <row r="223" spans="1:23" ht="11.25" customHeight="1" x14ac:dyDescent="0.25">
      <c r="A223" s="4" t="s">
        <v>21</v>
      </c>
      <c r="B223" s="4" t="s">
        <v>32</v>
      </c>
      <c r="C223" s="4" t="s">
        <v>38</v>
      </c>
      <c r="D223" s="4" t="s">
        <v>40</v>
      </c>
      <c r="E223" s="4" t="s">
        <v>25</v>
      </c>
      <c r="F223" s="4" t="s">
        <v>25</v>
      </c>
      <c r="G223" s="4" t="s">
        <v>25</v>
      </c>
      <c r="H223" s="4" t="s">
        <v>36</v>
      </c>
      <c r="I223" s="5">
        <v>44562</v>
      </c>
      <c r="J223" s="6">
        <v>0</v>
      </c>
      <c r="K223" s="6">
        <v>0</v>
      </c>
      <c r="L223" s="6">
        <v>0.60899999999999999</v>
      </c>
      <c r="M223" s="6">
        <v>0.60899999999999999</v>
      </c>
      <c r="N223" s="6">
        <v>0.60899999999999999</v>
      </c>
      <c r="O223" s="6">
        <v>0.60899999999999999</v>
      </c>
      <c r="P223" s="6">
        <v>0</v>
      </c>
      <c r="Q223" s="4" t="s">
        <v>26</v>
      </c>
      <c r="R223" s="4">
        <v>0</v>
      </c>
      <c r="S223" s="4" t="s">
        <v>226</v>
      </c>
      <c r="T223" s="4" t="s">
        <v>387</v>
      </c>
      <c r="U223" s="4">
        <v>0</v>
      </c>
      <c r="V223" s="4">
        <v>43</v>
      </c>
      <c r="W223" s="4">
        <v>81</v>
      </c>
    </row>
    <row r="224" spans="1:23" ht="11.25" customHeight="1" x14ac:dyDescent="0.25">
      <c r="A224" s="4" t="s">
        <v>21</v>
      </c>
      <c r="B224" s="4" t="s">
        <v>32</v>
      </c>
      <c r="C224" s="4" t="s">
        <v>38</v>
      </c>
      <c r="D224" s="4" t="s">
        <v>40</v>
      </c>
      <c r="E224" s="4" t="s">
        <v>25</v>
      </c>
      <c r="F224" s="4" t="s">
        <v>25</v>
      </c>
      <c r="G224" s="4" t="s">
        <v>25</v>
      </c>
      <c r="H224" s="4" t="s">
        <v>36</v>
      </c>
      <c r="I224" s="5">
        <v>44593</v>
      </c>
      <c r="J224" s="6">
        <v>0</v>
      </c>
      <c r="K224" s="6">
        <v>0</v>
      </c>
      <c r="L224" s="6">
        <v>0.30199999999999999</v>
      </c>
      <c r="M224" s="6">
        <v>0.30199999999999999</v>
      </c>
      <c r="N224" s="6">
        <v>0.30199999999999999</v>
      </c>
      <c r="O224" s="6">
        <v>0.30199999999999999</v>
      </c>
      <c r="P224" s="6">
        <v>0</v>
      </c>
      <c r="Q224" s="4" t="s">
        <v>26</v>
      </c>
      <c r="R224" s="4">
        <v>0</v>
      </c>
      <c r="S224" s="4" t="s">
        <v>227</v>
      </c>
      <c r="T224" s="4" t="s">
        <v>388</v>
      </c>
      <c r="U224" s="4">
        <v>0</v>
      </c>
      <c r="V224" s="4">
        <v>43</v>
      </c>
      <c r="W224" s="4">
        <v>81</v>
      </c>
    </row>
    <row r="225" spans="1:23" ht="11.25" customHeight="1" x14ac:dyDescent="0.25">
      <c r="A225" s="4" t="s">
        <v>21</v>
      </c>
      <c r="B225" s="4" t="s">
        <v>32</v>
      </c>
      <c r="C225" s="4" t="s">
        <v>38</v>
      </c>
      <c r="D225" s="4" t="s">
        <v>40</v>
      </c>
      <c r="E225" s="4" t="s">
        <v>25</v>
      </c>
      <c r="F225" s="4" t="s">
        <v>25</v>
      </c>
      <c r="G225" s="4" t="s">
        <v>25</v>
      </c>
      <c r="H225" s="4" t="s">
        <v>36</v>
      </c>
      <c r="I225" s="5">
        <v>44621</v>
      </c>
      <c r="J225" s="6">
        <v>0</v>
      </c>
      <c r="K225" s="6">
        <v>0</v>
      </c>
      <c r="L225" s="6">
        <v>0.21199999999999999</v>
      </c>
      <c r="M225" s="6">
        <v>0.21199999999999999</v>
      </c>
      <c r="N225" s="6">
        <v>0.21199999999999999</v>
      </c>
      <c r="O225" s="6">
        <v>0.21199999999999999</v>
      </c>
      <c r="P225" s="6">
        <v>0</v>
      </c>
      <c r="Q225" s="4" t="s">
        <v>26</v>
      </c>
      <c r="R225" s="4">
        <v>0</v>
      </c>
      <c r="S225" s="4" t="s">
        <v>228</v>
      </c>
      <c r="T225" s="4" t="s">
        <v>389</v>
      </c>
      <c r="U225" s="4">
        <v>0</v>
      </c>
      <c r="V225" s="4">
        <v>43</v>
      </c>
      <c r="W225" s="4">
        <v>81</v>
      </c>
    </row>
    <row r="226" spans="1:23" ht="11.25" customHeight="1" x14ac:dyDescent="0.25">
      <c r="A226" s="4" t="s">
        <v>21</v>
      </c>
      <c r="B226" s="4" t="s">
        <v>32</v>
      </c>
      <c r="C226" s="4" t="s">
        <v>38</v>
      </c>
      <c r="D226" s="4" t="s">
        <v>40</v>
      </c>
      <c r="E226" s="4" t="s">
        <v>25</v>
      </c>
      <c r="F226" s="4" t="s">
        <v>25</v>
      </c>
      <c r="G226" s="4" t="s">
        <v>25</v>
      </c>
      <c r="H226" s="4" t="s">
        <v>36</v>
      </c>
      <c r="I226" s="5">
        <v>44652</v>
      </c>
      <c r="J226" s="6">
        <v>0</v>
      </c>
      <c r="K226" s="6">
        <v>0</v>
      </c>
      <c r="L226" s="6">
        <v>0.17599999999999999</v>
      </c>
      <c r="M226" s="6">
        <v>0.17599999999999999</v>
      </c>
      <c r="N226" s="6">
        <v>0.17599999999999999</v>
      </c>
      <c r="O226" s="6">
        <v>0.17599999999999999</v>
      </c>
      <c r="P226" s="6">
        <v>0</v>
      </c>
      <c r="Q226" s="4" t="s">
        <v>26</v>
      </c>
      <c r="R226" s="4">
        <v>0</v>
      </c>
      <c r="S226" s="4" t="s">
        <v>229</v>
      </c>
      <c r="T226" s="4" t="s">
        <v>390</v>
      </c>
      <c r="U226" s="4">
        <v>0</v>
      </c>
      <c r="V226" s="4">
        <v>43</v>
      </c>
      <c r="W226" s="4">
        <v>81</v>
      </c>
    </row>
    <row r="227" spans="1:23" ht="11.25" customHeight="1" x14ac:dyDescent="0.25">
      <c r="A227" s="4" t="s">
        <v>21</v>
      </c>
      <c r="B227" s="4" t="s">
        <v>32</v>
      </c>
      <c r="C227" s="4" t="s">
        <v>38</v>
      </c>
      <c r="D227" s="4" t="s">
        <v>40</v>
      </c>
      <c r="E227" s="4" t="s">
        <v>25</v>
      </c>
      <c r="F227" s="4" t="s">
        <v>25</v>
      </c>
      <c r="G227" s="4" t="s">
        <v>25</v>
      </c>
      <c r="H227" s="4" t="s">
        <v>36</v>
      </c>
      <c r="I227" s="5">
        <v>44682</v>
      </c>
      <c r="J227" s="6">
        <v>0</v>
      </c>
      <c r="K227" s="6">
        <v>0</v>
      </c>
      <c r="L227" s="6">
        <v>0.13900000000000001</v>
      </c>
      <c r="M227" s="6">
        <v>0.13900000000000001</v>
      </c>
      <c r="N227" s="6">
        <v>0.13900000000000001</v>
      </c>
      <c r="O227" s="6">
        <v>0.13900000000000001</v>
      </c>
      <c r="P227" s="6">
        <v>0</v>
      </c>
      <c r="Q227" s="4" t="s">
        <v>26</v>
      </c>
      <c r="R227" s="4">
        <v>0</v>
      </c>
      <c r="S227" s="4" t="s">
        <v>230</v>
      </c>
      <c r="T227" s="4" t="s">
        <v>391</v>
      </c>
      <c r="U227" s="4">
        <v>0</v>
      </c>
      <c r="V227" s="4">
        <v>43</v>
      </c>
      <c r="W227" s="4">
        <v>81</v>
      </c>
    </row>
    <row r="228" spans="1:23" ht="11.25" customHeight="1" x14ac:dyDescent="0.25">
      <c r="A228" s="4" t="s">
        <v>21</v>
      </c>
      <c r="B228" s="4" t="s">
        <v>32</v>
      </c>
      <c r="C228" s="4" t="s">
        <v>38</v>
      </c>
      <c r="D228" s="4" t="s">
        <v>40</v>
      </c>
      <c r="E228" s="4" t="s">
        <v>25</v>
      </c>
      <c r="F228" s="4" t="s">
        <v>25</v>
      </c>
      <c r="G228" s="4" t="s">
        <v>25</v>
      </c>
      <c r="H228" s="4" t="s">
        <v>36</v>
      </c>
      <c r="I228" s="5">
        <v>44713</v>
      </c>
      <c r="J228" s="6">
        <v>0</v>
      </c>
      <c r="K228" s="6">
        <v>0</v>
      </c>
      <c r="L228" s="6">
        <v>0.14699999999999999</v>
      </c>
      <c r="M228" s="6">
        <v>0.14699999999999999</v>
      </c>
      <c r="N228" s="6">
        <v>0.14699999999999999</v>
      </c>
      <c r="O228" s="6">
        <v>0.14699999999999999</v>
      </c>
      <c r="P228" s="6">
        <v>0</v>
      </c>
      <c r="Q228" s="4" t="s">
        <v>26</v>
      </c>
      <c r="R228" s="4">
        <v>0</v>
      </c>
      <c r="S228" s="4" t="s">
        <v>231</v>
      </c>
      <c r="T228" s="4" t="s">
        <v>392</v>
      </c>
      <c r="U228" s="4">
        <v>0</v>
      </c>
      <c r="V228" s="4">
        <v>43</v>
      </c>
      <c r="W228" s="4">
        <v>81</v>
      </c>
    </row>
    <row r="229" spans="1:23" ht="11.25" customHeight="1" x14ac:dyDescent="0.25">
      <c r="A229" s="4" t="s">
        <v>21</v>
      </c>
      <c r="B229" s="4" t="s">
        <v>32</v>
      </c>
      <c r="C229" s="4" t="s">
        <v>38</v>
      </c>
      <c r="D229" s="4" t="s">
        <v>40</v>
      </c>
      <c r="E229" s="4" t="s">
        <v>25</v>
      </c>
      <c r="F229" s="4" t="s">
        <v>25</v>
      </c>
      <c r="G229" s="4" t="s">
        <v>25</v>
      </c>
      <c r="H229" s="4" t="s">
        <v>36</v>
      </c>
      <c r="I229" s="5">
        <v>44743</v>
      </c>
      <c r="J229" s="6">
        <v>0</v>
      </c>
      <c r="K229" s="6">
        <v>0</v>
      </c>
      <c r="L229" s="6">
        <v>0.14499999999999999</v>
      </c>
      <c r="M229" s="6">
        <v>0.14499999999999999</v>
      </c>
      <c r="N229" s="6">
        <v>0.14499999999999999</v>
      </c>
      <c r="O229" s="6">
        <v>0.14499999999999999</v>
      </c>
      <c r="P229" s="6">
        <v>0</v>
      </c>
      <c r="Q229" s="4" t="s">
        <v>26</v>
      </c>
      <c r="R229" s="4">
        <v>0</v>
      </c>
      <c r="S229" s="4" t="s">
        <v>232</v>
      </c>
      <c r="T229" s="4" t="s">
        <v>393</v>
      </c>
      <c r="U229" s="4">
        <v>0</v>
      </c>
      <c r="V229" s="4">
        <v>43</v>
      </c>
      <c r="W229" s="4">
        <v>81</v>
      </c>
    </row>
    <row r="230" spans="1:23" ht="11.25" customHeight="1" x14ac:dyDescent="0.25">
      <c r="A230" s="4" t="s">
        <v>21</v>
      </c>
      <c r="B230" s="4" t="s">
        <v>32</v>
      </c>
      <c r="C230" s="4" t="s">
        <v>38</v>
      </c>
      <c r="D230" s="4" t="s">
        <v>33</v>
      </c>
      <c r="E230" s="4" t="s">
        <v>25</v>
      </c>
      <c r="F230" s="4" t="s">
        <v>25</v>
      </c>
      <c r="G230" s="4" t="s">
        <v>25</v>
      </c>
      <c r="H230" s="4" t="s">
        <v>37</v>
      </c>
      <c r="I230" s="5">
        <v>44409</v>
      </c>
      <c r="J230" s="6">
        <v>0</v>
      </c>
      <c r="K230" s="6">
        <v>0</v>
      </c>
      <c r="L230" s="6">
        <v>2.0550000000000002</v>
      </c>
      <c r="M230" s="6">
        <v>2.0550000000000002</v>
      </c>
      <c r="N230" s="6">
        <v>2.0550000000000002</v>
      </c>
      <c r="O230" s="6">
        <v>2.0550000000000002</v>
      </c>
      <c r="P230" s="6">
        <v>0</v>
      </c>
      <c r="Q230" s="4" t="s">
        <v>26</v>
      </c>
      <c r="R230" s="4">
        <v>0</v>
      </c>
      <c r="S230" s="4" t="s">
        <v>197</v>
      </c>
      <c r="T230" s="4" t="s">
        <v>358</v>
      </c>
      <c r="U230" s="4">
        <v>0</v>
      </c>
      <c r="V230" s="4">
        <v>45</v>
      </c>
      <c r="W230" s="4">
        <v>83</v>
      </c>
    </row>
    <row r="231" spans="1:23" ht="11.25" customHeight="1" x14ac:dyDescent="0.25">
      <c r="A231" s="4" t="s">
        <v>21</v>
      </c>
      <c r="B231" s="4" t="s">
        <v>32</v>
      </c>
      <c r="C231" s="4" t="s">
        <v>38</v>
      </c>
      <c r="D231" s="4" t="s">
        <v>33</v>
      </c>
      <c r="E231" s="4" t="s">
        <v>25</v>
      </c>
      <c r="F231" s="4" t="s">
        <v>25</v>
      </c>
      <c r="G231" s="4" t="s">
        <v>25</v>
      </c>
      <c r="H231" s="4" t="s">
        <v>37</v>
      </c>
      <c r="I231" s="5">
        <v>44440</v>
      </c>
      <c r="J231" s="6">
        <v>0</v>
      </c>
      <c r="K231" s="6">
        <v>0</v>
      </c>
      <c r="L231" s="6">
        <v>2.2200000000000002</v>
      </c>
      <c r="M231" s="6">
        <v>2.2200000000000002</v>
      </c>
      <c r="N231" s="6">
        <v>2.2200000000000002</v>
      </c>
      <c r="O231" s="6">
        <v>2.2200000000000002</v>
      </c>
      <c r="P231" s="6">
        <v>0</v>
      </c>
      <c r="Q231" s="4" t="s">
        <v>26</v>
      </c>
      <c r="R231" s="4">
        <v>0</v>
      </c>
      <c r="S231" s="4" t="s">
        <v>198</v>
      </c>
      <c r="T231" s="4" t="s">
        <v>359</v>
      </c>
      <c r="U231" s="4">
        <v>0</v>
      </c>
      <c r="V231" s="4">
        <v>45</v>
      </c>
      <c r="W231" s="4">
        <v>83</v>
      </c>
    </row>
    <row r="232" spans="1:23" ht="11.25" customHeight="1" x14ac:dyDescent="0.25">
      <c r="A232" s="4" t="s">
        <v>21</v>
      </c>
      <c r="B232" s="4" t="s">
        <v>32</v>
      </c>
      <c r="C232" s="4" t="s">
        <v>38</v>
      </c>
      <c r="D232" s="4" t="s">
        <v>33</v>
      </c>
      <c r="E232" s="4" t="s">
        <v>25</v>
      </c>
      <c r="F232" s="4" t="s">
        <v>25</v>
      </c>
      <c r="G232" s="4" t="s">
        <v>25</v>
      </c>
      <c r="H232" s="4" t="s">
        <v>37</v>
      </c>
      <c r="I232" s="5">
        <v>44470</v>
      </c>
      <c r="J232" s="6">
        <v>0</v>
      </c>
      <c r="K232" s="6">
        <v>0</v>
      </c>
      <c r="L232" s="6">
        <v>3.2949999999999999</v>
      </c>
      <c r="M232" s="6">
        <v>3.2949999999999999</v>
      </c>
      <c r="N232" s="6">
        <v>3.2949999999999999</v>
      </c>
      <c r="O232" s="6">
        <v>3.2949999999999999</v>
      </c>
      <c r="P232" s="6">
        <v>0</v>
      </c>
      <c r="Q232" s="4" t="s">
        <v>26</v>
      </c>
      <c r="R232" s="4">
        <v>0</v>
      </c>
      <c r="S232" s="4" t="s">
        <v>199</v>
      </c>
      <c r="T232" s="4" t="s">
        <v>360</v>
      </c>
      <c r="U232" s="4">
        <v>0</v>
      </c>
      <c r="V232" s="4">
        <v>45</v>
      </c>
      <c r="W232" s="4">
        <v>83</v>
      </c>
    </row>
    <row r="233" spans="1:23" ht="11.25" customHeight="1" x14ac:dyDescent="0.25">
      <c r="A233" s="4" t="s">
        <v>21</v>
      </c>
      <c r="B233" s="4" t="s">
        <v>32</v>
      </c>
      <c r="C233" s="4" t="s">
        <v>38</v>
      </c>
      <c r="D233" s="4" t="s">
        <v>33</v>
      </c>
      <c r="E233" s="4" t="s">
        <v>25</v>
      </c>
      <c r="F233" s="4" t="s">
        <v>25</v>
      </c>
      <c r="G233" s="4" t="s">
        <v>25</v>
      </c>
      <c r="H233" s="4" t="s">
        <v>37</v>
      </c>
      <c r="I233" s="5">
        <v>44501</v>
      </c>
      <c r="J233" s="6">
        <v>0</v>
      </c>
      <c r="K233" s="6">
        <v>0</v>
      </c>
      <c r="L233" s="6">
        <v>2.5990000000000002</v>
      </c>
      <c r="M233" s="6">
        <v>2.5990000000000002</v>
      </c>
      <c r="N233" s="6">
        <v>2.5990000000000002</v>
      </c>
      <c r="O233" s="6">
        <v>2.5990000000000002</v>
      </c>
      <c r="P233" s="6">
        <v>0</v>
      </c>
      <c r="Q233" s="4" t="s">
        <v>26</v>
      </c>
      <c r="R233" s="4">
        <v>0</v>
      </c>
      <c r="S233" s="4" t="s">
        <v>200</v>
      </c>
      <c r="T233" s="4" t="s">
        <v>361</v>
      </c>
      <c r="U233" s="4">
        <v>0</v>
      </c>
      <c r="V233" s="4">
        <v>45</v>
      </c>
      <c r="W233" s="4">
        <v>83</v>
      </c>
    </row>
    <row r="234" spans="1:23" ht="11.25" customHeight="1" x14ac:dyDescent="0.25">
      <c r="A234" s="4" t="s">
        <v>21</v>
      </c>
      <c r="B234" s="4" t="s">
        <v>32</v>
      </c>
      <c r="C234" s="4" t="s">
        <v>38</v>
      </c>
      <c r="D234" s="4" t="s">
        <v>33</v>
      </c>
      <c r="E234" s="4" t="s">
        <v>25</v>
      </c>
      <c r="F234" s="4" t="s">
        <v>25</v>
      </c>
      <c r="G234" s="4" t="s">
        <v>25</v>
      </c>
      <c r="H234" s="4" t="s">
        <v>37</v>
      </c>
      <c r="I234" s="5">
        <v>44531</v>
      </c>
      <c r="J234" s="6">
        <v>0</v>
      </c>
      <c r="K234" s="6">
        <v>0</v>
      </c>
      <c r="L234" s="6">
        <v>3.3460000000000001</v>
      </c>
      <c r="M234" s="6">
        <v>3.3460000000000001</v>
      </c>
      <c r="N234" s="6">
        <v>3.3460000000000001</v>
      </c>
      <c r="O234" s="6">
        <v>3.3460000000000001</v>
      </c>
      <c r="P234" s="6">
        <v>0</v>
      </c>
      <c r="Q234" s="4" t="s">
        <v>26</v>
      </c>
      <c r="R234" s="4">
        <v>0</v>
      </c>
      <c r="S234" s="4" t="s">
        <v>201</v>
      </c>
      <c r="T234" s="4" t="s">
        <v>362</v>
      </c>
      <c r="U234" s="4">
        <v>0</v>
      </c>
      <c r="V234" s="4">
        <v>45</v>
      </c>
      <c r="W234" s="4">
        <v>83</v>
      </c>
    </row>
    <row r="235" spans="1:23" ht="11.25" customHeight="1" x14ac:dyDescent="0.25">
      <c r="A235" s="4" t="s">
        <v>21</v>
      </c>
      <c r="B235" s="4" t="s">
        <v>32</v>
      </c>
      <c r="C235" s="4" t="s">
        <v>38</v>
      </c>
      <c r="D235" s="4" t="s">
        <v>33</v>
      </c>
      <c r="E235" s="4" t="s">
        <v>25</v>
      </c>
      <c r="F235" s="4" t="s">
        <v>25</v>
      </c>
      <c r="G235" s="4" t="s">
        <v>25</v>
      </c>
      <c r="H235" s="4" t="s">
        <v>37</v>
      </c>
      <c r="I235" s="5">
        <v>44562</v>
      </c>
      <c r="J235" s="6">
        <v>0</v>
      </c>
      <c r="K235" s="6">
        <v>0</v>
      </c>
      <c r="L235" s="6">
        <v>1.5740000000000001</v>
      </c>
      <c r="M235" s="6">
        <v>1.5740000000000001</v>
      </c>
      <c r="N235" s="6">
        <v>1.5740000000000001</v>
      </c>
      <c r="O235" s="6">
        <v>1.5740000000000001</v>
      </c>
      <c r="P235" s="6">
        <v>0</v>
      </c>
      <c r="Q235" s="4" t="s">
        <v>26</v>
      </c>
      <c r="R235" s="4">
        <v>0</v>
      </c>
      <c r="S235" s="4" t="s">
        <v>202</v>
      </c>
      <c r="T235" s="4" t="s">
        <v>363</v>
      </c>
      <c r="U235" s="4">
        <v>0</v>
      </c>
      <c r="V235" s="4">
        <v>45</v>
      </c>
      <c r="W235" s="4">
        <v>83</v>
      </c>
    </row>
    <row r="236" spans="1:23" ht="11.25" customHeight="1" x14ac:dyDescent="0.25">
      <c r="A236" s="4" t="s">
        <v>21</v>
      </c>
      <c r="B236" s="4" t="s">
        <v>32</v>
      </c>
      <c r="C236" s="4" t="s">
        <v>38</v>
      </c>
      <c r="D236" s="4" t="s">
        <v>33</v>
      </c>
      <c r="E236" s="4" t="s">
        <v>25</v>
      </c>
      <c r="F236" s="4" t="s">
        <v>25</v>
      </c>
      <c r="G236" s="4" t="s">
        <v>25</v>
      </c>
      <c r="H236" s="4" t="s">
        <v>39</v>
      </c>
      <c r="I236" s="5">
        <v>44409</v>
      </c>
      <c r="J236" s="6">
        <v>0</v>
      </c>
      <c r="K236" s="6">
        <v>0</v>
      </c>
      <c r="L236" s="6">
        <v>2E-3</v>
      </c>
      <c r="M236" s="6">
        <v>2E-3</v>
      </c>
      <c r="N236" s="6">
        <v>2E-3</v>
      </c>
      <c r="O236" s="6">
        <v>2E-3</v>
      </c>
      <c r="P236" s="6">
        <v>0</v>
      </c>
      <c r="Q236" s="4" t="s">
        <v>26</v>
      </c>
      <c r="R236" s="4">
        <v>0</v>
      </c>
      <c r="S236" s="4" t="s">
        <v>209</v>
      </c>
      <c r="T236" s="4" t="s">
        <v>370</v>
      </c>
      <c r="U236" s="4">
        <v>0</v>
      </c>
      <c r="V236" s="4">
        <v>44</v>
      </c>
      <c r="W236" s="4">
        <v>82</v>
      </c>
    </row>
    <row r="237" spans="1:23" ht="11.25" customHeight="1" x14ac:dyDescent="0.25">
      <c r="A237" s="4" t="s">
        <v>21</v>
      </c>
      <c r="B237" s="4" t="s">
        <v>32</v>
      </c>
      <c r="C237" s="4" t="s">
        <v>38</v>
      </c>
      <c r="D237" s="4" t="s">
        <v>33</v>
      </c>
      <c r="E237" s="4" t="s">
        <v>25</v>
      </c>
      <c r="F237" s="4" t="s">
        <v>25</v>
      </c>
      <c r="G237" s="4" t="s">
        <v>25</v>
      </c>
      <c r="H237" s="4" t="s">
        <v>39</v>
      </c>
      <c r="I237" s="5">
        <v>44440</v>
      </c>
      <c r="J237" s="6">
        <v>0</v>
      </c>
      <c r="K237" s="6">
        <v>0</v>
      </c>
      <c r="L237" s="6">
        <v>3.0000000000000001E-3</v>
      </c>
      <c r="M237" s="6">
        <v>3.0000000000000001E-3</v>
      </c>
      <c r="N237" s="6">
        <v>3.0000000000000001E-3</v>
      </c>
      <c r="O237" s="6">
        <v>3.0000000000000001E-3</v>
      </c>
      <c r="P237" s="6">
        <v>0</v>
      </c>
      <c r="Q237" s="4" t="s">
        <v>26</v>
      </c>
      <c r="R237" s="4">
        <v>0</v>
      </c>
      <c r="S237" s="4" t="s">
        <v>210</v>
      </c>
      <c r="T237" s="4" t="s">
        <v>371</v>
      </c>
      <c r="U237" s="4">
        <v>0</v>
      </c>
      <c r="V237" s="4">
        <v>44</v>
      </c>
      <c r="W237" s="4">
        <v>82</v>
      </c>
    </row>
    <row r="238" spans="1:23" ht="11.25" customHeight="1" x14ac:dyDescent="0.25">
      <c r="A238" s="4" t="s">
        <v>21</v>
      </c>
      <c r="B238" s="4" t="s">
        <v>32</v>
      </c>
      <c r="C238" s="4" t="s">
        <v>38</v>
      </c>
      <c r="D238" s="4" t="s">
        <v>33</v>
      </c>
      <c r="E238" s="4" t="s">
        <v>25</v>
      </c>
      <c r="F238" s="4" t="s">
        <v>25</v>
      </c>
      <c r="G238" s="4" t="s">
        <v>25</v>
      </c>
      <c r="H238" s="4" t="s">
        <v>39</v>
      </c>
      <c r="I238" s="5">
        <v>44470</v>
      </c>
      <c r="J238" s="6">
        <v>0</v>
      </c>
      <c r="K238" s="6">
        <v>0</v>
      </c>
      <c r="L238" s="6">
        <v>1E-3</v>
      </c>
      <c r="M238" s="6">
        <v>1E-3</v>
      </c>
      <c r="N238" s="6">
        <v>1E-3</v>
      </c>
      <c r="O238" s="6">
        <v>1E-3</v>
      </c>
      <c r="P238" s="6">
        <v>0</v>
      </c>
      <c r="Q238" s="4" t="s">
        <v>26</v>
      </c>
      <c r="R238" s="4">
        <v>0</v>
      </c>
      <c r="S238" s="4" t="s">
        <v>211</v>
      </c>
      <c r="T238" s="4" t="s">
        <v>372</v>
      </c>
      <c r="U238" s="4">
        <v>0</v>
      </c>
      <c r="V238" s="4">
        <v>44</v>
      </c>
      <c r="W238" s="4">
        <v>82</v>
      </c>
    </row>
    <row r="239" spans="1:23" ht="11.25" customHeight="1" x14ac:dyDescent="0.25">
      <c r="A239" s="4" t="s">
        <v>21</v>
      </c>
      <c r="B239" s="4" t="s">
        <v>32</v>
      </c>
      <c r="C239" s="4" t="s">
        <v>38</v>
      </c>
      <c r="D239" s="4" t="s">
        <v>33</v>
      </c>
      <c r="E239" s="4" t="s">
        <v>25</v>
      </c>
      <c r="F239" s="4" t="s">
        <v>25</v>
      </c>
      <c r="G239" s="4" t="s">
        <v>25</v>
      </c>
      <c r="H239" s="4" t="s">
        <v>39</v>
      </c>
      <c r="I239" s="5">
        <v>44501</v>
      </c>
      <c r="J239" s="6">
        <v>0</v>
      </c>
      <c r="K239" s="6">
        <v>0</v>
      </c>
      <c r="L239" s="6">
        <v>1E-3</v>
      </c>
      <c r="M239" s="6">
        <v>1E-3</v>
      </c>
      <c r="N239" s="6">
        <v>1E-3</v>
      </c>
      <c r="O239" s="6">
        <v>1E-3</v>
      </c>
      <c r="P239" s="6">
        <v>0</v>
      </c>
      <c r="Q239" s="4" t="s">
        <v>26</v>
      </c>
      <c r="R239" s="4">
        <v>0</v>
      </c>
      <c r="S239" s="4" t="s">
        <v>212</v>
      </c>
      <c r="T239" s="4" t="s">
        <v>373</v>
      </c>
      <c r="U239" s="4">
        <v>0</v>
      </c>
      <c r="V239" s="4">
        <v>44</v>
      </c>
      <c r="W239" s="4">
        <v>82</v>
      </c>
    </row>
    <row r="240" spans="1:23" ht="11.25" customHeight="1" x14ac:dyDescent="0.25">
      <c r="A240" s="4" t="s">
        <v>21</v>
      </c>
      <c r="B240" s="4" t="s">
        <v>32</v>
      </c>
      <c r="C240" s="4" t="s">
        <v>38</v>
      </c>
      <c r="D240" s="4" t="s">
        <v>33</v>
      </c>
      <c r="E240" s="4" t="s">
        <v>25</v>
      </c>
      <c r="F240" s="4" t="s">
        <v>25</v>
      </c>
      <c r="G240" s="4" t="s">
        <v>25</v>
      </c>
      <c r="H240" s="4" t="s">
        <v>39</v>
      </c>
      <c r="I240" s="5">
        <v>44531</v>
      </c>
      <c r="J240" s="6">
        <v>0</v>
      </c>
      <c r="K240" s="6">
        <v>0</v>
      </c>
      <c r="L240" s="6">
        <v>2E-3</v>
      </c>
      <c r="M240" s="6">
        <v>2E-3</v>
      </c>
      <c r="N240" s="6">
        <v>2E-3</v>
      </c>
      <c r="O240" s="6">
        <v>2E-3</v>
      </c>
      <c r="P240" s="6">
        <v>0</v>
      </c>
      <c r="Q240" s="4" t="s">
        <v>26</v>
      </c>
      <c r="R240" s="4">
        <v>0</v>
      </c>
      <c r="S240" s="4" t="s">
        <v>213</v>
      </c>
      <c r="T240" s="4" t="s">
        <v>374</v>
      </c>
      <c r="U240" s="4">
        <v>0</v>
      </c>
      <c r="V240" s="4">
        <v>44</v>
      </c>
      <c r="W240" s="4">
        <v>82</v>
      </c>
    </row>
    <row r="241" spans="1:23" ht="11.25" customHeight="1" x14ac:dyDescent="0.25">
      <c r="A241" s="4" t="s">
        <v>21</v>
      </c>
      <c r="B241" s="4" t="s">
        <v>32</v>
      </c>
      <c r="C241" s="4" t="s">
        <v>38</v>
      </c>
      <c r="D241" s="4" t="s">
        <v>33</v>
      </c>
      <c r="E241" s="4" t="s">
        <v>25</v>
      </c>
      <c r="F241" s="4" t="s">
        <v>25</v>
      </c>
      <c r="G241" s="4" t="s">
        <v>25</v>
      </c>
      <c r="H241" s="4" t="s">
        <v>39</v>
      </c>
      <c r="I241" s="5">
        <v>44562</v>
      </c>
      <c r="J241" s="6">
        <v>0</v>
      </c>
      <c r="K241" s="6">
        <v>0</v>
      </c>
      <c r="L241" s="6">
        <v>1E-3</v>
      </c>
      <c r="M241" s="6">
        <v>1E-3</v>
      </c>
      <c r="N241" s="6">
        <v>1E-3</v>
      </c>
      <c r="O241" s="6">
        <v>1E-3</v>
      </c>
      <c r="P241" s="6">
        <v>0</v>
      </c>
      <c r="Q241" s="4" t="s">
        <v>26</v>
      </c>
      <c r="R241" s="4">
        <v>0</v>
      </c>
      <c r="S241" s="4" t="s">
        <v>214</v>
      </c>
      <c r="T241" s="4" t="s">
        <v>375</v>
      </c>
      <c r="U241" s="4">
        <v>0</v>
      </c>
      <c r="V241" s="4">
        <v>44</v>
      </c>
      <c r="W241" s="4">
        <v>82</v>
      </c>
    </row>
    <row r="242" spans="1:23" ht="11.25" customHeight="1" x14ac:dyDescent="0.25">
      <c r="A242" s="4" t="s">
        <v>21</v>
      </c>
      <c r="B242" s="4" t="s">
        <v>32</v>
      </c>
      <c r="C242" s="4" t="s">
        <v>38</v>
      </c>
      <c r="D242" s="4" t="s">
        <v>33</v>
      </c>
      <c r="E242" s="4" t="s">
        <v>25</v>
      </c>
      <c r="F242" s="4" t="s">
        <v>25</v>
      </c>
      <c r="G242" s="4" t="s">
        <v>25</v>
      </c>
      <c r="H242" s="4" t="s">
        <v>36</v>
      </c>
      <c r="I242" s="5">
        <v>44409</v>
      </c>
      <c r="J242" s="6">
        <v>0</v>
      </c>
      <c r="K242" s="6">
        <v>0</v>
      </c>
      <c r="L242" s="6">
        <v>1E-3</v>
      </c>
      <c r="M242" s="6">
        <v>1E-3</v>
      </c>
      <c r="N242" s="6">
        <v>1E-3</v>
      </c>
      <c r="O242" s="6">
        <v>1E-3</v>
      </c>
      <c r="P242" s="6">
        <v>0</v>
      </c>
      <c r="Q242" s="4" t="s">
        <v>26</v>
      </c>
      <c r="R242" s="4">
        <v>0</v>
      </c>
      <c r="S242" s="4" t="s">
        <v>221</v>
      </c>
      <c r="T242" s="4" t="s">
        <v>382</v>
      </c>
      <c r="U242" s="4">
        <v>0</v>
      </c>
      <c r="V242" s="4">
        <v>43</v>
      </c>
      <c r="W242" s="4">
        <v>81</v>
      </c>
    </row>
    <row r="243" spans="1:23" ht="11.25" customHeight="1" x14ac:dyDescent="0.25">
      <c r="A243" s="4" t="s">
        <v>21</v>
      </c>
      <c r="B243" s="4" t="s">
        <v>32</v>
      </c>
      <c r="C243" s="4" t="s">
        <v>38</v>
      </c>
      <c r="D243" s="4" t="s">
        <v>33</v>
      </c>
      <c r="E243" s="4" t="s">
        <v>25</v>
      </c>
      <c r="F243" s="4" t="s">
        <v>25</v>
      </c>
      <c r="G243" s="4" t="s">
        <v>25</v>
      </c>
      <c r="H243" s="4" t="s">
        <v>36</v>
      </c>
      <c r="I243" s="5">
        <v>44440</v>
      </c>
      <c r="J243" s="6">
        <v>0</v>
      </c>
      <c r="K243" s="6">
        <v>0</v>
      </c>
      <c r="L243" s="6">
        <v>3.0000000000000001E-3</v>
      </c>
      <c r="M243" s="6">
        <v>3.0000000000000001E-3</v>
      </c>
      <c r="N243" s="6">
        <v>3.0000000000000001E-3</v>
      </c>
      <c r="O243" s="6">
        <v>3.0000000000000001E-3</v>
      </c>
      <c r="P243" s="6">
        <v>0</v>
      </c>
      <c r="Q243" s="4" t="s">
        <v>26</v>
      </c>
      <c r="R243" s="4">
        <v>0</v>
      </c>
      <c r="S243" s="4" t="s">
        <v>222</v>
      </c>
      <c r="T243" s="4" t="s">
        <v>383</v>
      </c>
      <c r="U243" s="4">
        <v>0</v>
      </c>
      <c r="V243" s="4">
        <v>43</v>
      </c>
      <c r="W243" s="4">
        <v>81</v>
      </c>
    </row>
    <row r="244" spans="1:23" ht="11.25" customHeight="1" x14ac:dyDescent="0.25">
      <c r="A244" s="4" t="s">
        <v>21</v>
      </c>
      <c r="B244" s="4" t="s">
        <v>32</v>
      </c>
      <c r="C244" s="4" t="s">
        <v>38</v>
      </c>
      <c r="D244" s="4" t="s">
        <v>33</v>
      </c>
      <c r="E244" s="4" t="s">
        <v>25</v>
      </c>
      <c r="F244" s="4" t="s">
        <v>25</v>
      </c>
      <c r="G244" s="4" t="s">
        <v>25</v>
      </c>
      <c r="H244" s="4" t="s">
        <v>36</v>
      </c>
      <c r="I244" s="5">
        <v>44470</v>
      </c>
      <c r="J244" s="6">
        <v>0</v>
      </c>
      <c r="K244" s="6">
        <v>0</v>
      </c>
      <c r="L244" s="6">
        <v>1E-3</v>
      </c>
      <c r="M244" s="6">
        <v>1E-3</v>
      </c>
      <c r="N244" s="6">
        <v>1E-3</v>
      </c>
      <c r="O244" s="6">
        <v>1E-3</v>
      </c>
      <c r="P244" s="6">
        <v>0</v>
      </c>
      <c r="Q244" s="4" t="s">
        <v>26</v>
      </c>
      <c r="R244" s="4">
        <v>0</v>
      </c>
      <c r="S244" s="4" t="s">
        <v>223</v>
      </c>
      <c r="T244" s="4" t="s">
        <v>384</v>
      </c>
      <c r="U244" s="4">
        <v>0</v>
      </c>
      <c r="V244" s="4">
        <v>43</v>
      </c>
      <c r="W244" s="4">
        <v>81</v>
      </c>
    </row>
    <row r="245" spans="1:23" ht="11.25" customHeight="1" x14ac:dyDescent="0.25">
      <c r="A245" s="4" t="s">
        <v>21</v>
      </c>
      <c r="B245" s="4" t="s">
        <v>32</v>
      </c>
      <c r="C245" s="4" t="s">
        <v>38</v>
      </c>
      <c r="D245" s="4" t="s">
        <v>33</v>
      </c>
      <c r="E245" s="4" t="s">
        <v>25</v>
      </c>
      <c r="F245" s="4" t="s">
        <v>25</v>
      </c>
      <c r="G245" s="4" t="s">
        <v>25</v>
      </c>
      <c r="H245" s="4" t="s">
        <v>36</v>
      </c>
      <c r="I245" s="5">
        <v>44501</v>
      </c>
      <c r="J245" s="6">
        <v>0</v>
      </c>
      <c r="K245" s="6">
        <v>0</v>
      </c>
      <c r="L245" s="6">
        <v>1E-3</v>
      </c>
      <c r="M245" s="6">
        <v>1E-3</v>
      </c>
      <c r="N245" s="6">
        <v>1E-3</v>
      </c>
      <c r="O245" s="6">
        <v>1E-3</v>
      </c>
      <c r="P245" s="6">
        <v>0</v>
      </c>
      <c r="Q245" s="4" t="s">
        <v>26</v>
      </c>
      <c r="R245" s="4">
        <v>0</v>
      </c>
      <c r="S245" s="4" t="s">
        <v>224</v>
      </c>
      <c r="T245" s="4" t="s">
        <v>385</v>
      </c>
      <c r="U245" s="4">
        <v>0</v>
      </c>
      <c r="V245" s="4">
        <v>43</v>
      </c>
      <c r="W245" s="4">
        <v>81</v>
      </c>
    </row>
    <row r="246" spans="1:23" ht="11.25" customHeight="1" x14ac:dyDescent="0.25">
      <c r="A246" s="4" t="s">
        <v>21</v>
      </c>
      <c r="B246" s="4" t="s">
        <v>32</v>
      </c>
      <c r="C246" s="4" t="s">
        <v>38</v>
      </c>
      <c r="D246" s="4" t="s">
        <v>33</v>
      </c>
      <c r="E246" s="4" t="s">
        <v>25</v>
      </c>
      <c r="F246" s="4" t="s">
        <v>25</v>
      </c>
      <c r="G246" s="4" t="s">
        <v>25</v>
      </c>
      <c r="H246" s="4" t="s">
        <v>36</v>
      </c>
      <c r="I246" s="5">
        <v>44531</v>
      </c>
      <c r="J246" s="6">
        <v>0</v>
      </c>
      <c r="K246" s="6">
        <v>0</v>
      </c>
      <c r="L246" s="6">
        <v>8.0000000000000002E-3</v>
      </c>
      <c r="M246" s="6">
        <v>8.0000000000000002E-3</v>
      </c>
      <c r="N246" s="6">
        <v>8.0000000000000002E-3</v>
      </c>
      <c r="O246" s="6">
        <v>8.0000000000000002E-3</v>
      </c>
      <c r="P246" s="6">
        <v>0</v>
      </c>
      <c r="Q246" s="4" t="s">
        <v>26</v>
      </c>
      <c r="R246" s="4">
        <v>0</v>
      </c>
      <c r="S246" s="4" t="s">
        <v>225</v>
      </c>
      <c r="T246" s="4" t="s">
        <v>386</v>
      </c>
      <c r="U246" s="4">
        <v>0</v>
      </c>
      <c r="V246" s="4">
        <v>43</v>
      </c>
      <c r="W246" s="4">
        <v>81</v>
      </c>
    </row>
    <row r="247" spans="1:23" ht="11.25" customHeight="1" x14ac:dyDescent="0.25">
      <c r="A247" s="4" t="s">
        <v>21</v>
      </c>
      <c r="B247" s="4" t="s">
        <v>32</v>
      </c>
      <c r="C247" s="4" t="s">
        <v>38</v>
      </c>
      <c r="D247" s="4" t="s">
        <v>33</v>
      </c>
      <c r="E247" s="4" t="s">
        <v>25</v>
      </c>
      <c r="F247" s="4" t="s">
        <v>25</v>
      </c>
      <c r="G247" s="4" t="s">
        <v>25</v>
      </c>
      <c r="H247" s="4" t="s">
        <v>36</v>
      </c>
      <c r="I247" s="5">
        <v>44562</v>
      </c>
      <c r="J247" s="6">
        <v>0</v>
      </c>
      <c r="K247" s="6">
        <v>0</v>
      </c>
      <c r="L247" s="6">
        <v>1E-3</v>
      </c>
      <c r="M247" s="6">
        <v>1E-3</v>
      </c>
      <c r="N247" s="6">
        <v>1E-3</v>
      </c>
      <c r="O247" s="6">
        <v>1E-3</v>
      </c>
      <c r="P247" s="6">
        <v>0</v>
      </c>
      <c r="Q247" s="4" t="s">
        <v>26</v>
      </c>
      <c r="R247" s="4">
        <v>0</v>
      </c>
      <c r="S247" s="4" t="s">
        <v>226</v>
      </c>
      <c r="T247" s="4" t="s">
        <v>387</v>
      </c>
      <c r="U247" s="4">
        <v>0</v>
      </c>
      <c r="V247" s="4">
        <v>43</v>
      </c>
      <c r="W247" s="4">
        <v>81</v>
      </c>
    </row>
    <row r="248" spans="1:23" ht="11.25" customHeight="1" x14ac:dyDescent="0.25">
      <c r="A248" s="4" t="s">
        <v>21</v>
      </c>
      <c r="B248" s="4" t="s">
        <v>32</v>
      </c>
      <c r="C248" s="4" t="s">
        <v>38</v>
      </c>
      <c r="D248" s="4" t="s">
        <v>43</v>
      </c>
      <c r="E248" s="4" t="s">
        <v>25</v>
      </c>
      <c r="F248" s="4" t="s">
        <v>25</v>
      </c>
      <c r="G248" s="4" t="s">
        <v>25</v>
      </c>
      <c r="H248" s="4" t="s">
        <v>37</v>
      </c>
      <c r="I248" s="5">
        <v>44409</v>
      </c>
      <c r="J248" s="6">
        <v>0</v>
      </c>
      <c r="K248" s="6">
        <v>0</v>
      </c>
      <c r="L248" s="6">
        <v>4.6429999999999998</v>
      </c>
      <c r="M248" s="6">
        <v>4.6429999999999998</v>
      </c>
      <c r="N248" s="6">
        <v>4.6429999999999998</v>
      </c>
      <c r="O248" s="6">
        <v>4.6429999999999998</v>
      </c>
      <c r="P248" s="6">
        <v>0</v>
      </c>
      <c r="Q248" s="4" t="s">
        <v>26</v>
      </c>
      <c r="R248" s="4">
        <v>0</v>
      </c>
      <c r="S248" s="4" t="s">
        <v>197</v>
      </c>
      <c r="T248" s="4" t="s">
        <v>358</v>
      </c>
      <c r="U248" s="4">
        <v>0</v>
      </c>
      <c r="V248" s="4">
        <v>45</v>
      </c>
      <c r="W248" s="4">
        <v>83</v>
      </c>
    </row>
    <row r="249" spans="1:23" ht="11.25" customHeight="1" x14ac:dyDescent="0.25">
      <c r="A249" s="4" t="s">
        <v>21</v>
      </c>
      <c r="B249" s="4" t="s">
        <v>32</v>
      </c>
      <c r="C249" s="4" t="s">
        <v>38</v>
      </c>
      <c r="D249" s="4" t="s">
        <v>43</v>
      </c>
      <c r="E249" s="4" t="s">
        <v>25</v>
      </c>
      <c r="F249" s="4" t="s">
        <v>25</v>
      </c>
      <c r="G249" s="4" t="s">
        <v>25</v>
      </c>
      <c r="H249" s="4" t="s">
        <v>37</v>
      </c>
      <c r="I249" s="5">
        <v>44440</v>
      </c>
      <c r="J249" s="6">
        <v>0</v>
      </c>
      <c r="K249" s="6">
        <v>0</v>
      </c>
      <c r="L249" s="6">
        <v>4.452</v>
      </c>
      <c r="M249" s="6">
        <v>4.452</v>
      </c>
      <c r="N249" s="6">
        <v>4.452</v>
      </c>
      <c r="O249" s="6">
        <v>4.452</v>
      </c>
      <c r="P249" s="6">
        <v>0</v>
      </c>
      <c r="Q249" s="4" t="s">
        <v>26</v>
      </c>
      <c r="R249" s="4">
        <v>0</v>
      </c>
      <c r="S249" s="4" t="s">
        <v>198</v>
      </c>
      <c r="T249" s="4" t="s">
        <v>359</v>
      </c>
      <c r="U249" s="4">
        <v>0</v>
      </c>
      <c r="V249" s="4">
        <v>45</v>
      </c>
      <c r="W249" s="4">
        <v>83</v>
      </c>
    </row>
    <row r="250" spans="1:23" ht="11.25" customHeight="1" x14ac:dyDescent="0.25">
      <c r="A250" s="4" t="s">
        <v>21</v>
      </c>
      <c r="B250" s="4" t="s">
        <v>32</v>
      </c>
      <c r="C250" s="4" t="s">
        <v>38</v>
      </c>
      <c r="D250" s="4" t="s">
        <v>43</v>
      </c>
      <c r="E250" s="4" t="s">
        <v>25</v>
      </c>
      <c r="F250" s="4" t="s">
        <v>25</v>
      </c>
      <c r="G250" s="4" t="s">
        <v>25</v>
      </c>
      <c r="H250" s="4" t="s">
        <v>37</v>
      </c>
      <c r="I250" s="5">
        <v>44470</v>
      </c>
      <c r="J250" s="6">
        <v>0</v>
      </c>
      <c r="K250" s="6">
        <v>0</v>
      </c>
      <c r="L250" s="6">
        <v>4.3840000000000003</v>
      </c>
      <c r="M250" s="6">
        <v>4.3840000000000003</v>
      </c>
      <c r="N250" s="6">
        <v>4.3840000000000003</v>
      </c>
      <c r="O250" s="6">
        <v>4.3840000000000003</v>
      </c>
      <c r="P250" s="6">
        <v>0</v>
      </c>
      <c r="Q250" s="4" t="s">
        <v>26</v>
      </c>
      <c r="R250" s="4">
        <v>0</v>
      </c>
      <c r="S250" s="4" t="s">
        <v>199</v>
      </c>
      <c r="T250" s="4" t="s">
        <v>360</v>
      </c>
      <c r="U250" s="4">
        <v>0</v>
      </c>
      <c r="V250" s="4">
        <v>45</v>
      </c>
      <c r="W250" s="4">
        <v>83</v>
      </c>
    </row>
    <row r="251" spans="1:23" ht="11.25" customHeight="1" x14ac:dyDescent="0.25">
      <c r="A251" s="4" t="s">
        <v>21</v>
      </c>
      <c r="B251" s="4" t="s">
        <v>32</v>
      </c>
      <c r="C251" s="4" t="s">
        <v>38</v>
      </c>
      <c r="D251" s="4" t="s">
        <v>43</v>
      </c>
      <c r="E251" s="4" t="s">
        <v>25</v>
      </c>
      <c r="F251" s="4" t="s">
        <v>25</v>
      </c>
      <c r="G251" s="4" t="s">
        <v>25</v>
      </c>
      <c r="H251" s="4" t="s">
        <v>37</v>
      </c>
      <c r="I251" s="5">
        <v>44501</v>
      </c>
      <c r="J251" s="6">
        <v>0</v>
      </c>
      <c r="K251" s="6">
        <v>0</v>
      </c>
      <c r="L251" s="6">
        <v>4.9059999999999997</v>
      </c>
      <c r="M251" s="6">
        <v>4.9059999999999997</v>
      </c>
      <c r="N251" s="6">
        <v>4.9059999999999997</v>
      </c>
      <c r="O251" s="6">
        <v>4.9059999999999997</v>
      </c>
      <c r="P251" s="6">
        <v>0</v>
      </c>
      <c r="Q251" s="4" t="s">
        <v>26</v>
      </c>
      <c r="R251" s="4">
        <v>0</v>
      </c>
      <c r="S251" s="4" t="s">
        <v>200</v>
      </c>
      <c r="T251" s="4" t="s">
        <v>361</v>
      </c>
      <c r="U251" s="4">
        <v>0</v>
      </c>
      <c r="V251" s="4">
        <v>45</v>
      </c>
      <c r="W251" s="4">
        <v>83</v>
      </c>
    </row>
    <row r="252" spans="1:23" ht="11.25" customHeight="1" x14ac:dyDescent="0.25">
      <c r="A252" s="4" t="s">
        <v>21</v>
      </c>
      <c r="B252" s="4" t="s">
        <v>32</v>
      </c>
      <c r="C252" s="4" t="s">
        <v>38</v>
      </c>
      <c r="D252" s="4" t="s">
        <v>43</v>
      </c>
      <c r="E252" s="4" t="s">
        <v>25</v>
      </c>
      <c r="F252" s="4" t="s">
        <v>25</v>
      </c>
      <c r="G252" s="4" t="s">
        <v>25</v>
      </c>
      <c r="H252" s="4" t="s">
        <v>37</v>
      </c>
      <c r="I252" s="5">
        <v>44531</v>
      </c>
      <c r="J252" s="6">
        <v>0</v>
      </c>
      <c r="K252" s="6">
        <v>0</v>
      </c>
      <c r="L252" s="6">
        <v>5.53</v>
      </c>
      <c r="M252" s="6">
        <v>5.53</v>
      </c>
      <c r="N252" s="6">
        <v>5.53</v>
      </c>
      <c r="O252" s="6">
        <v>5.53</v>
      </c>
      <c r="P252" s="6">
        <v>0</v>
      </c>
      <c r="Q252" s="4" t="s">
        <v>26</v>
      </c>
      <c r="R252" s="4">
        <v>0</v>
      </c>
      <c r="S252" s="4" t="s">
        <v>201</v>
      </c>
      <c r="T252" s="4" t="s">
        <v>362</v>
      </c>
      <c r="U252" s="4">
        <v>0</v>
      </c>
      <c r="V252" s="4">
        <v>45</v>
      </c>
      <c r="W252" s="4">
        <v>83</v>
      </c>
    </row>
    <row r="253" spans="1:23" ht="11.25" customHeight="1" x14ac:dyDescent="0.25">
      <c r="A253" s="4" t="s">
        <v>21</v>
      </c>
      <c r="B253" s="4" t="s">
        <v>32</v>
      </c>
      <c r="C253" s="4" t="s">
        <v>38</v>
      </c>
      <c r="D253" s="4" t="s">
        <v>43</v>
      </c>
      <c r="E253" s="4" t="s">
        <v>25</v>
      </c>
      <c r="F253" s="4" t="s">
        <v>25</v>
      </c>
      <c r="G253" s="4" t="s">
        <v>25</v>
      </c>
      <c r="H253" s="4" t="s">
        <v>37</v>
      </c>
      <c r="I253" s="5">
        <v>44562</v>
      </c>
      <c r="J253" s="6">
        <v>0</v>
      </c>
      <c r="K253" s="6">
        <v>0</v>
      </c>
      <c r="L253" s="6">
        <v>6.5960000000000001</v>
      </c>
      <c r="M253" s="6">
        <v>6.5960000000000001</v>
      </c>
      <c r="N253" s="6">
        <v>6.5960000000000001</v>
      </c>
      <c r="O253" s="6">
        <v>6.5960000000000001</v>
      </c>
      <c r="P253" s="6">
        <v>0</v>
      </c>
      <c r="Q253" s="4" t="s">
        <v>26</v>
      </c>
      <c r="R253" s="4">
        <v>0</v>
      </c>
      <c r="S253" s="4" t="s">
        <v>202</v>
      </c>
      <c r="T253" s="4" t="s">
        <v>363</v>
      </c>
      <c r="U253" s="4">
        <v>0</v>
      </c>
      <c r="V253" s="4">
        <v>45</v>
      </c>
      <c r="W253" s="4">
        <v>83</v>
      </c>
    </row>
    <row r="254" spans="1:23" ht="11.25" customHeight="1" x14ac:dyDescent="0.25">
      <c r="A254" s="4" t="s">
        <v>21</v>
      </c>
      <c r="B254" s="4" t="s">
        <v>32</v>
      </c>
      <c r="C254" s="4" t="s">
        <v>38</v>
      </c>
      <c r="D254" s="4" t="s">
        <v>43</v>
      </c>
      <c r="E254" s="4" t="s">
        <v>25</v>
      </c>
      <c r="F254" s="4" t="s">
        <v>25</v>
      </c>
      <c r="G254" s="4" t="s">
        <v>25</v>
      </c>
      <c r="H254" s="4" t="s">
        <v>37</v>
      </c>
      <c r="I254" s="5">
        <v>44593</v>
      </c>
      <c r="J254" s="6">
        <v>0</v>
      </c>
      <c r="K254" s="6">
        <v>0</v>
      </c>
      <c r="L254" s="6">
        <v>8.9149999999999991</v>
      </c>
      <c r="M254" s="6">
        <v>8.9149999999999991</v>
      </c>
      <c r="N254" s="6">
        <v>8.9149999999999991</v>
      </c>
      <c r="O254" s="6">
        <v>8.9149999999999991</v>
      </c>
      <c r="P254" s="6">
        <v>0</v>
      </c>
      <c r="Q254" s="4" t="s">
        <v>26</v>
      </c>
      <c r="R254" s="4">
        <v>0</v>
      </c>
      <c r="S254" s="4" t="s">
        <v>203</v>
      </c>
      <c r="T254" s="4" t="s">
        <v>364</v>
      </c>
      <c r="U254" s="4">
        <v>0</v>
      </c>
      <c r="V254" s="4">
        <v>45</v>
      </c>
      <c r="W254" s="4">
        <v>83</v>
      </c>
    </row>
    <row r="255" spans="1:23" ht="11.25" customHeight="1" x14ac:dyDescent="0.25">
      <c r="A255" s="4" t="s">
        <v>21</v>
      </c>
      <c r="B255" s="4" t="s">
        <v>32</v>
      </c>
      <c r="C255" s="4" t="s">
        <v>38</v>
      </c>
      <c r="D255" s="4" t="s">
        <v>43</v>
      </c>
      <c r="E255" s="4" t="s">
        <v>25</v>
      </c>
      <c r="F255" s="4" t="s">
        <v>25</v>
      </c>
      <c r="G255" s="4" t="s">
        <v>25</v>
      </c>
      <c r="H255" s="4" t="s">
        <v>37</v>
      </c>
      <c r="I255" s="5">
        <v>44621</v>
      </c>
      <c r="J255" s="6">
        <v>0</v>
      </c>
      <c r="K255" s="6">
        <v>0</v>
      </c>
      <c r="L255" s="6">
        <v>7.0819999999999999</v>
      </c>
      <c r="M255" s="6">
        <v>7.0819999999999999</v>
      </c>
      <c r="N255" s="6">
        <v>7.0819999999999999</v>
      </c>
      <c r="O255" s="6">
        <v>7.0819999999999999</v>
      </c>
      <c r="P255" s="6">
        <v>0</v>
      </c>
      <c r="Q255" s="4" t="s">
        <v>26</v>
      </c>
      <c r="R255" s="4">
        <v>0</v>
      </c>
      <c r="S255" s="4" t="s">
        <v>204</v>
      </c>
      <c r="T255" s="4" t="s">
        <v>365</v>
      </c>
      <c r="U255" s="4">
        <v>0</v>
      </c>
      <c r="V255" s="4">
        <v>45</v>
      </c>
      <c r="W255" s="4">
        <v>83</v>
      </c>
    </row>
    <row r="256" spans="1:23" ht="11.25" customHeight="1" x14ac:dyDescent="0.25">
      <c r="A256" s="4" t="s">
        <v>21</v>
      </c>
      <c r="B256" s="4" t="s">
        <v>32</v>
      </c>
      <c r="C256" s="4" t="s">
        <v>38</v>
      </c>
      <c r="D256" s="4" t="s">
        <v>43</v>
      </c>
      <c r="E256" s="4" t="s">
        <v>25</v>
      </c>
      <c r="F256" s="4" t="s">
        <v>25</v>
      </c>
      <c r="G256" s="4" t="s">
        <v>25</v>
      </c>
      <c r="H256" s="4" t="s">
        <v>37</v>
      </c>
      <c r="I256" s="5">
        <v>44652</v>
      </c>
      <c r="J256" s="6">
        <v>0</v>
      </c>
      <c r="K256" s="6">
        <v>0</v>
      </c>
      <c r="L256" s="6">
        <v>7.0330000000000004</v>
      </c>
      <c r="M256" s="6">
        <v>7.0330000000000004</v>
      </c>
      <c r="N256" s="6">
        <v>7.0330000000000004</v>
      </c>
      <c r="O256" s="6">
        <v>7.0330000000000004</v>
      </c>
      <c r="P256" s="6">
        <v>0</v>
      </c>
      <c r="Q256" s="4" t="s">
        <v>26</v>
      </c>
      <c r="R256" s="4">
        <v>0</v>
      </c>
      <c r="S256" s="4" t="s">
        <v>205</v>
      </c>
      <c r="T256" s="4" t="s">
        <v>366</v>
      </c>
      <c r="U256" s="4">
        <v>0</v>
      </c>
      <c r="V256" s="4">
        <v>45</v>
      </c>
      <c r="W256" s="4">
        <v>83</v>
      </c>
    </row>
    <row r="257" spans="1:23" ht="11.25" customHeight="1" x14ac:dyDescent="0.25">
      <c r="A257" s="4" t="s">
        <v>21</v>
      </c>
      <c r="B257" s="4" t="s">
        <v>32</v>
      </c>
      <c r="C257" s="4" t="s">
        <v>38</v>
      </c>
      <c r="D257" s="4" t="s">
        <v>43</v>
      </c>
      <c r="E257" s="4" t="s">
        <v>25</v>
      </c>
      <c r="F257" s="4" t="s">
        <v>25</v>
      </c>
      <c r="G257" s="4" t="s">
        <v>25</v>
      </c>
      <c r="H257" s="4" t="s">
        <v>37</v>
      </c>
      <c r="I257" s="5">
        <v>44682</v>
      </c>
      <c r="J257" s="6">
        <v>0</v>
      </c>
      <c r="K257" s="6">
        <v>0</v>
      </c>
      <c r="L257" s="6">
        <v>5.6379999999999999</v>
      </c>
      <c r="M257" s="6">
        <v>5.6379999999999999</v>
      </c>
      <c r="N257" s="6">
        <v>5.6379999999999999</v>
      </c>
      <c r="O257" s="6">
        <v>5.6379999999999999</v>
      </c>
      <c r="P257" s="6">
        <v>0</v>
      </c>
      <c r="Q257" s="4" t="s">
        <v>26</v>
      </c>
      <c r="R257" s="4">
        <v>0</v>
      </c>
      <c r="S257" s="4" t="s">
        <v>206</v>
      </c>
      <c r="T257" s="4" t="s">
        <v>367</v>
      </c>
      <c r="U257" s="4">
        <v>0</v>
      </c>
      <c r="V257" s="4">
        <v>45</v>
      </c>
      <c r="W257" s="4">
        <v>83</v>
      </c>
    </row>
    <row r="258" spans="1:23" ht="11.25" customHeight="1" x14ac:dyDescent="0.25">
      <c r="A258" s="4" t="s">
        <v>21</v>
      </c>
      <c r="B258" s="4" t="s">
        <v>32</v>
      </c>
      <c r="C258" s="4" t="s">
        <v>38</v>
      </c>
      <c r="D258" s="4" t="s">
        <v>43</v>
      </c>
      <c r="E258" s="4" t="s">
        <v>25</v>
      </c>
      <c r="F258" s="4" t="s">
        <v>25</v>
      </c>
      <c r="G258" s="4" t="s">
        <v>25</v>
      </c>
      <c r="H258" s="4" t="s">
        <v>37</v>
      </c>
      <c r="I258" s="5">
        <v>44713</v>
      </c>
      <c r="J258" s="6">
        <v>0</v>
      </c>
      <c r="K258" s="6">
        <v>0</v>
      </c>
      <c r="L258" s="6">
        <v>4.3520000000000003</v>
      </c>
      <c r="M258" s="6">
        <v>4.3520000000000003</v>
      </c>
      <c r="N258" s="6">
        <v>4.3520000000000003</v>
      </c>
      <c r="O258" s="6">
        <v>4.3520000000000003</v>
      </c>
      <c r="P258" s="6">
        <v>0</v>
      </c>
      <c r="Q258" s="4" t="s">
        <v>26</v>
      </c>
      <c r="R258" s="4">
        <v>0</v>
      </c>
      <c r="S258" s="4" t="s">
        <v>207</v>
      </c>
      <c r="T258" s="4" t="s">
        <v>368</v>
      </c>
      <c r="U258" s="4">
        <v>0</v>
      </c>
      <c r="V258" s="4">
        <v>45</v>
      </c>
      <c r="W258" s="4">
        <v>83</v>
      </c>
    </row>
    <row r="259" spans="1:23" ht="11.25" customHeight="1" x14ac:dyDescent="0.25">
      <c r="A259" s="4" t="s">
        <v>21</v>
      </c>
      <c r="B259" s="4" t="s">
        <v>32</v>
      </c>
      <c r="C259" s="4" t="s">
        <v>38</v>
      </c>
      <c r="D259" s="4" t="s">
        <v>43</v>
      </c>
      <c r="E259" s="4" t="s">
        <v>25</v>
      </c>
      <c r="F259" s="4" t="s">
        <v>25</v>
      </c>
      <c r="G259" s="4" t="s">
        <v>25</v>
      </c>
      <c r="H259" s="4" t="s">
        <v>37</v>
      </c>
      <c r="I259" s="5">
        <v>44743</v>
      </c>
      <c r="J259" s="6">
        <v>0</v>
      </c>
      <c r="K259" s="6">
        <v>0</v>
      </c>
      <c r="L259" s="6">
        <v>3.7970000000000002</v>
      </c>
      <c r="M259" s="6">
        <v>3.7970000000000002</v>
      </c>
      <c r="N259" s="6">
        <v>3.7970000000000002</v>
      </c>
      <c r="O259" s="6">
        <v>3.7970000000000002</v>
      </c>
      <c r="P259" s="6">
        <v>0</v>
      </c>
      <c r="Q259" s="4" t="s">
        <v>26</v>
      </c>
      <c r="R259" s="4">
        <v>0</v>
      </c>
      <c r="S259" s="4" t="s">
        <v>208</v>
      </c>
      <c r="T259" s="4" t="s">
        <v>369</v>
      </c>
      <c r="U259" s="4">
        <v>0</v>
      </c>
      <c r="V259" s="4">
        <v>45</v>
      </c>
      <c r="W259" s="4">
        <v>83</v>
      </c>
    </row>
    <row r="260" spans="1:23" ht="11.25" customHeight="1" x14ac:dyDescent="0.25">
      <c r="A260" s="4" t="s">
        <v>21</v>
      </c>
      <c r="B260" s="4" t="s">
        <v>32</v>
      </c>
      <c r="C260" s="4" t="s">
        <v>38</v>
      </c>
      <c r="D260" s="4" t="s">
        <v>43</v>
      </c>
      <c r="E260" s="4" t="s">
        <v>25</v>
      </c>
      <c r="F260" s="4" t="s">
        <v>25</v>
      </c>
      <c r="G260" s="4" t="s">
        <v>25</v>
      </c>
      <c r="H260" s="4" t="s">
        <v>39</v>
      </c>
      <c r="I260" s="5">
        <v>44409</v>
      </c>
      <c r="J260" s="6">
        <v>0</v>
      </c>
      <c r="K260" s="6">
        <v>0</v>
      </c>
      <c r="L260" s="6">
        <v>0.29099999999999998</v>
      </c>
      <c r="M260" s="6">
        <v>0.29099999999999998</v>
      </c>
      <c r="N260" s="6">
        <v>0.29099999999999998</v>
      </c>
      <c r="O260" s="6">
        <v>0.29099999999999998</v>
      </c>
      <c r="P260" s="6">
        <v>0</v>
      </c>
      <c r="Q260" s="4" t="s">
        <v>26</v>
      </c>
      <c r="R260" s="4">
        <v>0</v>
      </c>
      <c r="S260" s="4" t="s">
        <v>209</v>
      </c>
      <c r="T260" s="4" t="s">
        <v>370</v>
      </c>
      <c r="U260" s="4">
        <v>0</v>
      </c>
      <c r="V260" s="4">
        <v>44</v>
      </c>
      <c r="W260" s="4">
        <v>82</v>
      </c>
    </row>
    <row r="261" spans="1:23" ht="11.25" customHeight="1" x14ac:dyDescent="0.25">
      <c r="A261" s="4" t="s">
        <v>21</v>
      </c>
      <c r="B261" s="4" t="s">
        <v>32</v>
      </c>
      <c r="C261" s="4" t="s">
        <v>38</v>
      </c>
      <c r="D261" s="4" t="s">
        <v>43</v>
      </c>
      <c r="E261" s="4" t="s">
        <v>25</v>
      </c>
      <c r="F261" s="4" t="s">
        <v>25</v>
      </c>
      <c r="G261" s="4" t="s">
        <v>25</v>
      </c>
      <c r="H261" s="4" t="s">
        <v>39</v>
      </c>
      <c r="I261" s="5">
        <v>44440</v>
      </c>
      <c r="J261" s="6">
        <v>0</v>
      </c>
      <c r="K261" s="6">
        <v>0</v>
      </c>
      <c r="L261" s="6">
        <v>0.27700000000000002</v>
      </c>
      <c r="M261" s="6">
        <v>0.27700000000000002</v>
      </c>
      <c r="N261" s="6">
        <v>0.27700000000000002</v>
      </c>
      <c r="O261" s="6">
        <v>0.27700000000000002</v>
      </c>
      <c r="P261" s="6">
        <v>0</v>
      </c>
      <c r="Q261" s="4" t="s">
        <v>26</v>
      </c>
      <c r="R261" s="4">
        <v>0</v>
      </c>
      <c r="S261" s="4" t="s">
        <v>210</v>
      </c>
      <c r="T261" s="4" t="s">
        <v>371</v>
      </c>
      <c r="U261" s="4">
        <v>0</v>
      </c>
      <c r="V261" s="4">
        <v>44</v>
      </c>
      <c r="W261" s="4">
        <v>82</v>
      </c>
    </row>
    <row r="262" spans="1:23" ht="11.25" customHeight="1" x14ac:dyDescent="0.25">
      <c r="A262" s="4" t="s">
        <v>21</v>
      </c>
      <c r="B262" s="4" t="s">
        <v>32</v>
      </c>
      <c r="C262" s="4" t="s">
        <v>38</v>
      </c>
      <c r="D262" s="4" t="s">
        <v>43</v>
      </c>
      <c r="E262" s="4" t="s">
        <v>25</v>
      </c>
      <c r="F262" s="4" t="s">
        <v>25</v>
      </c>
      <c r="G262" s="4" t="s">
        <v>25</v>
      </c>
      <c r="H262" s="4" t="s">
        <v>39</v>
      </c>
      <c r="I262" s="5">
        <v>44470</v>
      </c>
      <c r="J262" s="6">
        <v>0</v>
      </c>
      <c r="K262" s="6">
        <v>0</v>
      </c>
      <c r="L262" s="6">
        <v>0.24399999999999999</v>
      </c>
      <c r="M262" s="6">
        <v>0.24399999999999999</v>
      </c>
      <c r="N262" s="6">
        <v>0.24399999999999999</v>
      </c>
      <c r="O262" s="6">
        <v>0.24399999999999999</v>
      </c>
      <c r="P262" s="6">
        <v>0</v>
      </c>
      <c r="Q262" s="4" t="s">
        <v>26</v>
      </c>
      <c r="R262" s="4">
        <v>0</v>
      </c>
      <c r="S262" s="4" t="s">
        <v>211</v>
      </c>
      <c r="T262" s="4" t="s">
        <v>372</v>
      </c>
      <c r="U262" s="4">
        <v>0</v>
      </c>
      <c r="V262" s="4">
        <v>44</v>
      </c>
      <c r="W262" s="4">
        <v>82</v>
      </c>
    </row>
    <row r="263" spans="1:23" ht="11.25" customHeight="1" x14ac:dyDescent="0.25">
      <c r="A263" s="4" t="s">
        <v>21</v>
      </c>
      <c r="B263" s="4" t="s">
        <v>32</v>
      </c>
      <c r="C263" s="4" t="s">
        <v>38</v>
      </c>
      <c r="D263" s="4" t="s">
        <v>43</v>
      </c>
      <c r="E263" s="4" t="s">
        <v>25</v>
      </c>
      <c r="F263" s="4" t="s">
        <v>25</v>
      </c>
      <c r="G263" s="4" t="s">
        <v>25</v>
      </c>
      <c r="H263" s="4" t="s">
        <v>39</v>
      </c>
      <c r="I263" s="5">
        <v>44501</v>
      </c>
      <c r="J263" s="6">
        <v>0</v>
      </c>
      <c r="K263" s="6">
        <v>0</v>
      </c>
      <c r="L263" s="6">
        <v>0.24399999999999999</v>
      </c>
      <c r="M263" s="6">
        <v>0.24399999999999999</v>
      </c>
      <c r="N263" s="6">
        <v>0.24399999999999999</v>
      </c>
      <c r="O263" s="6">
        <v>0.24399999999999999</v>
      </c>
      <c r="P263" s="6">
        <v>0</v>
      </c>
      <c r="Q263" s="4" t="s">
        <v>26</v>
      </c>
      <c r="R263" s="4">
        <v>0</v>
      </c>
      <c r="S263" s="4" t="s">
        <v>212</v>
      </c>
      <c r="T263" s="4" t="s">
        <v>373</v>
      </c>
      <c r="U263" s="4">
        <v>0</v>
      </c>
      <c r="V263" s="4">
        <v>44</v>
      </c>
      <c r="W263" s="4">
        <v>82</v>
      </c>
    </row>
    <row r="264" spans="1:23" ht="11.25" customHeight="1" x14ac:dyDescent="0.25">
      <c r="A264" s="4" t="s">
        <v>21</v>
      </c>
      <c r="B264" s="4" t="s">
        <v>32</v>
      </c>
      <c r="C264" s="4" t="s">
        <v>38</v>
      </c>
      <c r="D264" s="4" t="s">
        <v>43</v>
      </c>
      <c r="E264" s="4" t="s">
        <v>25</v>
      </c>
      <c r="F264" s="4" t="s">
        <v>25</v>
      </c>
      <c r="G264" s="4" t="s">
        <v>25</v>
      </c>
      <c r="H264" s="4" t="s">
        <v>39</v>
      </c>
      <c r="I264" s="5">
        <v>44531</v>
      </c>
      <c r="J264" s="6">
        <v>0</v>
      </c>
      <c r="K264" s="6">
        <v>0</v>
      </c>
      <c r="L264" s="6">
        <v>0.34499999999999997</v>
      </c>
      <c r="M264" s="6">
        <v>0.34499999999999997</v>
      </c>
      <c r="N264" s="6">
        <v>0.34499999999999997</v>
      </c>
      <c r="O264" s="6">
        <v>0.34499999999999997</v>
      </c>
      <c r="P264" s="6">
        <v>0</v>
      </c>
      <c r="Q264" s="4" t="s">
        <v>26</v>
      </c>
      <c r="R264" s="4">
        <v>0</v>
      </c>
      <c r="S264" s="4" t="s">
        <v>213</v>
      </c>
      <c r="T264" s="4" t="s">
        <v>374</v>
      </c>
      <c r="U264" s="4">
        <v>0</v>
      </c>
      <c r="V264" s="4">
        <v>44</v>
      </c>
      <c r="W264" s="4">
        <v>82</v>
      </c>
    </row>
    <row r="265" spans="1:23" ht="11.25" customHeight="1" x14ac:dyDescent="0.25">
      <c r="A265" s="4" t="s">
        <v>21</v>
      </c>
      <c r="B265" s="4" t="s">
        <v>32</v>
      </c>
      <c r="C265" s="4" t="s">
        <v>38</v>
      </c>
      <c r="D265" s="4" t="s">
        <v>43</v>
      </c>
      <c r="E265" s="4" t="s">
        <v>25</v>
      </c>
      <c r="F265" s="4" t="s">
        <v>25</v>
      </c>
      <c r="G265" s="4" t="s">
        <v>25</v>
      </c>
      <c r="H265" s="4" t="s">
        <v>39</v>
      </c>
      <c r="I265" s="5">
        <v>44562</v>
      </c>
      <c r="J265" s="6">
        <v>0</v>
      </c>
      <c r="K265" s="6">
        <v>0</v>
      </c>
      <c r="L265" s="6">
        <v>0.44700000000000001</v>
      </c>
      <c r="M265" s="6">
        <v>0.44700000000000001</v>
      </c>
      <c r="N265" s="6">
        <v>0.44700000000000001</v>
      </c>
      <c r="O265" s="6">
        <v>0.44700000000000001</v>
      </c>
      <c r="P265" s="6">
        <v>0</v>
      </c>
      <c r="Q265" s="4" t="s">
        <v>26</v>
      </c>
      <c r="R265" s="4">
        <v>0</v>
      </c>
      <c r="S265" s="4" t="s">
        <v>214</v>
      </c>
      <c r="T265" s="4" t="s">
        <v>375</v>
      </c>
      <c r="U265" s="4">
        <v>0</v>
      </c>
      <c r="V265" s="4">
        <v>44</v>
      </c>
      <c r="W265" s="4">
        <v>82</v>
      </c>
    </row>
    <row r="266" spans="1:23" ht="11.25" customHeight="1" x14ac:dyDescent="0.25">
      <c r="A266" s="4" t="s">
        <v>21</v>
      </c>
      <c r="B266" s="4" t="s">
        <v>32</v>
      </c>
      <c r="C266" s="4" t="s">
        <v>38</v>
      </c>
      <c r="D266" s="4" t="s">
        <v>43</v>
      </c>
      <c r="E266" s="4" t="s">
        <v>25</v>
      </c>
      <c r="F266" s="4" t="s">
        <v>25</v>
      </c>
      <c r="G266" s="4" t="s">
        <v>25</v>
      </c>
      <c r="H266" s="4" t="s">
        <v>39</v>
      </c>
      <c r="I266" s="5">
        <v>44593</v>
      </c>
      <c r="J266" s="6">
        <v>0</v>
      </c>
      <c r="K266" s="6">
        <v>0</v>
      </c>
      <c r="L266" s="6">
        <v>0.55300000000000005</v>
      </c>
      <c r="M266" s="6">
        <v>0.55300000000000005</v>
      </c>
      <c r="N266" s="6">
        <v>0.55300000000000005</v>
      </c>
      <c r="O266" s="6">
        <v>0.55300000000000005</v>
      </c>
      <c r="P266" s="6">
        <v>0</v>
      </c>
      <c r="Q266" s="4" t="s">
        <v>26</v>
      </c>
      <c r="R266" s="4">
        <v>0</v>
      </c>
      <c r="S266" s="4" t="s">
        <v>215</v>
      </c>
      <c r="T266" s="4" t="s">
        <v>376</v>
      </c>
      <c r="U266" s="4">
        <v>0</v>
      </c>
      <c r="V266" s="4">
        <v>44</v>
      </c>
      <c r="W266" s="4">
        <v>82</v>
      </c>
    </row>
    <row r="267" spans="1:23" ht="11.25" customHeight="1" x14ac:dyDescent="0.25">
      <c r="A267" s="4" t="s">
        <v>21</v>
      </c>
      <c r="B267" s="4" t="s">
        <v>32</v>
      </c>
      <c r="C267" s="4" t="s">
        <v>38</v>
      </c>
      <c r="D267" s="4" t="s">
        <v>43</v>
      </c>
      <c r="E267" s="4" t="s">
        <v>25</v>
      </c>
      <c r="F267" s="4" t="s">
        <v>25</v>
      </c>
      <c r="G267" s="4" t="s">
        <v>25</v>
      </c>
      <c r="H267" s="4" t="s">
        <v>39</v>
      </c>
      <c r="I267" s="5">
        <v>44621</v>
      </c>
      <c r="J267" s="6">
        <v>0</v>
      </c>
      <c r="K267" s="6">
        <v>0</v>
      </c>
      <c r="L267" s="6">
        <v>0.23799999999999999</v>
      </c>
      <c r="M267" s="6">
        <v>0.23799999999999999</v>
      </c>
      <c r="N267" s="6">
        <v>0.23799999999999999</v>
      </c>
      <c r="O267" s="6">
        <v>0.23799999999999999</v>
      </c>
      <c r="P267" s="6">
        <v>0</v>
      </c>
      <c r="Q267" s="4" t="s">
        <v>26</v>
      </c>
      <c r="R267" s="4">
        <v>0</v>
      </c>
      <c r="S267" s="4" t="s">
        <v>216</v>
      </c>
      <c r="T267" s="4" t="s">
        <v>377</v>
      </c>
      <c r="U267" s="4">
        <v>0</v>
      </c>
      <c r="V267" s="4">
        <v>44</v>
      </c>
      <c r="W267" s="4">
        <v>82</v>
      </c>
    </row>
    <row r="268" spans="1:23" ht="11.25" customHeight="1" x14ac:dyDescent="0.25">
      <c r="A268" s="4" t="s">
        <v>21</v>
      </c>
      <c r="B268" s="4" t="s">
        <v>32</v>
      </c>
      <c r="C268" s="4" t="s">
        <v>38</v>
      </c>
      <c r="D268" s="4" t="s">
        <v>43</v>
      </c>
      <c r="E268" s="4" t="s">
        <v>25</v>
      </c>
      <c r="F268" s="4" t="s">
        <v>25</v>
      </c>
      <c r="G268" s="4" t="s">
        <v>25</v>
      </c>
      <c r="H268" s="4" t="s">
        <v>39</v>
      </c>
      <c r="I268" s="5">
        <v>44652</v>
      </c>
      <c r="J268" s="6">
        <v>0</v>
      </c>
      <c r="K268" s="6">
        <v>0</v>
      </c>
      <c r="L268" s="6">
        <v>0.3</v>
      </c>
      <c r="M268" s="6">
        <v>0.3</v>
      </c>
      <c r="N268" s="6">
        <v>0.3</v>
      </c>
      <c r="O268" s="6">
        <v>0.3</v>
      </c>
      <c r="P268" s="6">
        <v>0</v>
      </c>
      <c r="Q268" s="4" t="s">
        <v>26</v>
      </c>
      <c r="R268" s="4">
        <v>0</v>
      </c>
      <c r="S268" s="4" t="s">
        <v>217</v>
      </c>
      <c r="T268" s="4" t="s">
        <v>378</v>
      </c>
      <c r="U268" s="4">
        <v>0</v>
      </c>
      <c r="V268" s="4">
        <v>44</v>
      </c>
      <c r="W268" s="4">
        <v>82</v>
      </c>
    </row>
    <row r="269" spans="1:23" ht="11.25" customHeight="1" x14ac:dyDescent="0.25">
      <c r="A269" s="4" t="s">
        <v>21</v>
      </c>
      <c r="B269" s="4" t="s">
        <v>32</v>
      </c>
      <c r="C269" s="4" t="s">
        <v>38</v>
      </c>
      <c r="D269" s="4" t="s">
        <v>43</v>
      </c>
      <c r="E269" s="4" t="s">
        <v>25</v>
      </c>
      <c r="F269" s="4" t="s">
        <v>25</v>
      </c>
      <c r="G269" s="4" t="s">
        <v>25</v>
      </c>
      <c r="H269" s="4" t="s">
        <v>39</v>
      </c>
      <c r="I269" s="5">
        <v>44682</v>
      </c>
      <c r="J269" s="6">
        <v>0</v>
      </c>
      <c r="K269" s="6">
        <v>0</v>
      </c>
      <c r="L269" s="6">
        <v>0.19800000000000001</v>
      </c>
      <c r="M269" s="6">
        <v>0.19800000000000001</v>
      </c>
      <c r="N269" s="6">
        <v>0.19800000000000001</v>
      </c>
      <c r="O269" s="6">
        <v>0.19800000000000001</v>
      </c>
      <c r="P269" s="6">
        <v>0</v>
      </c>
      <c r="Q269" s="4" t="s">
        <v>26</v>
      </c>
      <c r="R269" s="4">
        <v>0</v>
      </c>
      <c r="S269" s="4" t="s">
        <v>218</v>
      </c>
      <c r="T269" s="4" t="s">
        <v>379</v>
      </c>
      <c r="U269" s="4">
        <v>0</v>
      </c>
      <c r="V269" s="4">
        <v>44</v>
      </c>
      <c r="W269" s="4">
        <v>82</v>
      </c>
    </row>
    <row r="270" spans="1:23" ht="11.25" customHeight="1" x14ac:dyDescent="0.25">
      <c r="A270" s="4" t="s">
        <v>21</v>
      </c>
      <c r="B270" s="4" t="s">
        <v>32</v>
      </c>
      <c r="C270" s="4" t="s">
        <v>38</v>
      </c>
      <c r="D270" s="4" t="s">
        <v>43</v>
      </c>
      <c r="E270" s="4" t="s">
        <v>25</v>
      </c>
      <c r="F270" s="4" t="s">
        <v>25</v>
      </c>
      <c r="G270" s="4" t="s">
        <v>25</v>
      </c>
      <c r="H270" s="4" t="s">
        <v>39</v>
      </c>
      <c r="I270" s="5">
        <v>44713</v>
      </c>
      <c r="J270" s="6">
        <v>0</v>
      </c>
      <c r="K270" s="6">
        <v>0</v>
      </c>
      <c r="L270" s="6">
        <v>0.19600000000000001</v>
      </c>
      <c r="M270" s="6">
        <v>0.19600000000000001</v>
      </c>
      <c r="N270" s="6">
        <v>0.19600000000000001</v>
      </c>
      <c r="O270" s="6">
        <v>0.19600000000000001</v>
      </c>
      <c r="P270" s="6">
        <v>0</v>
      </c>
      <c r="Q270" s="4" t="s">
        <v>26</v>
      </c>
      <c r="R270" s="4">
        <v>0</v>
      </c>
      <c r="S270" s="4" t="s">
        <v>219</v>
      </c>
      <c r="T270" s="4" t="s">
        <v>380</v>
      </c>
      <c r="U270" s="4">
        <v>0</v>
      </c>
      <c r="V270" s="4">
        <v>44</v>
      </c>
      <c r="W270" s="4">
        <v>82</v>
      </c>
    </row>
    <row r="271" spans="1:23" ht="11.25" customHeight="1" x14ac:dyDescent="0.25">
      <c r="A271" s="4" t="s">
        <v>21</v>
      </c>
      <c r="B271" s="4" t="s">
        <v>32</v>
      </c>
      <c r="C271" s="4" t="s">
        <v>38</v>
      </c>
      <c r="D271" s="4" t="s">
        <v>43</v>
      </c>
      <c r="E271" s="4" t="s">
        <v>25</v>
      </c>
      <c r="F271" s="4" t="s">
        <v>25</v>
      </c>
      <c r="G271" s="4" t="s">
        <v>25</v>
      </c>
      <c r="H271" s="4" t="s">
        <v>39</v>
      </c>
      <c r="I271" s="5">
        <v>44743</v>
      </c>
      <c r="J271" s="6">
        <v>0</v>
      </c>
      <c r="K271" s="6">
        <v>0</v>
      </c>
      <c r="L271" s="6">
        <v>0.19600000000000001</v>
      </c>
      <c r="M271" s="6">
        <v>0.19600000000000001</v>
      </c>
      <c r="N271" s="6">
        <v>0.19600000000000001</v>
      </c>
      <c r="O271" s="6">
        <v>0.19600000000000001</v>
      </c>
      <c r="P271" s="6">
        <v>0</v>
      </c>
      <c r="Q271" s="4" t="s">
        <v>26</v>
      </c>
      <c r="R271" s="4">
        <v>0</v>
      </c>
      <c r="S271" s="4" t="s">
        <v>220</v>
      </c>
      <c r="T271" s="4" t="s">
        <v>381</v>
      </c>
      <c r="U271" s="4">
        <v>0</v>
      </c>
      <c r="V271" s="4">
        <v>44</v>
      </c>
      <c r="W271" s="4">
        <v>82</v>
      </c>
    </row>
    <row r="272" spans="1:23" ht="11.25" customHeight="1" x14ac:dyDescent="0.25">
      <c r="A272" s="4" t="s">
        <v>21</v>
      </c>
      <c r="B272" s="4" t="s">
        <v>32</v>
      </c>
      <c r="C272" s="4" t="s">
        <v>38</v>
      </c>
      <c r="D272" s="4" t="s">
        <v>43</v>
      </c>
      <c r="E272" s="4" t="s">
        <v>25</v>
      </c>
      <c r="F272" s="4" t="s">
        <v>25</v>
      </c>
      <c r="G272" s="4" t="s">
        <v>25</v>
      </c>
      <c r="H272" s="4" t="s">
        <v>36</v>
      </c>
      <c r="I272" s="5">
        <v>44409</v>
      </c>
      <c r="J272" s="6">
        <v>0</v>
      </c>
      <c r="K272" s="6">
        <v>0</v>
      </c>
      <c r="L272" s="6">
        <v>0.38200000000000001</v>
      </c>
      <c r="M272" s="6">
        <v>0.38200000000000001</v>
      </c>
      <c r="N272" s="6">
        <v>0.38200000000000001</v>
      </c>
      <c r="O272" s="6">
        <v>0.38200000000000001</v>
      </c>
      <c r="P272" s="6">
        <v>0</v>
      </c>
      <c r="Q272" s="4" t="s">
        <v>26</v>
      </c>
      <c r="R272" s="4">
        <v>0</v>
      </c>
      <c r="S272" s="4" t="s">
        <v>221</v>
      </c>
      <c r="T272" s="4" t="s">
        <v>382</v>
      </c>
      <c r="U272" s="4">
        <v>0</v>
      </c>
      <c r="V272" s="4">
        <v>43</v>
      </c>
      <c r="W272" s="4">
        <v>81</v>
      </c>
    </row>
    <row r="273" spans="1:23" ht="11.25" customHeight="1" x14ac:dyDescent="0.25">
      <c r="A273" s="4" t="s">
        <v>21</v>
      </c>
      <c r="B273" s="4" t="s">
        <v>32</v>
      </c>
      <c r="C273" s="4" t="s">
        <v>38</v>
      </c>
      <c r="D273" s="4" t="s">
        <v>43</v>
      </c>
      <c r="E273" s="4" t="s">
        <v>25</v>
      </c>
      <c r="F273" s="4" t="s">
        <v>25</v>
      </c>
      <c r="G273" s="4" t="s">
        <v>25</v>
      </c>
      <c r="H273" s="4" t="s">
        <v>36</v>
      </c>
      <c r="I273" s="5">
        <v>44440</v>
      </c>
      <c r="J273" s="6">
        <v>0</v>
      </c>
      <c r="K273" s="6">
        <v>0</v>
      </c>
      <c r="L273" s="6">
        <v>0.38300000000000001</v>
      </c>
      <c r="M273" s="6">
        <v>0.38300000000000001</v>
      </c>
      <c r="N273" s="6">
        <v>0.38300000000000001</v>
      </c>
      <c r="O273" s="6">
        <v>0.38300000000000001</v>
      </c>
      <c r="P273" s="6">
        <v>0</v>
      </c>
      <c r="Q273" s="4" t="s">
        <v>26</v>
      </c>
      <c r="R273" s="4">
        <v>0</v>
      </c>
      <c r="S273" s="4" t="s">
        <v>222</v>
      </c>
      <c r="T273" s="4" t="s">
        <v>383</v>
      </c>
      <c r="U273" s="4">
        <v>0</v>
      </c>
      <c r="V273" s="4">
        <v>43</v>
      </c>
      <c r="W273" s="4">
        <v>81</v>
      </c>
    </row>
    <row r="274" spans="1:23" ht="11.25" customHeight="1" x14ac:dyDescent="0.25">
      <c r="A274" s="4" t="s">
        <v>21</v>
      </c>
      <c r="B274" s="4" t="s">
        <v>32</v>
      </c>
      <c r="C274" s="4" t="s">
        <v>38</v>
      </c>
      <c r="D274" s="4" t="s">
        <v>43</v>
      </c>
      <c r="E274" s="4" t="s">
        <v>25</v>
      </c>
      <c r="F274" s="4" t="s">
        <v>25</v>
      </c>
      <c r="G274" s="4" t="s">
        <v>25</v>
      </c>
      <c r="H274" s="4" t="s">
        <v>36</v>
      </c>
      <c r="I274" s="5">
        <v>44470</v>
      </c>
      <c r="J274" s="6">
        <v>0</v>
      </c>
      <c r="K274" s="6">
        <v>0</v>
      </c>
      <c r="L274" s="6">
        <v>0.33900000000000002</v>
      </c>
      <c r="M274" s="6">
        <v>0.33900000000000002</v>
      </c>
      <c r="N274" s="6">
        <v>0.33900000000000002</v>
      </c>
      <c r="O274" s="6">
        <v>0.33900000000000002</v>
      </c>
      <c r="P274" s="6">
        <v>0</v>
      </c>
      <c r="Q274" s="4" t="s">
        <v>26</v>
      </c>
      <c r="R274" s="4">
        <v>0</v>
      </c>
      <c r="S274" s="4" t="s">
        <v>223</v>
      </c>
      <c r="T274" s="4" t="s">
        <v>384</v>
      </c>
      <c r="U274" s="4">
        <v>0</v>
      </c>
      <c r="V274" s="4">
        <v>43</v>
      </c>
      <c r="W274" s="4">
        <v>81</v>
      </c>
    </row>
    <row r="275" spans="1:23" ht="11.25" customHeight="1" x14ac:dyDescent="0.25">
      <c r="A275" s="4" t="s">
        <v>21</v>
      </c>
      <c r="B275" s="4" t="s">
        <v>32</v>
      </c>
      <c r="C275" s="4" t="s">
        <v>38</v>
      </c>
      <c r="D275" s="4" t="s">
        <v>43</v>
      </c>
      <c r="E275" s="4" t="s">
        <v>25</v>
      </c>
      <c r="F275" s="4" t="s">
        <v>25</v>
      </c>
      <c r="G275" s="4" t="s">
        <v>25</v>
      </c>
      <c r="H275" s="4" t="s">
        <v>36</v>
      </c>
      <c r="I275" s="5">
        <v>44501</v>
      </c>
      <c r="J275" s="6">
        <v>0</v>
      </c>
      <c r="K275" s="6">
        <v>0</v>
      </c>
      <c r="L275" s="6">
        <v>0.33700000000000002</v>
      </c>
      <c r="M275" s="6">
        <v>0.33700000000000002</v>
      </c>
      <c r="N275" s="6">
        <v>0.33700000000000002</v>
      </c>
      <c r="O275" s="6">
        <v>0.33700000000000002</v>
      </c>
      <c r="P275" s="6">
        <v>0</v>
      </c>
      <c r="Q275" s="4" t="s">
        <v>26</v>
      </c>
      <c r="R275" s="4">
        <v>0</v>
      </c>
      <c r="S275" s="4" t="s">
        <v>224</v>
      </c>
      <c r="T275" s="4" t="s">
        <v>385</v>
      </c>
      <c r="U275" s="4">
        <v>0</v>
      </c>
      <c r="V275" s="4">
        <v>43</v>
      </c>
      <c r="W275" s="4">
        <v>81</v>
      </c>
    </row>
    <row r="276" spans="1:23" ht="11.25" customHeight="1" x14ac:dyDescent="0.25">
      <c r="A276" s="4" t="s">
        <v>21</v>
      </c>
      <c r="B276" s="4" t="s">
        <v>32</v>
      </c>
      <c r="C276" s="4" t="s">
        <v>38</v>
      </c>
      <c r="D276" s="4" t="s">
        <v>43</v>
      </c>
      <c r="E276" s="4" t="s">
        <v>25</v>
      </c>
      <c r="F276" s="4" t="s">
        <v>25</v>
      </c>
      <c r="G276" s="4" t="s">
        <v>25</v>
      </c>
      <c r="H276" s="4" t="s">
        <v>36</v>
      </c>
      <c r="I276" s="5">
        <v>44531</v>
      </c>
      <c r="J276" s="6">
        <v>0</v>
      </c>
      <c r="K276" s="6">
        <v>0</v>
      </c>
      <c r="L276" s="6">
        <v>0.32800000000000001</v>
      </c>
      <c r="M276" s="6">
        <v>0.32800000000000001</v>
      </c>
      <c r="N276" s="6">
        <v>0.32800000000000001</v>
      </c>
      <c r="O276" s="6">
        <v>0.32800000000000001</v>
      </c>
      <c r="P276" s="6">
        <v>0</v>
      </c>
      <c r="Q276" s="4" t="s">
        <v>26</v>
      </c>
      <c r="R276" s="4">
        <v>0</v>
      </c>
      <c r="S276" s="4" t="s">
        <v>225</v>
      </c>
      <c r="T276" s="4" t="s">
        <v>386</v>
      </c>
      <c r="U276" s="4">
        <v>0</v>
      </c>
      <c r="V276" s="4">
        <v>43</v>
      </c>
      <c r="W276" s="4">
        <v>81</v>
      </c>
    </row>
    <row r="277" spans="1:23" ht="11.25" customHeight="1" x14ac:dyDescent="0.25">
      <c r="A277" s="4" t="s">
        <v>21</v>
      </c>
      <c r="B277" s="4" t="s">
        <v>32</v>
      </c>
      <c r="C277" s="4" t="s">
        <v>38</v>
      </c>
      <c r="D277" s="4" t="s">
        <v>43</v>
      </c>
      <c r="E277" s="4" t="s">
        <v>25</v>
      </c>
      <c r="F277" s="4" t="s">
        <v>25</v>
      </c>
      <c r="G277" s="4" t="s">
        <v>25</v>
      </c>
      <c r="H277" s="4" t="s">
        <v>36</v>
      </c>
      <c r="I277" s="5">
        <v>44562</v>
      </c>
      <c r="J277" s="6">
        <v>0</v>
      </c>
      <c r="K277" s="6">
        <v>0</v>
      </c>
      <c r="L277" s="6">
        <v>0.36499999999999999</v>
      </c>
      <c r="M277" s="6">
        <v>0.36499999999999999</v>
      </c>
      <c r="N277" s="6">
        <v>0.36499999999999999</v>
      </c>
      <c r="O277" s="6">
        <v>0.36499999999999999</v>
      </c>
      <c r="P277" s="6">
        <v>0</v>
      </c>
      <c r="Q277" s="4" t="s">
        <v>26</v>
      </c>
      <c r="R277" s="4">
        <v>0</v>
      </c>
      <c r="S277" s="4" t="s">
        <v>226</v>
      </c>
      <c r="T277" s="4" t="s">
        <v>387</v>
      </c>
      <c r="U277" s="4">
        <v>0</v>
      </c>
      <c r="V277" s="4">
        <v>43</v>
      </c>
      <c r="W277" s="4">
        <v>81</v>
      </c>
    </row>
    <row r="278" spans="1:23" ht="11.25" customHeight="1" x14ac:dyDescent="0.25">
      <c r="A278" s="4" t="s">
        <v>21</v>
      </c>
      <c r="B278" s="4" t="s">
        <v>32</v>
      </c>
      <c r="C278" s="4" t="s">
        <v>38</v>
      </c>
      <c r="D278" s="4" t="s">
        <v>43</v>
      </c>
      <c r="E278" s="4" t="s">
        <v>25</v>
      </c>
      <c r="F278" s="4" t="s">
        <v>25</v>
      </c>
      <c r="G278" s="4" t="s">
        <v>25</v>
      </c>
      <c r="H278" s="4" t="s">
        <v>36</v>
      </c>
      <c r="I278" s="5">
        <v>44593</v>
      </c>
      <c r="J278" s="6">
        <v>0</v>
      </c>
      <c r="K278" s="6">
        <v>0</v>
      </c>
      <c r="L278" s="6">
        <v>0.48599999999999999</v>
      </c>
      <c r="M278" s="6">
        <v>0.48599999999999999</v>
      </c>
      <c r="N278" s="6">
        <v>0.48599999999999999</v>
      </c>
      <c r="O278" s="6">
        <v>0.48599999999999999</v>
      </c>
      <c r="P278" s="6">
        <v>0</v>
      </c>
      <c r="Q278" s="4" t="s">
        <v>26</v>
      </c>
      <c r="R278" s="4">
        <v>0</v>
      </c>
      <c r="S278" s="4" t="s">
        <v>227</v>
      </c>
      <c r="T278" s="4" t="s">
        <v>388</v>
      </c>
      <c r="U278" s="4">
        <v>0</v>
      </c>
      <c r="V278" s="4">
        <v>43</v>
      </c>
      <c r="W278" s="4">
        <v>81</v>
      </c>
    </row>
    <row r="279" spans="1:23" ht="11.25" customHeight="1" x14ac:dyDescent="0.25">
      <c r="A279" s="4" t="s">
        <v>21</v>
      </c>
      <c r="B279" s="4" t="s">
        <v>32</v>
      </c>
      <c r="C279" s="4" t="s">
        <v>38</v>
      </c>
      <c r="D279" s="4" t="s">
        <v>43</v>
      </c>
      <c r="E279" s="4" t="s">
        <v>25</v>
      </c>
      <c r="F279" s="4" t="s">
        <v>25</v>
      </c>
      <c r="G279" s="4" t="s">
        <v>25</v>
      </c>
      <c r="H279" s="4" t="s">
        <v>36</v>
      </c>
      <c r="I279" s="5">
        <v>44621</v>
      </c>
      <c r="J279" s="6">
        <v>0</v>
      </c>
      <c r="K279" s="6">
        <v>0</v>
      </c>
      <c r="L279" s="6">
        <v>0.35199999999999998</v>
      </c>
      <c r="M279" s="6">
        <v>0.35199999999999998</v>
      </c>
      <c r="N279" s="6">
        <v>0.35199999999999998</v>
      </c>
      <c r="O279" s="6">
        <v>0.35199999999999998</v>
      </c>
      <c r="P279" s="6">
        <v>0</v>
      </c>
      <c r="Q279" s="4" t="s">
        <v>26</v>
      </c>
      <c r="R279" s="4">
        <v>0</v>
      </c>
      <c r="S279" s="4" t="s">
        <v>228</v>
      </c>
      <c r="T279" s="4" t="s">
        <v>389</v>
      </c>
      <c r="U279" s="4">
        <v>0</v>
      </c>
      <c r="V279" s="4">
        <v>43</v>
      </c>
      <c r="W279" s="4">
        <v>81</v>
      </c>
    </row>
    <row r="280" spans="1:23" ht="11.25" customHeight="1" x14ac:dyDescent="0.25">
      <c r="A280" s="4" t="s">
        <v>21</v>
      </c>
      <c r="B280" s="4" t="s">
        <v>32</v>
      </c>
      <c r="C280" s="4" t="s">
        <v>38</v>
      </c>
      <c r="D280" s="4" t="s">
        <v>43</v>
      </c>
      <c r="E280" s="4" t="s">
        <v>25</v>
      </c>
      <c r="F280" s="4" t="s">
        <v>25</v>
      </c>
      <c r="G280" s="4" t="s">
        <v>25</v>
      </c>
      <c r="H280" s="4" t="s">
        <v>36</v>
      </c>
      <c r="I280" s="5">
        <v>44652</v>
      </c>
      <c r="J280" s="6">
        <v>0</v>
      </c>
      <c r="K280" s="6">
        <v>0</v>
      </c>
      <c r="L280" s="6">
        <v>0.42299999999999999</v>
      </c>
      <c r="M280" s="6">
        <v>0.42299999999999999</v>
      </c>
      <c r="N280" s="6">
        <v>0.42299999999999999</v>
      </c>
      <c r="O280" s="6">
        <v>0.42299999999999999</v>
      </c>
      <c r="P280" s="6">
        <v>0</v>
      </c>
      <c r="Q280" s="4" t="s">
        <v>26</v>
      </c>
      <c r="R280" s="4">
        <v>0</v>
      </c>
      <c r="S280" s="4" t="s">
        <v>229</v>
      </c>
      <c r="T280" s="4" t="s">
        <v>390</v>
      </c>
      <c r="U280" s="4">
        <v>0</v>
      </c>
      <c r="V280" s="4">
        <v>43</v>
      </c>
      <c r="W280" s="4">
        <v>81</v>
      </c>
    </row>
    <row r="281" spans="1:23" ht="11.25" customHeight="1" x14ac:dyDescent="0.25">
      <c r="A281" s="4" t="s">
        <v>21</v>
      </c>
      <c r="B281" s="4" t="s">
        <v>32</v>
      </c>
      <c r="C281" s="4" t="s">
        <v>38</v>
      </c>
      <c r="D281" s="4" t="s">
        <v>43</v>
      </c>
      <c r="E281" s="4" t="s">
        <v>25</v>
      </c>
      <c r="F281" s="4" t="s">
        <v>25</v>
      </c>
      <c r="G281" s="4" t="s">
        <v>25</v>
      </c>
      <c r="H281" s="4" t="s">
        <v>36</v>
      </c>
      <c r="I281" s="5">
        <v>44682</v>
      </c>
      <c r="J281" s="6">
        <v>0</v>
      </c>
      <c r="K281" s="6">
        <v>0</v>
      </c>
      <c r="L281" s="6">
        <v>0.29899999999999999</v>
      </c>
      <c r="M281" s="6">
        <v>0.29899999999999999</v>
      </c>
      <c r="N281" s="6">
        <v>0.29899999999999999</v>
      </c>
      <c r="O281" s="6">
        <v>0.29899999999999999</v>
      </c>
      <c r="P281" s="6">
        <v>0</v>
      </c>
      <c r="Q281" s="4" t="s">
        <v>26</v>
      </c>
      <c r="R281" s="4">
        <v>0</v>
      </c>
      <c r="S281" s="4" t="s">
        <v>230</v>
      </c>
      <c r="T281" s="4" t="s">
        <v>391</v>
      </c>
      <c r="U281" s="4">
        <v>0</v>
      </c>
      <c r="V281" s="4">
        <v>43</v>
      </c>
      <c r="W281" s="4">
        <v>81</v>
      </c>
    </row>
    <row r="282" spans="1:23" ht="11.25" customHeight="1" x14ac:dyDescent="0.25">
      <c r="A282" s="4" t="s">
        <v>21</v>
      </c>
      <c r="B282" s="4" t="s">
        <v>32</v>
      </c>
      <c r="C282" s="4" t="s">
        <v>38</v>
      </c>
      <c r="D282" s="4" t="s">
        <v>43</v>
      </c>
      <c r="E282" s="4" t="s">
        <v>25</v>
      </c>
      <c r="F282" s="4" t="s">
        <v>25</v>
      </c>
      <c r="G282" s="4" t="s">
        <v>25</v>
      </c>
      <c r="H282" s="4" t="s">
        <v>36</v>
      </c>
      <c r="I282" s="5">
        <v>44713</v>
      </c>
      <c r="J282" s="6">
        <v>0</v>
      </c>
      <c r="K282" s="6">
        <v>0</v>
      </c>
      <c r="L282" s="6">
        <v>0.29499999999999998</v>
      </c>
      <c r="M282" s="6">
        <v>0.29499999999999998</v>
      </c>
      <c r="N282" s="6">
        <v>0.29499999999999998</v>
      </c>
      <c r="O282" s="6">
        <v>0.29499999999999998</v>
      </c>
      <c r="P282" s="6">
        <v>0</v>
      </c>
      <c r="Q282" s="4" t="s">
        <v>26</v>
      </c>
      <c r="R282" s="4">
        <v>0</v>
      </c>
      <c r="S282" s="4" t="s">
        <v>231</v>
      </c>
      <c r="T282" s="4" t="s">
        <v>392</v>
      </c>
      <c r="U282" s="4">
        <v>0</v>
      </c>
      <c r="V282" s="4">
        <v>43</v>
      </c>
      <c r="W282" s="4">
        <v>81</v>
      </c>
    </row>
    <row r="283" spans="1:23" ht="11.25" customHeight="1" x14ac:dyDescent="0.25">
      <c r="A283" s="4" t="s">
        <v>21</v>
      </c>
      <c r="B283" s="4" t="s">
        <v>32</v>
      </c>
      <c r="C283" s="4" t="s">
        <v>38</v>
      </c>
      <c r="D283" s="4" t="s">
        <v>43</v>
      </c>
      <c r="E283" s="4" t="s">
        <v>25</v>
      </c>
      <c r="F283" s="4" t="s">
        <v>25</v>
      </c>
      <c r="G283" s="4" t="s">
        <v>25</v>
      </c>
      <c r="H283" s="4" t="s">
        <v>36</v>
      </c>
      <c r="I283" s="5">
        <v>44743</v>
      </c>
      <c r="J283" s="6">
        <v>0</v>
      </c>
      <c r="K283" s="6">
        <v>0</v>
      </c>
      <c r="L283" s="6">
        <v>0.30599999999999999</v>
      </c>
      <c r="M283" s="6">
        <v>0.30599999999999999</v>
      </c>
      <c r="N283" s="6">
        <v>0.30599999999999999</v>
      </c>
      <c r="O283" s="6">
        <v>0.30599999999999999</v>
      </c>
      <c r="P283" s="6">
        <v>0</v>
      </c>
      <c r="Q283" s="4" t="s">
        <v>26</v>
      </c>
      <c r="R283" s="4">
        <v>0</v>
      </c>
      <c r="S283" s="4" t="s">
        <v>232</v>
      </c>
      <c r="T283" s="4" t="s">
        <v>393</v>
      </c>
      <c r="U283" s="4">
        <v>0</v>
      </c>
      <c r="V283" s="4">
        <v>43</v>
      </c>
      <c r="W283" s="4">
        <v>81</v>
      </c>
    </row>
    <row r="284" spans="1:23" ht="11.25" customHeight="1" x14ac:dyDescent="0.25">
      <c r="A284" s="4" t="s">
        <v>21</v>
      </c>
      <c r="B284" s="4" t="s">
        <v>32</v>
      </c>
      <c r="C284" s="4" t="s">
        <v>23</v>
      </c>
      <c r="D284" s="4" t="s">
        <v>40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44409</v>
      </c>
      <c r="J284" s="6">
        <v>0</v>
      </c>
      <c r="K284" s="6">
        <v>0</v>
      </c>
      <c r="L284" s="6">
        <v>211.33699999999999</v>
      </c>
      <c r="M284" s="6">
        <v>211.33699999999999</v>
      </c>
      <c r="N284" s="6">
        <v>211.33699999999999</v>
      </c>
      <c r="O284" s="6">
        <v>211.33699999999999</v>
      </c>
      <c r="P284" s="6">
        <v>385</v>
      </c>
      <c r="Q284" s="4" t="s">
        <v>26</v>
      </c>
      <c r="R284" s="4">
        <v>0</v>
      </c>
      <c r="S284" s="4" t="s">
        <v>233</v>
      </c>
      <c r="T284" s="4" t="s">
        <v>394</v>
      </c>
      <c r="U284" s="4">
        <v>0</v>
      </c>
      <c r="V284" s="4">
        <v>46</v>
      </c>
      <c r="W284" s="4">
        <v>84</v>
      </c>
    </row>
    <row r="285" spans="1:23" ht="11.25" customHeight="1" x14ac:dyDescent="0.25">
      <c r="A285" s="4" t="s">
        <v>27</v>
      </c>
      <c r="B285" s="4" t="s">
        <v>32</v>
      </c>
      <c r="C285" s="4" t="s">
        <v>23</v>
      </c>
      <c r="D285" s="4" t="s">
        <v>40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44409</v>
      </c>
      <c r="J285" s="6">
        <v>0</v>
      </c>
      <c r="K285" s="6">
        <v>0</v>
      </c>
      <c r="L285" s="6">
        <v>2.0169999999999999</v>
      </c>
      <c r="M285" s="6">
        <v>2.0169999999999999</v>
      </c>
      <c r="N285" s="6">
        <v>2.0169999999999999</v>
      </c>
      <c r="O285" s="6">
        <v>2.0169999999999999</v>
      </c>
      <c r="P285" s="6">
        <v>8</v>
      </c>
      <c r="Q285" s="4" t="s">
        <v>26</v>
      </c>
      <c r="R285" s="4">
        <v>0</v>
      </c>
      <c r="S285" s="4" t="s">
        <v>233</v>
      </c>
      <c r="T285" s="4" t="s">
        <v>394</v>
      </c>
      <c r="U285" s="4">
        <v>0</v>
      </c>
      <c r="V285" s="4">
        <v>46</v>
      </c>
      <c r="W285" s="4">
        <v>84</v>
      </c>
    </row>
    <row r="286" spans="1:23" ht="11.25" customHeight="1" x14ac:dyDescent="0.25">
      <c r="A286" s="4" t="s">
        <v>21</v>
      </c>
      <c r="B286" s="4" t="s">
        <v>32</v>
      </c>
      <c r="C286" s="4" t="s">
        <v>23</v>
      </c>
      <c r="D286" s="4" t="s">
        <v>40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202.76599999999999</v>
      </c>
      <c r="M286" s="6">
        <v>202.76599999999999</v>
      </c>
      <c r="N286" s="6">
        <v>202.76599999999999</v>
      </c>
      <c r="O286" s="6">
        <v>202.76599999999999</v>
      </c>
      <c r="P286" s="6">
        <v>390</v>
      </c>
      <c r="Q286" s="4" t="s">
        <v>26</v>
      </c>
      <c r="R286" s="4">
        <v>0</v>
      </c>
      <c r="S286" s="4" t="s">
        <v>234</v>
      </c>
      <c r="T286" s="4" t="s">
        <v>395</v>
      </c>
      <c r="U286" s="4">
        <v>0</v>
      </c>
      <c r="V286" s="4">
        <v>46</v>
      </c>
      <c r="W286" s="4">
        <v>84</v>
      </c>
    </row>
    <row r="287" spans="1:23" ht="11.25" customHeight="1" x14ac:dyDescent="0.25">
      <c r="A287" s="4" t="s">
        <v>27</v>
      </c>
      <c r="B287" s="4" t="s">
        <v>32</v>
      </c>
      <c r="C287" s="4" t="s">
        <v>23</v>
      </c>
      <c r="D287" s="4" t="s">
        <v>40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2.1030000000000002</v>
      </c>
      <c r="M287" s="6">
        <v>2.1030000000000002</v>
      </c>
      <c r="N287" s="6">
        <v>2.1030000000000002</v>
      </c>
      <c r="O287" s="6">
        <v>2.1030000000000002</v>
      </c>
      <c r="P287" s="6">
        <v>8</v>
      </c>
      <c r="Q287" s="4" t="s">
        <v>26</v>
      </c>
      <c r="R287" s="4">
        <v>0</v>
      </c>
      <c r="S287" s="4" t="s">
        <v>234</v>
      </c>
      <c r="T287" s="4" t="s">
        <v>395</v>
      </c>
      <c r="U287" s="4">
        <v>0</v>
      </c>
      <c r="V287" s="4">
        <v>46</v>
      </c>
      <c r="W287" s="4">
        <v>84</v>
      </c>
    </row>
    <row r="288" spans="1:23" ht="11.25" customHeight="1" x14ac:dyDescent="0.25">
      <c r="A288" s="4" t="s">
        <v>21</v>
      </c>
      <c r="B288" s="4" t="s">
        <v>32</v>
      </c>
      <c r="C288" s="4" t="s">
        <v>23</v>
      </c>
      <c r="D288" s="4" t="s">
        <v>40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44470</v>
      </c>
      <c r="J288" s="6">
        <v>0</v>
      </c>
      <c r="K288" s="6">
        <v>0</v>
      </c>
      <c r="L288" s="6">
        <v>242.50399999999999</v>
      </c>
      <c r="M288" s="6">
        <v>242.50399999999999</v>
      </c>
      <c r="N288" s="6">
        <v>242.50399999999999</v>
      </c>
      <c r="O288" s="6">
        <v>242.50399999999999</v>
      </c>
      <c r="P288" s="6">
        <v>391</v>
      </c>
      <c r="Q288" s="4" t="s">
        <v>26</v>
      </c>
      <c r="R288" s="4">
        <v>0</v>
      </c>
      <c r="S288" s="4" t="s">
        <v>235</v>
      </c>
      <c r="T288" s="4" t="s">
        <v>396</v>
      </c>
      <c r="U288" s="4">
        <v>0</v>
      </c>
      <c r="V288" s="4">
        <v>46</v>
      </c>
      <c r="W288" s="4">
        <v>84</v>
      </c>
    </row>
    <row r="289" spans="1:23" ht="11.25" customHeight="1" x14ac:dyDescent="0.25">
      <c r="A289" s="4" t="s">
        <v>27</v>
      </c>
      <c r="B289" s="4" t="s">
        <v>32</v>
      </c>
      <c r="C289" s="4" t="s">
        <v>23</v>
      </c>
      <c r="D289" s="4" t="s">
        <v>40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6.4560000000000004</v>
      </c>
      <c r="M289" s="6">
        <v>6.4560000000000004</v>
      </c>
      <c r="N289" s="6">
        <v>6.4560000000000004</v>
      </c>
      <c r="O289" s="6">
        <v>6.4560000000000004</v>
      </c>
      <c r="P289" s="6">
        <v>9</v>
      </c>
      <c r="Q289" s="4" t="s">
        <v>26</v>
      </c>
      <c r="R289" s="4">
        <v>0</v>
      </c>
      <c r="S289" s="4" t="s">
        <v>235</v>
      </c>
      <c r="T289" s="4" t="s">
        <v>396</v>
      </c>
      <c r="U289" s="4">
        <v>0</v>
      </c>
      <c r="V289" s="4">
        <v>46</v>
      </c>
      <c r="W289" s="4">
        <v>84</v>
      </c>
    </row>
    <row r="290" spans="1:23" ht="11.25" customHeight="1" x14ac:dyDescent="0.25">
      <c r="A290" s="4" t="s">
        <v>21</v>
      </c>
      <c r="B290" s="4" t="s">
        <v>32</v>
      </c>
      <c r="C290" s="4" t="s">
        <v>23</v>
      </c>
      <c r="D290" s="4" t="s">
        <v>40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44501</v>
      </c>
      <c r="J290" s="6">
        <v>0</v>
      </c>
      <c r="K290" s="6">
        <v>0</v>
      </c>
      <c r="L290" s="6">
        <v>210.94</v>
      </c>
      <c r="M290" s="6">
        <v>210.94</v>
      </c>
      <c r="N290" s="6">
        <v>210.94</v>
      </c>
      <c r="O290" s="6">
        <v>210.94</v>
      </c>
      <c r="P290" s="6">
        <v>393</v>
      </c>
      <c r="Q290" s="4" t="s">
        <v>26</v>
      </c>
      <c r="R290" s="4">
        <v>0</v>
      </c>
      <c r="S290" s="4" t="s">
        <v>236</v>
      </c>
      <c r="T290" s="4" t="s">
        <v>397</v>
      </c>
      <c r="U290" s="4">
        <v>0</v>
      </c>
      <c r="V290" s="4">
        <v>46</v>
      </c>
      <c r="W290" s="4">
        <v>84</v>
      </c>
    </row>
    <row r="291" spans="1:23" ht="11.25" customHeight="1" x14ac:dyDescent="0.25">
      <c r="A291" s="4" t="s">
        <v>27</v>
      </c>
      <c r="B291" s="4" t="s">
        <v>32</v>
      </c>
      <c r="C291" s="4" t="s">
        <v>23</v>
      </c>
      <c r="D291" s="4" t="s">
        <v>40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1.2330000000000001</v>
      </c>
      <c r="M291" s="6">
        <v>1.2330000000000001</v>
      </c>
      <c r="N291" s="6">
        <v>1.2330000000000001</v>
      </c>
      <c r="O291" s="6">
        <v>1.2330000000000001</v>
      </c>
      <c r="P291" s="6">
        <v>9</v>
      </c>
      <c r="Q291" s="4" t="s">
        <v>26</v>
      </c>
      <c r="R291" s="4">
        <v>0</v>
      </c>
      <c r="S291" s="4" t="s">
        <v>236</v>
      </c>
      <c r="T291" s="4" t="s">
        <v>397</v>
      </c>
      <c r="U291" s="4">
        <v>0</v>
      </c>
      <c r="V291" s="4">
        <v>46</v>
      </c>
      <c r="W291" s="4">
        <v>84</v>
      </c>
    </row>
    <row r="292" spans="1:23" ht="11.25" customHeight="1" x14ac:dyDescent="0.25">
      <c r="A292" s="4" t="s">
        <v>21</v>
      </c>
      <c r="B292" s="4" t="s">
        <v>32</v>
      </c>
      <c r="C292" s="4" t="s">
        <v>23</v>
      </c>
      <c r="D292" s="4" t="s">
        <v>40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44531</v>
      </c>
      <c r="J292" s="6">
        <v>0</v>
      </c>
      <c r="K292" s="6">
        <v>0</v>
      </c>
      <c r="L292" s="6">
        <v>248</v>
      </c>
      <c r="M292" s="6">
        <v>248</v>
      </c>
      <c r="N292" s="6">
        <v>248</v>
      </c>
      <c r="O292" s="6">
        <v>248</v>
      </c>
      <c r="P292" s="6">
        <v>393</v>
      </c>
      <c r="Q292" s="4" t="s">
        <v>26</v>
      </c>
      <c r="R292" s="4">
        <v>0</v>
      </c>
      <c r="S292" s="4" t="s">
        <v>237</v>
      </c>
      <c r="T292" s="4" t="s">
        <v>398</v>
      </c>
      <c r="U292" s="4">
        <v>0</v>
      </c>
      <c r="V292" s="4">
        <v>46</v>
      </c>
      <c r="W292" s="4">
        <v>84</v>
      </c>
    </row>
    <row r="293" spans="1:23" ht="11.25" customHeight="1" x14ac:dyDescent="0.25">
      <c r="A293" s="4" t="s">
        <v>27</v>
      </c>
      <c r="B293" s="4" t="s">
        <v>32</v>
      </c>
      <c r="C293" s="4" t="s">
        <v>23</v>
      </c>
      <c r="D293" s="4" t="s">
        <v>40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1.462</v>
      </c>
      <c r="M293" s="6">
        <v>1.462</v>
      </c>
      <c r="N293" s="6">
        <v>1.462</v>
      </c>
      <c r="O293" s="6">
        <v>1.462</v>
      </c>
      <c r="P293" s="6">
        <v>10</v>
      </c>
      <c r="Q293" s="4" t="s">
        <v>26</v>
      </c>
      <c r="R293" s="4">
        <v>0</v>
      </c>
      <c r="S293" s="4" t="s">
        <v>237</v>
      </c>
      <c r="T293" s="4" t="s">
        <v>398</v>
      </c>
      <c r="U293" s="4">
        <v>0</v>
      </c>
      <c r="V293" s="4">
        <v>46</v>
      </c>
      <c r="W293" s="4">
        <v>84</v>
      </c>
    </row>
    <row r="294" spans="1:23" ht="11.25" customHeight="1" x14ac:dyDescent="0.25">
      <c r="A294" s="4" t="s">
        <v>21</v>
      </c>
      <c r="B294" s="4" t="s">
        <v>32</v>
      </c>
      <c r="C294" s="4" t="s">
        <v>23</v>
      </c>
      <c r="D294" s="4" t="s">
        <v>40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44562</v>
      </c>
      <c r="J294" s="6">
        <v>0</v>
      </c>
      <c r="K294" s="6">
        <v>0</v>
      </c>
      <c r="L294" s="6">
        <v>247.34299999999999</v>
      </c>
      <c r="M294" s="6">
        <v>247.34299999999999</v>
      </c>
      <c r="N294" s="6">
        <v>247.34299999999999</v>
      </c>
      <c r="O294" s="6">
        <v>247.34299999999999</v>
      </c>
      <c r="P294" s="6">
        <v>402</v>
      </c>
      <c r="Q294" s="4" t="s">
        <v>26</v>
      </c>
      <c r="R294" s="4">
        <v>0</v>
      </c>
      <c r="S294" s="4" t="s">
        <v>238</v>
      </c>
      <c r="T294" s="4" t="s">
        <v>399</v>
      </c>
      <c r="U294" s="4">
        <v>0</v>
      </c>
      <c r="V294" s="4">
        <v>46</v>
      </c>
      <c r="W294" s="4">
        <v>84</v>
      </c>
    </row>
    <row r="295" spans="1:23" ht="11.25" customHeight="1" x14ac:dyDescent="0.25">
      <c r="A295" s="4" t="s">
        <v>27</v>
      </c>
      <c r="B295" s="4" t="s">
        <v>32</v>
      </c>
      <c r="C295" s="4" t="s">
        <v>23</v>
      </c>
      <c r="D295" s="4" t="s">
        <v>40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44562</v>
      </c>
      <c r="J295" s="6">
        <v>0</v>
      </c>
      <c r="K295" s="6">
        <v>0</v>
      </c>
      <c r="L295" s="6">
        <v>1.47</v>
      </c>
      <c r="M295" s="6">
        <v>1.47</v>
      </c>
      <c r="N295" s="6">
        <v>1.47</v>
      </c>
      <c r="O295" s="6">
        <v>1.47</v>
      </c>
      <c r="P295" s="6">
        <v>10</v>
      </c>
      <c r="Q295" s="4" t="s">
        <v>26</v>
      </c>
      <c r="R295" s="4">
        <v>0</v>
      </c>
      <c r="S295" s="4" t="s">
        <v>238</v>
      </c>
      <c r="T295" s="4" t="s">
        <v>399</v>
      </c>
      <c r="U295" s="4">
        <v>0</v>
      </c>
      <c r="V295" s="4">
        <v>46</v>
      </c>
      <c r="W295" s="4">
        <v>84</v>
      </c>
    </row>
    <row r="296" spans="1:23" ht="11.25" customHeight="1" x14ac:dyDescent="0.25">
      <c r="A296" s="4" t="s">
        <v>21</v>
      </c>
      <c r="B296" s="4" t="s">
        <v>32</v>
      </c>
      <c r="C296" s="4" t="s">
        <v>23</v>
      </c>
      <c r="D296" s="4" t="s">
        <v>40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44593</v>
      </c>
      <c r="J296" s="6">
        <v>0</v>
      </c>
      <c r="K296" s="6">
        <v>0</v>
      </c>
      <c r="L296" s="6">
        <v>309.64100000000002</v>
      </c>
      <c r="M296" s="6">
        <v>309.64100000000002</v>
      </c>
      <c r="N296" s="6">
        <v>309.64100000000002</v>
      </c>
      <c r="O296" s="6">
        <v>309.64100000000002</v>
      </c>
      <c r="P296" s="6">
        <v>400</v>
      </c>
      <c r="Q296" s="4" t="s">
        <v>26</v>
      </c>
      <c r="R296" s="4">
        <v>0</v>
      </c>
      <c r="S296" s="4" t="s">
        <v>239</v>
      </c>
      <c r="T296" s="4" t="s">
        <v>400</v>
      </c>
      <c r="U296" s="4">
        <v>0</v>
      </c>
      <c r="V296" s="4">
        <v>46</v>
      </c>
      <c r="W296" s="4">
        <v>84</v>
      </c>
    </row>
    <row r="297" spans="1:23" ht="11.25" customHeight="1" x14ac:dyDescent="0.25">
      <c r="A297" s="4" t="s">
        <v>27</v>
      </c>
      <c r="B297" s="4" t="s">
        <v>32</v>
      </c>
      <c r="C297" s="4" t="s">
        <v>23</v>
      </c>
      <c r="D297" s="4" t="s">
        <v>40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44593</v>
      </c>
      <c r="J297" s="6">
        <v>0</v>
      </c>
      <c r="K297" s="6">
        <v>0</v>
      </c>
      <c r="L297" s="6">
        <v>3.29</v>
      </c>
      <c r="M297" s="6">
        <v>3.29</v>
      </c>
      <c r="N297" s="6">
        <v>3.29</v>
      </c>
      <c r="O297" s="6">
        <v>3.29</v>
      </c>
      <c r="P297" s="6">
        <v>10</v>
      </c>
      <c r="Q297" s="4" t="s">
        <v>26</v>
      </c>
      <c r="R297" s="4">
        <v>0</v>
      </c>
      <c r="S297" s="4" t="s">
        <v>239</v>
      </c>
      <c r="T297" s="4" t="s">
        <v>400</v>
      </c>
      <c r="U297" s="4">
        <v>0</v>
      </c>
      <c r="V297" s="4">
        <v>46</v>
      </c>
      <c r="W297" s="4">
        <v>84</v>
      </c>
    </row>
    <row r="298" spans="1:23" ht="11.25" customHeight="1" x14ac:dyDescent="0.25">
      <c r="A298" s="4" t="s">
        <v>21</v>
      </c>
      <c r="B298" s="4" t="s">
        <v>32</v>
      </c>
      <c r="C298" s="4" t="s">
        <v>23</v>
      </c>
      <c r="D298" s="4" t="s">
        <v>40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44621</v>
      </c>
      <c r="J298" s="6">
        <v>0</v>
      </c>
      <c r="K298" s="6">
        <v>0</v>
      </c>
      <c r="L298" s="6">
        <v>276.42200000000003</v>
      </c>
      <c r="M298" s="6">
        <v>276.42200000000003</v>
      </c>
      <c r="N298" s="6">
        <v>276.42200000000003</v>
      </c>
      <c r="O298" s="6">
        <v>276.42200000000003</v>
      </c>
      <c r="P298" s="6">
        <v>396</v>
      </c>
      <c r="Q298" s="4" t="s">
        <v>26</v>
      </c>
      <c r="R298" s="4">
        <v>0</v>
      </c>
      <c r="S298" s="4" t="s">
        <v>240</v>
      </c>
      <c r="T298" s="4" t="s">
        <v>401</v>
      </c>
      <c r="U298" s="4">
        <v>0</v>
      </c>
      <c r="V298" s="4">
        <v>46</v>
      </c>
      <c r="W298" s="4">
        <v>84</v>
      </c>
    </row>
    <row r="299" spans="1:23" ht="11.25" customHeight="1" x14ac:dyDescent="0.25">
      <c r="A299" s="4" t="s">
        <v>27</v>
      </c>
      <c r="B299" s="4" t="s">
        <v>32</v>
      </c>
      <c r="C299" s="4" t="s">
        <v>23</v>
      </c>
      <c r="D299" s="4" t="s">
        <v>40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44621</v>
      </c>
      <c r="J299" s="6">
        <v>0</v>
      </c>
      <c r="K299" s="6">
        <v>0</v>
      </c>
      <c r="L299" s="6">
        <v>2.8769999999999998</v>
      </c>
      <c r="M299" s="6">
        <v>2.8769999999999998</v>
      </c>
      <c r="N299" s="6">
        <v>2.8769999999999998</v>
      </c>
      <c r="O299" s="6">
        <v>2.8769999999999998</v>
      </c>
      <c r="P299" s="6">
        <v>10</v>
      </c>
      <c r="Q299" s="4" t="s">
        <v>26</v>
      </c>
      <c r="R299" s="4">
        <v>0</v>
      </c>
      <c r="S299" s="4" t="s">
        <v>240</v>
      </c>
      <c r="T299" s="4" t="s">
        <v>401</v>
      </c>
      <c r="U299" s="4">
        <v>0</v>
      </c>
      <c r="V299" s="4">
        <v>46</v>
      </c>
      <c r="W299" s="4">
        <v>84</v>
      </c>
    </row>
    <row r="300" spans="1:23" ht="11.25" customHeight="1" x14ac:dyDescent="0.25">
      <c r="A300" s="4" t="s">
        <v>21</v>
      </c>
      <c r="B300" s="4" t="s">
        <v>32</v>
      </c>
      <c r="C300" s="4" t="s">
        <v>23</v>
      </c>
      <c r="D300" s="4" t="s">
        <v>40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44652</v>
      </c>
      <c r="J300" s="6">
        <v>0</v>
      </c>
      <c r="K300" s="6">
        <v>0</v>
      </c>
      <c r="L300" s="6">
        <v>281.46800000000002</v>
      </c>
      <c r="M300" s="6">
        <v>281.46800000000002</v>
      </c>
      <c r="N300" s="6">
        <v>281.46800000000002</v>
      </c>
      <c r="O300" s="6">
        <v>281.46800000000002</v>
      </c>
      <c r="P300" s="6">
        <v>398</v>
      </c>
      <c r="Q300" s="4" t="s">
        <v>26</v>
      </c>
      <c r="R300" s="4">
        <v>0</v>
      </c>
      <c r="S300" s="4" t="s">
        <v>241</v>
      </c>
      <c r="T300" s="4" t="s">
        <v>402</v>
      </c>
      <c r="U300" s="4">
        <v>0</v>
      </c>
      <c r="V300" s="4">
        <v>46</v>
      </c>
      <c r="W300" s="4">
        <v>84</v>
      </c>
    </row>
    <row r="301" spans="1:23" ht="11.25" customHeight="1" x14ac:dyDescent="0.25">
      <c r="A301" s="4" t="s">
        <v>27</v>
      </c>
      <c r="B301" s="4" t="s">
        <v>32</v>
      </c>
      <c r="C301" s="4" t="s">
        <v>23</v>
      </c>
      <c r="D301" s="4" t="s">
        <v>40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44652</v>
      </c>
      <c r="J301" s="6">
        <v>0</v>
      </c>
      <c r="K301" s="6">
        <v>0</v>
      </c>
      <c r="L301" s="6">
        <v>7.234</v>
      </c>
      <c r="M301" s="6">
        <v>7.234</v>
      </c>
      <c r="N301" s="6">
        <v>7.234</v>
      </c>
      <c r="O301" s="6">
        <v>7.234</v>
      </c>
      <c r="P301" s="6">
        <v>13</v>
      </c>
      <c r="Q301" s="4" t="s">
        <v>26</v>
      </c>
      <c r="R301" s="4">
        <v>0</v>
      </c>
      <c r="S301" s="4" t="s">
        <v>241</v>
      </c>
      <c r="T301" s="4" t="s">
        <v>402</v>
      </c>
      <c r="U301" s="4">
        <v>0</v>
      </c>
      <c r="V301" s="4">
        <v>46</v>
      </c>
      <c r="W301" s="4">
        <v>84</v>
      </c>
    </row>
    <row r="302" spans="1:23" ht="11.25" customHeight="1" x14ac:dyDescent="0.25">
      <c r="A302" s="4" t="s">
        <v>21</v>
      </c>
      <c r="B302" s="4" t="s">
        <v>32</v>
      </c>
      <c r="C302" s="4" t="s">
        <v>23</v>
      </c>
      <c r="D302" s="4" t="s">
        <v>40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44682</v>
      </c>
      <c r="J302" s="6">
        <v>0</v>
      </c>
      <c r="K302" s="6">
        <v>0</v>
      </c>
      <c r="L302" s="6">
        <v>242.637</v>
      </c>
      <c r="M302" s="6">
        <v>242.637</v>
      </c>
      <c r="N302" s="6">
        <v>242.637</v>
      </c>
      <c r="O302" s="6">
        <v>242.637</v>
      </c>
      <c r="P302" s="6">
        <v>398</v>
      </c>
      <c r="Q302" s="4" t="s">
        <v>26</v>
      </c>
      <c r="R302" s="4">
        <v>0</v>
      </c>
      <c r="S302" s="4" t="s">
        <v>242</v>
      </c>
      <c r="T302" s="4" t="s">
        <v>403</v>
      </c>
      <c r="U302" s="4">
        <v>0</v>
      </c>
      <c r="V302" s="4">
        <v>46</v>
      </c>
      <c r="W302" s="4">
        <v>84</v>
      </c>
    </row>
    <row r="303" spans="1:23" ht="11.25" customHeight="1" x14ac:dyDescent="0.25">
      <c r="A303" s="4" t="s">
        <v>27</v>
      </c>
      <c r="B303" s="4" t="s">
        <v>32</v>
      </c>
      <c r="C303" s="4" t="s">
        <v>23</v>
      </c>
      <c r="D303" s="4" t="s">
        <v>40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44682</v>
      </c>
      <c r="J303" s="6">
        <v>0</v>
      </c>
      <c r="K303" s="6">
        <v>0</v>
      </c>
      <c r="L303" s="6">
        <v>5.7510000000000003</v>
      </c>
      <c r="M303" s="6">
        <v>5.7510000000000003</v>
      </c>
      <c r="N303" s="6">
        <v>5.7510000000000003</v>
      </c>
      <c r="O303" s="6">
        <v>5.7510000000000003</v>
      </c>
      <c r="P303" s="6">
        <v>15</v>
      </c>
      <c r="Q303" s="4" t="s">
        <v>26</v>
      </c>
      <c r="R303" s="4">
        <v>0</v>
      </c>
      <c r="S303" s="4" t="s">
        <v>242</v>
      </c>
      <c r="T303" s="4" t="s">
        <v>403</v>
      </c>
      <c r="U303" s="4">
        <v>0</v>
      </c>
      <c r="V303" s="4">
        <v>46</v>
      </c>
      <c r="W303" s="4">
        <v>84</v>
      </c>
    </row>
    <row r="304" spans="1:23" ht="11.25" customHeight="1" x14ac:dyDescent="0.25">
      <c r="A304" s="4" t="s">
        <v>21</v>
      </c>
      <c r="B304" s="4" t="s">
        <v>32</v>
      </c>
      <c r="C304" s="4" t="s">
        <v>23</v>
      </c>
      <c r="D304" s="4" t="s">
        <v>40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44713</v>
      </c>
      <c r="J304" s="6">
        <v>0</v>
      </c>
      <c r="K304" s="6">
        <v>0</v>
      </c>
      <c r="L304" s="6">
        <v>223.96899999999999</v>
      </c>
      <c r="M304" s="6">
        <v>223.96899999999999</v>
      </c>
      <c r="N304" s="6">
        <v>223.96899999999999</v>
      </c>
      <c r="O304" s="6">
        <v>223.96899999999999</v>
      </c>
      <c r="P304" s="6">
        <v>400</v>
      </c>
      <c r="Q304" s="4" t="s">
        <v>26</v>
      </c>
      <c r="R304" s="4">
        <v>0</v>
      </c>
      <c r="S304" s="4" t="s">
        <v>243</v>
      </c>
      <c r="T304" s="4" t="s">
        <v>404</v>
      </c>
      <c r="U304" s="4">
        <v>0</v>
      </c>
      <c r="V304" s="4">
        <v>46</v>
      </c>
      <c r="W304" s="4">
        <v>84</v>
      </c>
    </row>
    <row r="305" spans="1:23" ht="11.25" customHeight="1" x14ac:dyDescent="0.25">
      <c r="A305" s="4" t="s">
        <v>27</v>
      </c>
      <c r="B305" s="4" t="s">
        <v>32</v>
      </c>
      <c r="C305" s="4" t="s">
        <v>23</v>
      </c>
      <c r="D305" s="4" t="s">
        <v>40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44713</v>
      </c>
      <c r="J305" s="6">
        <v>0</v>
      </c>
      <c r="K305" s="6">
        <v>0</v>
      </c>
      <c r="L305" s="6">
        <v>4.484</v>
      </c>
      <c r="M305" s="6">
        <v>4.484</v>
      </c>
      <c r="N305" s="6">
        <v>4.484</v>
      </c>
      <c r="O305" s="6">
        <v>4.484</v>
      </c>
      <c r="P305" s="6">
        <v>15</v>
      </c>
      <c r="Q305" s="4" t="s">
        <v>26</v>
      </c>
      <c r="R305" s="4">
        <v>0</v>
      </c>
      <c r="S305" s="4" t="s">
        <v>243</v>
      </c>
      <c r="T305" s="4" t="s">
        <v>404</v>
      </c>
      <c r="U305" s="4">
        <v>0</v>
      </c>
      <c r="V305" s="4">
        <v>46</v>
      </c>
      <c r="W305" s="4">
        <v>84</v>
      </c>
    </row>
    <row r="306" spans="1:23" ht="11.25" customHeight="1" x14ac:dyDescent="0.25">
      <c r="A306" s="4" t="s">
        <v>21</v>
      </c>
      <c r="B306" s="4" t="s">
        <v>32</v>
      </c>
      <c r="C306" s="4" t="s">
        <v>23</v>
      </c>
      <c r="D306" s="4" t="s">
        <v>40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44743</v>
      </c>
      <c r="J306" s="6">
        <v>0</v>
      </c>
      <c r="K306" s="6">
        <v>0</v>
      </c>
      <c r="L306" s="6">
        <v>235.97399999999999</v>
      </c>
      <c r="M306" s="6">
        <v>235.97399999999999</v>
      </c>
      <c r="N306" s="6">
        <v>235.97399999999999</v>
      </c>
      <c r="O306" s="6">
        <v>235.97399999999999</v>
      </c>
      <c r="P306" s="6">
        <v>404</v>
      </c>
      <c r="Q306" s="4" t="s">
        <v>26</v>
      </c>
      <c r="R306" s="4">
        <v>0</v>
      </c>
      <c r="S306" s="4" t="s">
        <v>244</v>
      </c>
      <c r="T306" s="4" t="s">
        <v>405</v>
      </c>
      <c r="U306" s="4">
        <v>0</v>
      </c>
      <c r="V306" s="4">
        <v>46</v>
      </c>
      <c r="W306" s="4">
        <v>84</v>
      </c>
    </row>
    <row r="307" spans="1:23" ht="11.25" customHeight="1" x14ac:dyDescent="0.25">
      <c r="A307" s="4" t="s">
        <v>27</v>
      </c>
      <c r="B307" s="4" t="s">
        <v>32</v>
      </c>
      <c r="C307" s="4" t="s">
        <v>23</v>
      </c>
      <c r="D307" s="4" t="s">
        <v>40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44743</v>
      </c>
      <c r="J307" s="6">
        <v>0</v>
      </c>
      <c r="K307" s="6">
        <v>0</v>
      </c>
      <c r="L307" s="6">
        <v>7.6879999999999997</v>
      </c>
      <c r="M307" s="6">
        <v>7.6879999999999997</v>
      </c>
      <c r="N307" s="6">
        <v>7.6879999999999997</v>
      </c>
      <c r="O307" s="6">
        <v>7.6879999999999997</v>
      </c>
      <c r="P307" s="6">
        <v>15</v>
      </c>
      <c r="Q307" s="4" t="s">
        <v>26</v>
      </c>
      <c r="R307" s="4">
        <v>0</v>
      </c>
      <c r="S307" s="4" t="s">
        <v>244</v>
      </c>
      <c r="T307" s="4" t="s">
        <v>405</v>
      </c>
      <c r="U307" s="4">
        <v>0</v>
      </c>
      <c r="V307" s="4">
        <v>46</v>
      </c>
      <c r="W307" s="4">
        <v>84</v>
      </c>
    </row>
    <row r="308" spans="1:23" ht="11.25" customHeight="1" x14ac:dyDescent="0.25">
      <c r="A308" s="4" t="s">
        <v>21</v>
      </c>
      <c r="B308" s="4" t="s">
        <v>32</v>
      </c>
      <c r="C308" s="4" t="s">
        <v>23</v>
      </c>
      <c r="D308" s="4" t="s">
        <v>49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44409</v>
      </c>
      <c r="J308" s="6">
        <v>0</v>
      </c>
      <c r="K308" s="6">
        <v>0</v>
      </c>
      <c r="L308" s="6">
        <v>1.2250000000000001</v>
      </c>
      <c r="M308" s="6">
        <v>1.2250000000000001</v>
      </c>
      <c r="N308" s="6">
        <v>1.2250000000000001</v>
      </c>
      <c r="O308" s="6">
        <v>1.2250000000000001</v>
      </c>
      <c r="P308" s="6">
        <v>3</v>
      </c>
      <c r="Q308" s="4" t="s">
        <v>26</v>
      </c>
      <c r="R308" s="4">
        <v>0</v>
      </c>
      <c r="S308" s="4" t="s">
        <v>233</v>
      </c>
      <c r="T308" s="4" t="s">
        <v>394</v>
      </c>
      <c r="U308" s="4">
        <v>0</v>
      </c>
      <c r="V308" s="4">
        <v>46</v>
      </c>
      <c r="W308" s="4">
        <v>84</v>
      </c>
    </row>
    <row r="309" spans="1:23" ht="11.25" customHeight="1" x14ac:dyDescent="0.25">
      <c r="A309" s="4" t="s">
        <v>21</v>
      </c>
      <c r="B309" s="4" t="s">
        <v>32</v>
      </c>
      <c r="C309" s="4" t="s">
        <v>23</v>
      </c>
      <c r="D309" s="4" t="s">
        <v>49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44440</v>
      </c>
      <c r="J309" s="6">
        <v>0</v>
      </c>
      <c r="K309" s="6">
        <v>0</v>
      </c>
      <c r="L309" s="6">
        <v>1.1579999999999999</v>
      </c>
      <c r="M309" s="6">
        <v>1.1579999999999999</v>
      </c>
      <c r="N309" s="6">
        <v>1.1579999999999999</v>
      </c>
      <c r="O309" s="6">
        <v>1.1579999999999999</v>
      </c>
      <c r="P309" s="6">
        <v>3</v>
      </c>
      <c r="Q309" s="4" t="s">
        <v>26</v>
      </c>
      <c r="R309" s="4">
        <v>0</v>
      </c>
      <c r="S309" s="4" t="s">
        <v>234</v>
      </c>
      <c r="T309" s="4" t="s">
        <v>395</v>
      </c>
      <c r="U309" s="4">
        <v>0</v>
      </c>
      <c r="V309" s="4">
        <v>46</v>
      </c>
      <c r="W309" s="4">
        <v>84</v>
      </c>
    </row>
    <row r="310" spans="1:23" ht="11.25" customHeight="1" x14ac:dyDescent="0.25">
      <c r="A310" s="4" t="s">
        <v>21</v>
      </c>
      <c r="B310" s="4" t="s">
        <v>32</v>
      </c>
      <c r="C310" s="4" t="s">
        <v>23</v>
      </c>
      <c r="D310" s="4" t="s">
        <v>49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44470</v>
      </c>
      <c r="J310" s="6">
        <v>0</v>
      </c>
      <c r="K310" s="6">
        <v>0</v>
      </c>
      <c r="L310" s="6">
        <v>1.3</v>
      </c>
      <c r="M310" s="6">
        <v>1.3</v>
      </c>
      <c r="N310" s="6">
        <v>1.3</v>
      </c>
      <c r="O310" s="6">
        <v>1.3</v>
      </c>
      <c r="P310" s="6">
        <v>3</v>
      </c>
      <c r="Q310" s="4" t="s">
        <v>26</v>
      </c>
      <c r="R310" s="4">
        <v>0</v>
      </c>
      <c r="S310" s="4" t="s">
        <v>235</v>
      </c>
      <c r="T310" s="4" t="s">
        <v>396</v>
      </c>
      <c r="U310" s="4">
        <v>0</v>
      </c>
      <c r="V310" s="4">
        <v>46</v>
      </c>
      <c r="W310" s="4">
        <v>84</v>
      </c>
    </row>
    <row r="311" spans="1:23" ht="11.25" customHeight="1" x14ac:dyDescent="0.25">
      <c r="A311" s="4" t="s">
        <v>21</v>
      </c>
      <c r="B311" s="4" t="s">
        <v>32</v>
      </c>
      <c r="C311" s="4" t="s">
        <v>23</v>
      </c>
      <c r="D311" s="4" t="s">
        <v>49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44501</v>
      </c>
      <c r="J311" s="6">
        <v>0</v>
      </c>
      <c r="K311" s="6">
        <v>0</v>
      </c>
      <c r="L311" s="6">
        <v>0.97199999999999998</v>
      </c>
      <c r="M311" s="6">
        <v>0.97199999999999998</v>
      </c>
      <c r="N311" s="6">
        <v>0.97199999999999998</v>
      </c>
      <c r="O311" s="6">
        <v>0.97199999999999998</v>
      </c>
      <c r="P311" s="6">
        <v>3</v>
      </c>
      <c r="Q311" s="4" t="s">
        <v>26</v>
      </c>
      <c r="R311" s="4">
        <v>0</v>
      </c>
      <c r="S311" s="4" t="s">
        <v>236</v>
      </c>
      <c r="T311" s="4" t="s">
        <v>397</v>
      </c>
      <c r="U311" s="4">
        <v>0</v>
      </c>
      <c r="V311" s="4">
        <v>46</v>
      </c>
      <c r="W311" s="4">
        <v>84</v>
      </c>
    </row>
    <row r="312" spans="1:23" ht="11.25" customHeight="1" x14ac:dyDescent="0.25">
      <c r="A312" s="4" t="s">
        <v>21</v>
      </c>
      <c r="B312" s="4" t="s">
        <v>32</v>
      </c>
      <c r="C312" s="4" t="s">
        <v>23</v>
      </c>
      <c r="D312" s="4" t="s">
        <v>49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44531</v>
      </c>
      <c r="J312" s="6">
        <v>0</v>
      </c>
      <c r="K312" s="6">
        <v>0</v>
      </c>
      <c r="L312" s="6">
        <v>1.4910000000000001</v>
      </c>
      <c r="M312" s="6">
        <v>1.4910000000000001</v>
      </c>
      <c r="N312" s="6">
        <v>1.4910000000000001</v>
      </c>
      <c r="O312" s="6">
        <v>1.4910000000000001</v>
      </c>
      <c r="P312" s="6">
        <v>3</v>
      </c>
      <c r="Q312" s="4" t="s">
        <v>26</v>
      </c>
      <c r="R312" s="4">
        <v>0</v>
      </c>
      <c r="S312" s="4" t="s">
        <v>237</v>
      </c>
      <c r="T312" s="4" t="s">
        <v>398</v>
      </c>
      <c r="U312" s="4">
        <v>0</v>
      </c>
      <c r="V312" s="4">
        <v>46</v>
      </c>
      <c r="W312" s="4">
        <v>84</v>
      </c>
    </row>
    <row r="313" spans="1:23" ht="11.25" customHeight="1" x14ac:dyDescent="0.25">
      <c r="A313" s="4" t="s">
        <v>21</v>
      </c>
      <c r="B313" s="4" t="s">
        <v>32</v>
      </c>
      <c r="C313" s="4" t="s">
        <v>23</v>
      </c>
      <c r="D313" s="4" t="s">
        <v>49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44562</v>
      </c>
      <c r="J313" s="6">
        <v>0</v>
      </c>
      <c r="K313" s="6">
        <v>0</v>
      </c>
      <c r="L313" s="6">
        <v>1.4219999999999999</v>
      </c>
      <c r="M313" s="6">
        <v>1.4219999999999999</v>
      </c>
      <c r="N313" s="6">
        <v>1.4219999999999999</v>
      </c>
      <c r="O313" s="6">
        <v>1.4219999999999999</v>
      </c>
      <c r="P313" s="6">
        <v>3</v>
      </c>
      <c r="Q313" s="4" t="s">
        <v>26</v>
      </c>
      <c r="R313" s="4">
        <v>0</v>
      </c>
      <c r="S313" s="4" t="s">
        <v>238</v>
      </c>
      <c r="T313" s="4" t="s">
        <v>399</v>
      </c>
      <c r="U313" s="4">
        <v>0</v>
      </c>
      <c r="V313" s="4">
        <v>46</v>
      </c>
      <c r="W313" s="4">
        <v>84</v>
      </c>
    </row>
    <row r="314" spans="1:23" ht="11.25" customHeight="1" x14ac:dyDescent="0.25">
      <c r="A314" s="4" t="s">
        <v>21</v>
      </c>
      <c r="B314" s="4" t="s">
        <v>32</v>
      </c>
      <c r="C314" s="4" t="s">
        <v>23</v>
      </c>
      <c r="D314" s="4" t="s">
        <v>49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44593</v>
      </c>
      <c r="J314" s="6">
        <v>0</v>
      </c>
      <c r="K314" s="6">
        <v>0</v>
      </c>
      <c r="L314" s="6">
        <v>1.8580000000000001</v>
      </c>
      <c r="M314" s="6">
        <v>1.8580000000000001</v>
      </c>
      <c r="N314" s="6">
        <v>1.8580000000000001</v>
      </c>
      <c r="O314" s="6">
        <v>1.8580000000000001</v>
      </c>
      <c r="P314" s="6">
        <v>3</v>
      </c>
      <c r="Q314" s="4" t="s">
        <v>26</v>
      </c>
      <c r="R314" s="4">
        <v>0</v>
      </c>
      <c r="S314" s="4" t="s">
        <v>239</v>
      </c>
      <c r="T314" s="4" t="s">
        <v>400</v>
      </c>
      <c r="U314" s="4">
        <v>0</v>
      </c>
      <c r="V314" s="4">
        <v>46</v>
      </c>
      <c r="W314" s="4">
        <v>84</v>
      </c>
    </row>
    <row r="315" spans="1:23" ht="11.25" customHeight="1" x14ac:dyDescent="0.25">
      <c r="A315" s="4" t="s">
        <v>21</v>
      </c>
      <c r="B315" s="4" t="s">
        <v>32</v>
      </c>
      <c r="C315" s="4" t="s">
        <v>23</v>
      </c>
      <c r="D315" s="4" t="s">
        <v>49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44621</v>
      </c>
      <c r="J315" s="6">
        <v>0</v>
      </c>
      <c r="K315" s="6">
        <v>0</v>
      </c>
      <c r="L315" s="6">
        <v>1.726</v>
      </c>
      <c r="M315" s="6">
        <v>1.726</v>
      </c>
      <c r="N315" s="6">
        <v>1.726</v>
      </c>
      <c r="O315" s="6">
        <v>1.726</v>
      </c>
      <c r="P315" s="6">
        <v>3</v>
      </c>
      <c r="Q315" s="4" t="s">
        <v>26</v>
      </c>
      <c r="R315" s="4">
        <v>0</v>
      </c>
      <c r="S315" s="4" t="s">
        <v>240</v>
      </c>
      <c r="T315" s="4" t="s">
        <v>401</v>
      </c>
      <c r="U315" s="4">
        <v>0</v>
      </c>
      <c r="V315" s="4">
        <v>46</v>
      </c>
      <c r="W315" s="4">
        <v>84</v>
      </c>
    </row>
    <row r="316" spans="1:23" ht="11.25" customHeight="1" x14ac:dyDescent="0.25">
      <c r="A316" s="4" t="s">
        <v>21</v>
      </c>
      <c r="B316" s="4" t="s">
        <v>32</v>
      </c>
      <c r="C316" s="4" t="s">
        <v>23</v>
      </c>
      <c r="D316" s="4" t="s">
        <v>49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44652</v>
      </c>
      <c r="J316" s="6">
        <v>0</v>
      </c>
      <c r="K316" s="6">
        <v>0</v>
      </c>
      <c r="L316" s="6">
        <v>1.6359999999999999</v>
      </c>
      <c r="M316" s="6">
        <v>1.6359999999999999</v>
      </c>
      <c r="N316" s="6">
        <v>1.6359999999999999</v>
      </c>
      <c r="O316" s="6">
        <v>1.6359999999999999</v>
      </c>
      <c r="P316" s="6">
        <v>3</v>
      </c>
      <c r="Q316" s="4" t="s">
        <v>26</v>
      </c>
      <c r="R316" s="4">
        <v>0</v>
      </c>
      <c r="S316" s="4" t="s">
        <v>241</v>
      </c>
      <c r="T316" s="4" t="s">
        <v>402</v>
      </c>
      <c r="U316" s="4">
        <v>0</v>
      </c>
      <c r="V316" s="4">
        <v>46</v>
      </c>
      <c r="W316" s="4">
        <v>84</v>
      </c>
    </row>
    <row r="317" spans="1:23" ht="11.25" customHeight="1" x14ac:dyDescent="0.25">
      <c r="A317" s="4" t="s">
        <v>21</v>
      </c>
      <c r="B317" s="4" t="s">
        <v>32</v>
      </c>
      <c r="C317" s="4" t="s">
        <v>23</v>
      </c>
      <c r="D317" s="4" t="s">
        <v>49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44682</v>
      </c>
      <c r="J317" s="6">
        <v>0</v>
      </c>
      <c r="K317" s="6">
        <v>0</v>
      </c>
      <c r="L317" s="6">
        <v>1.242</v>
      </c>
      <c r="M317" s="6">
        <v>1.242</v>
      </c>
      <c r="N317" s="6">
        <v>1.242</v>
      </c>
      <c r="O317" s="6">
        <v>1.242</v>
      </c>
      <c r="P317" s="6">
        <v>3</v>
      </c>
      <c r="Q317" s="4" t="s">
        <v>26</v>
      </c>
      <c r="R317" s="4">
        <v>0</v>
      </c>
      <c r="S317" s="4" t="s">
        <v>242</v>
      </c>
      <c r="T317" s="4" t="s">
        <v>403</v>
      </c>
      <c r="U317" s="4">
        <v>0</v>
      </c>
      <c r="V317" s="4">
        <v>46</v>
      </c>
      <c r="W317" s="4">
        <v>84</v>
      </c>
    </row>
    <row r="318" spans="1:23" ht="11.25" customHeight="1" x14ac:dyDescent="0.25">
      <c r="A318" s="4" t="s">
        <v>21</v>
      </c>
      <c r="B318" s="4" t="s">
        <v>32</v>
      </c>
      <c r="C318" s="4" t="s">
        <v>23</v>
      </c>
      <c r="D318" s="4" t="s">
        <v>49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44713</v>
      </c>
      <c r="J318" s="6">
        <v>0</v>
      </c>
      <c r="K318" s="6">
        <v>0</v>
      </c>
      <c r="L318" s="6">
        <v>0.96899999999999997</v>
      </c>
      <c r="M318" s="6">
        <v>0.96899999999999997</v>
      </c>
      <c r="N318" s="6">
        <v>0.96899999999999997</v>
      </c>
      <c r="O318" s="6">
        <v>0.96899999999999997</v>
      </c>
      <c r="P318" s="6">
        <v>3</v>
      </c>
      <c r="Q318" s="4" t="s">
        <v>26</v>
      </c>
      <c r="R318" s="4">
        <v>0</v>
      </c>
      <c r="S318" s="4" t="s">
        <v>243</v>
      </c>
      <c r="T318" s="4" t="s">
        <v>404</v>
      </c>
      <c r="U318" s="4">
        <v>0</v>
      </c>
      <c r="V318" s="4">
        <v>46</v>
      </c>
      <c r="W318" s="4">
        <v>84</v>
      </c>
    </row>
    <row r="319" spans="1:23" ht="11.25" customHeight="1" x14ac:dyDescent="0.25">
      <c r="A319" s="4" t="s">
        <v>21</v>
      </c>
      <c r="B319" s="4" t="s">
        <v>32</v>
      </c>
      <c r="C319" s="4" t="s">
        <v>23</v>
      </c>
      <c r="D319" s="4" t="s">
        <v>49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44743</v>
      </c>
      <c r="J319" s="6">
        <v>0</v>
      </c>
      <c r="K319" s="6">
        <v>0</v>
      </c>
      <c r="L319" s="6">
        <v>0.95599999999999996</v>
      </c>
      <c r="M319" s="6">
        <v>0.95599999999999996</v>
      </c>
      <c r="N319" s="6">
        <v>0.95599999999999996</v>
      </c>
      <c r="O319" s="6">
        <v>0.95599999999999996</v>
      </c>
      <c r="P319" s="6">
        <v>3</v>
      </c>
      <c r="Q319" s="4" t="s">
        <v>26</v>
      </c>
      <c r="R319" s="4">
        <v>0</v>
      </c>
      <c r="S319" s="4" t="s">
        <v>244</v>
      </c>
      <c r="T319" s="4" t="s">
        <v>405</v>
      </c>
      <c r="U319" s="4">
        <v>0</v>
      </c>
      <c r="V319" s="4">
        <v>46</v>
      </c>
      <c r="W319" s="4">
        <v>84</v>
      </c>
    </row>
    <row r="320" spans="1:23" ht="11.25" customHeight="1" x14ac:dyDescent="0.25">
      <c r="A320" s="4" t="s">
        <v>21</v>
      </c>
      <c r="B320" s="4" t="s">
        <v>32</v>
      </c>
      <c r="C320" s="4" t="s">
        <v>23</v>
      </c>
      <c r="D320" s="4" t="s">
        <v>33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44409</v>
      </c>
      <c r="J320" s="6">
        <v>0</v>
      </c>
      <c r="K320" s="6">
        <v>0</v>
      </c>
      <c r="L320" s="6">
        <v>109.244</v>
      </c>
      <c r="M320" s="6">
        <v>109.244</v>
      </c>
      <c r="N320" s="6">
        <v>109.244</v>
      </c>
      <c r="O320" s="6">
        <v>109.244</v>
      </c>
      <c r="P320" s="6">
        <v>76</v>
      </c>
      <c r="Q320" s="4" t="s">
        <v>26</v>
      </c>
      <c r="R320" s="4">
        <v>0</v>
      </c>
      <c r="S320" s="4" t="s">
        <v>233</v>
      </c>
      <c r="T320" s="4" t="s">
        <v>394</v>
      </c>
      <c r="U320" s="4">
        <v>0</v>
      </c>
      <c r="V320" s="4">
        <v>46</v>
      </c>
      <c r="W320" s="4">
        <v>84</v>
      </c>
    </row>
    <row r="321" spans="1:23" ht="11.25" customHeight="1" x14ac:dyDescent="0.25">
      <c r="A321" s="4" t="s">
        <v>27</v>
      </c>
      <c r="B321" s="4" t="s">
        <v>32</v>
      </c>
      <c r="C321" s="4" t="s">
        <v>23</v>
      </c>
      <c r="D321" s="4" t="s">
        <v>33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44409</v>
      </c>
      <c r="J321" s="6">
        <v>0</v>
      </c>
      <c r="K321" s="6">
        <v>0</v>
      </c>
      <c r="L321" s="6">
        <v>0.54300000000000004</v>
      </c>
      <c r="M321" s="6">
        <v>0.54300000000000004</v>
      </c>
      <c r="N321" s="6">
        <v>0.54300000000000004</v>
      </c>
      <c r="O321" s="6">
        <v>0.54300000000000004</v>
      </c>
      <c r="P321" s="6">
        <v>1</v>
      </c>
      <c r="Q321" s="4" t="s">
        <v>26</v>
      </c>
      <c r="R321" s="4">
        <v>0</v>
      </c>
      <c r="S321" s="4" t="s">
        <v>233</v>
      </c>
      <c r="T321" s="4" t="s">
        <v>394</v>
      </c>
      <c r="U321" s="4">
        <v>0</v>
      </c>
      <c r="V321" s="4">
        <v>46</v>
      </c>
      <c r="W321" s="4">
        <v>84</v>
      </c>
    </row>
    <row r="322" spans="1:23" ht="11.25" customHeight="1" x14ac:dyDescent="0.25">
      <c r="A322" s="4" t="s">
        <v>21</v>
      </c>
      <c r="B322" s="4" t="s">
        <v>32</v>
      </c>
      <c r="C322" s="4" t="s">
        <v>23</v>
      </c>
      <c r="D322" s="4" t="s">
        <v>33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44440</v>
      </c>
      <c r="J322" s="6">
        <v>0</v>
      </c>
      <c r="K322" s="6">
        <v>0</v>
      </c>
      <c r="L322" s="6">
        <v>96.180999999999997</v>
      </c>
      <c r="M322" s="6">
        <v>96.180999999999997</v>
      </c>
      <c r="N322" s="6">
        <v>96.180999999999997</v>
      </c>
      <c r="O322" s="6">
        <v>96.180999999999997</v>
      </c>
      <c r="P322" s="6">
        <v>77</v>
      </c>
      <c r="Q322" s="4" t="s">
        <v>26</v>
      </c>
      <c r="R322" s="4">
        <v>0</v>
      </c>
      <c r="S322" s="4" t="s">
        <v>234</v>
      </c>
      <c r="T322" s="4" t="s">
        <v>395</v>
      </c>
      <c r="U322" s="4">
        <v>0</v>
      </c>
      <c r="V322" s="4">
        <v>46</v>
      </c>
      <c r="W322" s="4">
        <v>84</v>
      </c>
    </row>
    <row r="323" spans="1:23" ht="11.25" customHeight="1" x14ac:dyDescent="0.25">
      <c r="A323" s="4" t="s">
        <v>27</v>
      </c>
      <c r="B323" s="4" t="s">
        <v>32</v>
      </c>
      <c r="C323" s="4" t="s">
        <v>23</v>
      </c>
      <c r="D323" s="4" t="s">
        <v>33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44440</v>
      </c>
      <c r="J323" s="6">
        <v>0</v>
      </c>
      <c r="K323" s="6">
        <v>0</v>
      </c>
      <c r="L323" s="6">
        <v>0.60499999999999998</v>
      </c>
      <c r="M323" s="6">
        <v>0.60499999999999998</v>
      </c>
      <c r="N323" s="6">
        <v>0.60499999999999998</v>
      </c>
      <c r="O323" s="6">
        <v>0.60499999999999998</v>
      </c>
      <c r="P323" s="6">
        <v>1</v>
      </c>
      <c r="Q323" s="4" t="s">
        <v>26</v>
      </c>
      <c r="R323" s="4">
        <v>0</v>
      </c>
      <c r="S323" s="4" t="s">
        <v>234</v>
      </c>
      <c r="T323" s="4" t="s">
        <v>395</v>
      </c>
      <c r="U323" s="4">
        <v>0</v>
      </c>
      <c r="V323" s="4">
        <v>46</v>
      </c>
      <c r="W323" s="4">
        <v>84</v>
      </c>
    </row>
    <row r="324" spans="1:23" ht="11.25" customHeight="1" x14ac:dyDescent="0.25">
      <c r="A324" s="4" t="s">
        <v>21</v>
      </c>
      <c r="B324" s="4" t="s">
        <v>32</v>
      </c>
      <c r="C324" s="4" t="s">
        <v>23</v>
      </c>
      <c r="D324" s="4" t="s">
        <v>33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44470</v>
      </c>
      <c r="J324" s="6">
        <v>0</v>
      </c>
      <c r="K324" s="6">
        <v>0</v>
      </c>
      <c r="L324" s="6">
        <v>112.52800000000001</v>
      </c>
      <c r="M324" s="6">
        <v>112.52800000000001</v>
      </c>
      <c r="N324" s="6">
        <v>112.52800000000001</v>
      </c>
      <c r="O324" s="6">
        <v>112.52800000000001</v>
      </c>
      <c r="P324" s="6">
        <v>75</v>
      </c>
      <c r="Q324" s="4" t="s">
        <v>26</v>
      </c>
      <c r="R324" s="4">
        <v>0</v>
      </c>
      <c r="S324" s="4" t="s">
        <v>235</v>
      </c>
      <c r="T324" s="4" t="s">
        <v>396</v>
      </c>
      <c r="U324" s="4">
        <v>0</v>
      </c>
      <c r="V324" s="4">
        <v>46</v>
      </c>
      <c r="W324" s="4">
        <v>84</v>
      </c>
    </row>
    <row r="325" spans="1:23" ht="11.25" customHeight="1" x14ac:dyDescent="0.25">
      <c r="A325" s="4" t="s">
        <v>27</v>
      </c>
      <c r="B325" s="4" t="s">
        <v>32</v>
      </c>
      <c r="C325" s="4" t="s">
        <v>23</v>
      </c>
      <c r="D325" s="4" t="s">
        <v>33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44470</v>
      </c>
      <c r="J325" s="6">
        <v>0</v>
      </c>
      <c r="K325" s="6">
        <v>0</v>
      </c>
      <c r="L325" s="6">
        <v>0.505</v>
      </c>
      <c r="M325" s="6">
        <v>0.505</v>
      </c>
      <c r="N325" s="6">
        <v>0.505</v>
      </c>
      <c r="O325" s="6">
        <v>0.505</v>
      </c>
      <c r="P325" s="6">
        <v>1</v>
      </c>
      <c r="Q325" s="4" t="s">
        <v>26</v>
      </c>
      <c r="R325" s="4">
        <v>0</v>
      </c>
      <c r="S325" s="4" t="s">
        <v>235</v>
      </c>
      <c r="T325" s="4" t="s">
        <v>396</v>
      </c>
      <c r="U325" s="4">
        <v>0</v>
      </c>
      <c r="V325" s="4">
        <v>46</v>
      </c>
      <c r="W325" s="4">
        <v>84</v>
      </c>
    </row>
    <row r="326" spans="1:23" ht="11.25" customHeight="1" x14ac:dyDescent="0.25">
      <c r="A326" s="4" t="s">
        <v>21</v>
      </c>
      <c r="B326" s="4" t="s">
        <v>32</v>
      </c>
      <c r="C326" s="4" t="s">
        <v>23</v>
      </c>
      <c r="D326" s="4" t="s">
        <v>33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44501</v>
      </c>
      <c r="J326" s="6">
        <v>0</v>
      </c>
      <c r="K326" s="6">
        <v>0</v>
      </c>
      <c r="L326" s="6">
        <v>94.328000000000003</v>
      </c>
      <c r="M326" s="6">
        <v>94.328000000000003</v>
      </c>
      <c r="N326" s="6">
        <v>94.328000000000003</v>
      </c>
      <c r="O326" s="6">
        <v>94.328000000000003</v>
      </c>
      <c r="P326" s="6">
        <v>75</v>
      </c>
      <c r="Q326" s="4" t="s">
        <v>26</v>
      </c>
      <c r="R326" s="4">
        <v>0</v>
      </c>
      <c r="S326" s="4" t="s">
        <v>236</v>
      </c>
      <c r="T326" s="4" t="s">
        <v>397</v>
      </c>
      <c r="U326" s="4">
        <v>0</v>
      </c>
      <c r="V326" s="4">
        <v>46</v>
      </c>
      <c r="W326" s="4">
        <v>84</v>
      </c>
    </row>
    <row r="327" spans="1:23" ht="11.25" customHeight="1" x14ac:dyDescent="0.25">
      <c r="A327" s="4" t="s">
        <v>27</v>
      </c>
      <c r="B327" s="4" t="s">
        <v>32</v>
      </c>
      <c r="C327" s="4" t="s">
        <v>23</v>
      </c>
      <c r="D327" s="4" t="s">
        <v>33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44501</v>
      </c>
      <c r="J327" s="6">
        <v>0</v>
      </c>
      <c r="K327" s="6">
        <v>0</v>
      </c>
      <c r="L327" s="6">
        <v>0.21299999999999999</v>
      </c>
      <c r="M327" s="6">
        <v>0.21299999999999999</v>
      </c>
      <c r="N327" s="6">
        <v>0.21299999999999999</v>
      </c>
      <c r="O327" s="6">
        <v>0.21299999999999999</v>
      </c>
      <c r="P327" s="6">
        <v>1</v>
      </c>
      <c r="Q327" s="4" t="s">
        <v>26</v>
      </c>
      <c r="R327" s="4">
        <v>0</v>
      </c>
      <c r="S327" s="4" t="s">
        <v>236</v>
      </c>
      <c r="T327" s="4" t="s">
        <v>397</v>
      </c>
      <c r="U327" s="4">
        <v>0</v>
      </c>
      <c r="V327" s="4">
        <v>46</v>
      </c>
      <c r="W327" s="4">
        <v>84</v>
      </c>
    </row>
    <row r="328" spans="1:23" ht="11.25" customHeight="1" x14ac:dyDescent="0.25">
      <c r="A328" s="4" t="s">
        <v>21</v>
      </c>
      <c r="B328" s="4" t="s">
        <v>32</v>
      </c>
      <c r="C328" s="4" t="s">
        <v>23</v>
      </c>
      <c r="D328" s="4" t="s">
        <v>33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44531</v>
      </c>
      <c r="J328" s="6">
        <v>0</v>
      </c>
      <c r="K328" s="6">
        <v>0</v>
      </c>
      <c r="L328" s="6">
        <v>97.72</v>
      </c>
      <c r="M328" s="6">
        <v>97.72</v>
      </c>
      <c r="N328" s="6">
        <v>97.72</v>
      </c>
      <c r="O328" s="6">
        <v>97.72</v>
      </c>
      <c r="P328" s="6">
        <v>74</v>
      </c>
      <c r="Q328" s="4" t="s">
        <v>26</v>
      </c>
      <c r="R328" s="4">
        <v>0</v>
      </c>
      <c r="S328" s="4" t="s">
        <v>237</v>
      </c>
      <c r="T328" s="4" t="s">
        <v>398</v>
      </c>
      <c r="U328" s="4">
        <v>0</v>
      </c>
      <c r="V328" s="4">
        <v>46</v>
      </c>
      <c r="W328" s="4">
        <v>84</v>
      </c>
    </row>
    <row r="329" spans="1:23" ht="11.25" customHeight="1" x14ac:dyDescent="0.25">
      <c r="A329" s="4" t="s">
        <v>27</v>
      </c>
      <c r="B329" s="4" t="s">
        <v>32</v>
      </c>
      <c r="C329" s="4" t="s">
        <v>23</v>
      </c>
      <c r="D329" s="4" t="s">
        <v>33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0.1</v>
      </c>
      <c r="M329" s="6">
        <v>0.1</v>
      </c>
      <c r="N329" s="6">
        <v>0.1</v>
      </c>
      <c r="O329" s="6">
        <v>0.1</v>
      </c>
      <c r="P329" s="6">
        <v>1</v>
      </c>
      <c r="Q329" s="4" t="s">
        <v>26</v>
      </c>
      <c r="R329" s="4">
        <v>0</v>
      </c>
      <c r="S329" s="4" t="s">
        <v>237</v>
      </c>
      <c r="T329" s="4" t="s">
        <v>398</v>
      </c>
      <c r="U329" s="4">
        <v>0</v>
      </c>
      <c r="V329" s="4">
        <v>46</v>
      </c>
      <c r="W329" s="4">
        <v>84</v>
      </c>
    </row>
    <row r="330" spans="1:23" ht="11.25" customHeight="1" x14ac:dyDescent="0.25">
      <c r="A330" s="4" t="s">
        <v>21</v>
      </c>
      <c r="B330" s="4" t="s">
        <v>32</v>
      </c>
      <c r="C330" s="4" t="s">
        <v>23</v>
      </c>
      <c r="D330" s="4" t="s">
        <v>33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93.116</v>
      </c>
      <c r="M330" s="6">
        <v>93.116</v>
      </c>
      <c r="N330" s="6">
        <v>93.116</v>
      </c>
      <c r="O330" s="6">
        <v>93.116</v>
      </c>
      <c r="P330" s="6">
        <v>74</v>
      </c>
      <c r="Q330" s="4" t="s">
        <v>26</v>
      </c>
      <c r="R330" s="4">
        <v>0</v>
      </c>
      <c r="S330" s="4" t="s">
        <v>238</v>
      </c>
      <c r="T330" s="4" t="s">
        <v>399</v>
      </c>
      <c r="U330" s="4">
        <v>0</v>
      </c>
      <c r="V330" s="4">
        <v>46</v>
      </c>
      <c r="W330" s="4">
        <v>84</v>
      </c>
    </row>
    <row r="331" spans="1:23" ht="11.25" customHeight="1" x14ac:dyDescent="0.25">
      <c r="A331" s="4" t="s">
        <v>27</v>
      </c>
      <c r="B331" s="4" t="s">
        <v>32</v>
      </c>
      <c r="C331" s="4" t="s">
        <v>23</v>
      </c>
      <c r="D331" s="4" t="s">
        <v>33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44562</v>
      </c>
      <c r="J331" s="6">
        <v>0</v>
      </c>
      <c r="K331" s="6">
        <v>0</v>
      </c>
      <c r="L331" s="6">
        <v>0.25900000000000001</v>
      </c>
      <c r="M331" s="6">
        <v>0.25900000000000001</v>
      </c>
      <c r="N331" s="6">
        <v>0.25900000000000001</v>
      </c>
      <c r="O331" s="6">
        <v>0.25900000000000001</v>
      </c>
      <c r="P331" s="6">
        <v>1</v>
      </c>
      <c r="Q331" s="4" t="s">
        <v>26</v>
      </c>
      <c r="R331" s="4">
        <v>0</v>
      </c>
      <c r="S331" s="4" t="s">
        <v>238</v>
      </c>
      <c r="T331" s="4" t="s">
        <v>399</v>
      </c>
      <c r="U331" s="4">
        <v>0</v>
      </c>
      <c r="V331" s="4">
        <v>46</v>
      </c>
      <c r="W331" s="4">
        <v>84</v>
      </c>
    </row>
    <row r="332" spans="1:23" ht="11.25" customHeight="1" x14ac:dyDescent="0.25">
      <c r="A332" s="4" t="s">
        <v>21</v>
      </c>
      <c r="B332" s="4" t="s">
        <v>32</v>
      </c>
      <c r="C332" s="4" t="s">
        <v>23</v>
      </c>
      <c r="D332" s="4" t="s">
        <v>33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44593</v>
      </c>
      <c r="J332" s="6">
        <v>0</v>
      </c>
      <c r="K332" s="6">
        <v>0</v>
      </c>
      <c r="L332" s="6">
        <v>103.97799999999999</v>
      </c>
      <c r="M332" s="6">
        <v>103.97799999999999</v>
      </c>
      <c r="N332" s="6">
        <v>103.97799999999999</v>
      </c>
      <c r="O332" s="6">
        <v>103.97799999999999</v>
      </c>
      <c r="P332" s="6">
        <v>76</v>
      </c>
      <c r="Q332" s="4" t="s">
        <v>26</v>
      </c>
      <c r="R332" s="4">
        <v>0</v>
      </c>
      <c r="S332" s="4" t="s">
        <v>239</v>
      </c>
      <c r="T332" s="4" t="s">
        <v>400</v>
      </c>
      <c r="U332" s="4">
        <v>0</v>
      </c>
      <c r="V332" s="4">
        <v>46</v>
      </c>
      <c r="W332" s="4">
        <v>84</v>
      </c>
    </row>
    <row r="333" spans="1:23" ht="11.25" customHeight="1" x14ac:dyDescent="0.25">
      <c r="A333" s="4" t="s">
        <v>27</v>
      </c>
      <c r="B333" s="4" t="s">
        <v>32</v>
      </c>
      <c r="C333" s="4" t="s">
        <v>23</v>
      </c>
      <c r="D333" s="4" t="s">
        <v>33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44593</v>
      </c>
      <c r="J333" s="6">
        <v>0</v>
      </c>
      <c r="K333" s="6">
        <v>0</v>
      </c>
      <c r="L333" s="6">
        <v>0.36499999999999999</v>
      </c>
      <c r="M333" s="6">
        <v>0.36499999999999999</v>
      </c>
      <c r="N333" s="6">
        <v>0.36499999999999999</v>
      </c>
      <c r="O333" s="6">
        <v>0.36499999999999999</v>
      </c>
      <c r="P333" s="6">
        <v>1</v>
      </c>
      <c r="Q333" s="4" t="s">
        <v>26</v>
      </c>
      <c r="R333" s="4">
        <v>0</v>
      </c>
      <c r="S333" s="4" t="s">
        <v>239</v>
      </c>
      <c r="T333" s="4" t="s">
        <v>400</v>
      </c>
      <c r="U333" s="4">
        <v>0</v>
      </c>
      <c r="V333" s="4">
        <v>46</v>
      </c>
      <c r="W333" s="4">
        <v>84</v>
      </c>
    </row>
    <row r="334" spans="1:23" ht="11.25" customHeight="1" x14ac:dyDescent="0.25">
      <c r="A334" s="4" t="s">
        <v>21</v>
      </c>
      <c r="B334" s="4" t="s">
        <v>32</v>
      </c>
      <c r="C334" s="4" t="s">
        <v>23</v>
      </c>
      <c r="D334" s="4" t="s">
        <v>33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44621</v>
      </c>
      <c r="J334" s="6">
        <v>0</v>
      </c>
      <c r="K334" s="6">
        <v>0</v>
      </c>
      <c r="L334" s="6">
        <v>91.114000000000004</v>
      </c>
      <c r="M334" s="6">
        <v>91.114000000000004</v>
      </c>
      <c r="N334" s="6">
        <v>91.114000000000004</v>
      </c>
      <c r="O334" s="6">
        <v>91.114000000000004</v>
      </c>
      <c r="P334" s="6">
        <v>74</v>
      </c>
      <c r="Q334" s="4" t="s">
        <v>26</v>
      </c>
      <c r="R334" s="4">
        <v>0</v>
      </c>
      <c r="S334" s="4" t="s">
        <v>240</v>
      </c>
      <c r="T334" s="4" t="s">
        <v>401</v>
      </c>
      <c r="U334" s="4">
        <v>0</v>
      </c>
      <c r="V334" s="4">
        <v>46</v>
      </c>
      <c r="W334" s="4">
        <v>84</v>
      </c>
    </row>
    <row r="335" spans="1:23" ht="11.25" customHeight="1" x14ac:dyDescent="0.25">
      <c r="A335" s="4" t="s">
        <v>27</v>
      </c>
      <c r="B335" s="4" t="s">
        <v>32</v>
      </c>
      <c r="C335" s="4" t="s">
        <v>23</v>
      </c>
      <c r="D335" s="4" t="s">
        <v>33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44621</v>
      </c>
      <c r="J335" s="6">
        <v>0</v>
      </c>
      <c r="K335" s="6">
        <v>0</v>
      </c>
      <c r="L335" s="6">
        <v>0.1</v>
      </c>
      <c r="M335" s="6">
        <v>0.1</v>
      </c>
      <c r="N335" s="6">
        <v>0.1</v>
      </c>
      <c r="O335" s="6">
        <v>0.1</v>
      </c>
      <c r="P335" s="6">
        <v>1</v>
      </c>
      <c r="Q335" s="4" t="s">
        <v>26</v>
      </c>
      <c r="R335" s="4">
        <v>0</v>
      </c>
      <c r="S335" s="4" t="s">
        <v>240</v>
      </c>
      <c r="T335" s="4" t="s">
        <v>401</v>
      </c>
      <c r="U335" s="4">
        <v>0</v>
      </c>
      <c r="V335" s="4">
        <v>46</v>
      </c>
      <c r="W335" s="4">
        <v>84</v>
      </c>
    </row>
    <row r="336" spans="1:23" ht="11.25" customHeight="1" x14ac:dyDescent="0.25">
      <c r="A336" s="4" t="s">
        <v>21</v>
      </c>
      <c r="B336" s="4" t="s">
        <v>32</v>
      </c>
      <c r="C336" s="4" t="s">
        <v>23</v>
      </c>
      <c r="D336" s="4" t="s">
        <v>33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44652</v>
      </c>
      <c r="J336" s="6">
        <v>0</v>
      </c>
      <c r="K336" s="6">
        <v>0</v>
      </c>
      <c r="L336" s="6">
        <v>87.905000000000001</v>
      </c>
      <c r="M336" s="6">
        <v>87.905000000000001</v>
      </c>
      <c r="N336" s="6">
        <v>87.905000000000001</v>
      </c>
      <c r="O336" s="6">
        <v>87.905000000000001</v>
      </c>
      <c r="P336" s="6">
        <v>70</v>
      </c>
      <c r="Q336" s="4" t="s">
        <v>26</v>
      </c>
      <c r="R336" s="4">
        <v>0</v>
      </c>
      <c r="S336" s="4" t="s">
        <v>241</v>
      </c>
      <c r="T336" s="4" t="s">
        <v>402</v>
      </c>
      <c r="U336" s="4">
        <v>0</v>
      </c>
      <c r="V336" s="4">
        <v>46</v>
      </c>
      <c r="W336" s="4">
        <v>84</v>
      </c>
    </row>
    <row r="337" spans="1:23" ht="11.25" customHeight="1" x14ac:dyDescent="0.25">
      <c r="A337" s="4" t="s">
        <v>27</v>
      </c>
      <c r="B337" s="4" t="s">
        <v>32</v>
      </c>
      <c r="C337" s="4" t="s">
        <v>23</v>
      </c>
      <c r="D337" s="4" t="s">
        <v>33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44652</v>
      </c>
      <c r="J337" s="6">
        <v>0</v>
      </c>
      <c r="K337" s="6">
        <v>0</v>
      </c>
      <c r="L337" s="6">
        <v>0.1</v>
      </c>
      <c r="M337" s="6">
        <v>0.1</v>
      </c>
      <c r="N337" s="6">
        <v>0.1</v>
      </c>
      <c r="O337" s="6">
        <v>0.1</v>
      </c>
      <c r="P337" s="6">
        <v>1</v>
      </c>
      <c r="Q337" s="4" t="s">
        <v>26</v>
      </c>
      <c r="R337" s="4">
        <v>0</v>
      </c>
      <c r="S337" s="4" t="s">
        <v>241</v>
      </c>
      <c r="T337" s="4" t="s">
        <v>402</v>
      </c>
      <c r="U337" s="4">
        <v>0</v>
      </c>
      <c r="V337" s="4">
        <v>46</v>
      </c>
      <c r="W337" s="4">
        <v>84</v>
      </c>
    </row>
    <row r="338" spans="1:23" ht="11.25" customHeight="1" x14ac:dyDescent="0.25">
      <c r="A338" s="4" t="s">
        <v>21</v>
      </c>
      <c r="B338" s="4" t="s">
        <v>32</v>
      </c>
      <c r="C338" s="4" t="s">
        <v>23</v>
      </c>
      <c r="D338" s="4" t="s">
        <v>33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44682</v>
      </c>
      <c r="J338" s="6">
        <v>0</v>
      </c>
      <c r="K338" s="6">
        <v>0</v>
      </c>
      <c r="L338" s="6">
        <v>94.152000000000001</v>
      </c>
      <c r="M338" s="6">
        <v>94.152000000000001</v>
      </c>
      <c r="N338" s="6">
        <v>94.152000000000001</v>
      </c>
      <c r="O338" s="6">
        <v>94.152000000000001</v>
      </c>
      <c r="P338" s="6">
        <v>68</v>
      </c>
      <c r="Q338" s="4" t="s">
        <v>26</v>
      </c>
      <c r="R338" s="4">
        <v>0</v>
      </c>
      <c r="S338" s="4" t="s">
        <v>242</v>
      </c>
      <c r="T338" s="4" t="s">
        <v>403</v>
      </c>
      <c r="U338" s="4">
        <v>0</v>
      </c>
      <c r="V338" s="4">
        <v>46</v>
      </c>
      <c r="W338" s="4">
        <v>84</v>
      </c>
    </row>
    <row r="339" spans="1:23" ht="11.25" customHeight="1" x14ac:dyDescent="0.25">
      <c r="A339" s="4" t="s">
        <v>27</v>
      </c>
      <c r="B339" s="4" t="s">
        <v>32</v>
      </c>
      <c r="C339" s="4" t="s">
        <v>23</v>
      </c>
      <c r="D339" s="4" t="s">
        <v>33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44682</v>
      </c>
      <c r="J339" s="6">
        <v>0</v>
      </c>
      <c r="K339" s="6">
        <v>0</v>
      </c>
      <c r="L339" s="6">
        <v>0.19400000000000001</v>
      </c>
      <c r="M339" s="6">
        <v>0.19400000000000001</v>
      </c>
      <c r="N339" s="6">
        <v>0.19400000000000001</v>
      </c>
      <c r="O339" s="6">
        <v>0.19400000000000001</v>
      </c>
      <c r="P339" s="6">
        <v>1</v>
      </c>
      <c r="Q339" s="4" t="s">
        <v>26</v>
      </c>
      <c r="R339" s="4">
        <v>0</v>
      </c>
      <c r="S339" s="4" t="s">
        <v>242</v>
      </c>
      <c r="T339" s="4" t="s">
        <v>403</v>
      </c>
      <c r="U339" s="4">
        <v>0</v>
      </c>
      <c r="V339" s="4">
        <v>46</v>
      </c>
      <c r="W339" s="4">
        <v>84</v>
      </c>
    </row>
    <row r="340" spans="1:23" ht="11.25" customHeight="1" x14ac:dyDescent="0.25">
      <c r="A340" s="4" t="s">
        <v>21</v>
      </c>
      <c r="B340" s="4" t="s">
        <v>32</v>
      </c>
      <c r="C340" s="4" t="s">
        <v>23</v>
      </c>
      <c r="D340" s="4" t="s">
        <v>33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44713</v>
      </c>
      <c r="J340" s="6">
        <v>0</v>
      </c>
      <c r="K340" s="6">
        <v>0</v>
      </c>
      <c r="L340" s="6">
        <v>86.853999999999999</v>
      </c>
      <c r="M340" s="6">
        <v>86.853999999999999</v>
      </c>
      <c r="N340" s="6">
        <v>86.853999999999999</v>
      </c>
      <c r="O340" s="6">
        <v>86.853999999999999</v>
      </c>
      <c r="P340" s="6">
        <v>68</v>
      </c>
      <c r="Q340" s="4" t="s">
        <v>26</v>
      </c>
      <c r="R340" s="4">
        <v>0</v>
      </c>
      <c r="S340" s="4" t="s">
        <v>243</v>
      </c>
      <c r="T340" s="4" t="s">
        <v>404</v>
      </c>
      <c r="U340" s="4">
        <v>0</v>
      </c>
      <c r="V340" s="4">
        <v>46</v>
      </c>
      <c r="W340" s="4">
        <v>84</v>
      </c>
    </row>
    <row r="341" spans="1:23" ht="11.25" customHeight="1" x14ac:dyDescent="0.25">
      <c r="A341" s="4" t="s">
        <v>27</v>
      </c>
      <c r="B341" s="4" t="s">
        <v>32</v>
      </c>
      <c r="C341" s="4" t="s">
        <v>23</v>
      </c>
      <c r="D341" s="4" t="s">
        <v>33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44713</v>
      </c>
      <c r="J341" s="6">
        <v>0</v>
      </c>
      <c r="K341" s="6">
        <v>0</v>
      </c>
      <c r="L341" s="6">
        <v>0.115</v>
      </c>
      <c r="M341" s="6">
        <v>0.115</v>
      </c>
      <c r="N341" s="6">
        <v>0.115</v>
      </c>
      <c r="O341" s="6">
        <v>0.115</v>
      </c>
      <c r="P341" s="6">
        <v>1</v>
      </c>
      <c r="Q341" s="4" t="s">
        <v>26</v>
      </c>
      <c r="R341" s="4">
        <v>0</v>
      </c>
      <c r="S341" s="4" t="s">
        <v>243</v>
      </c>
      <c r="T341" s="4" t="s">
        <v>404</v>
      </c>
      <c r="U341" s="4">
        <v>0</v>
      </c>
      <c r="V341" s="4">
        <v>46</v>
      </c>
      <c r="W341" s="4">
        <v>84</v>
      </c>
    </row>
    <row r="342" spans="1:23" ht="11.25" customHeight="1" x14ac:dyDescent="0.25">
      <c r="A342" s="4" t="s">
        <v>21</v>
      </c>
      <c r="B342" s="4" t="s">
        <v>32</v>
      </c>
      <c r="C342" s="4" t="s">
        <v>23</v>
      </c>
      <c r="D342" s="4" t="s">
        <v>33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44743</v>
      </c>
      <c r="J342" s="6">
        <v>0</v>
      </c>
      <c r="K342" s="6">
        <v>0</v>
      </c>
      <c r="L342" s="6">
        <v>90.668000000000006</v>
      </c>
      <c r="M342" s="6">
        <v>90.668000000000006</v>
      </c>
      <c r="N342" s="6">
        <v>90.668000000000006</v>
      </c>
      <c r="O342" s="6">
        <v>90.668000000000006</v>
      </c>
      <c r="P342" s="6">
        <v>69</v>
      </c>
      <c r="Q342" s="4" t="s">
        <v>26</v>
      </c>
      <c r="R342" s="4">
        <v>0</v>
      </c>
      <c r="S342" s="4" t="s">
        <v>244</v>
      </c>
      <c r="T342" s="4" t="s">
        <v>405</v>
      </c>
      <c r="U342" s="4">
        <v>0</v>
      </c>
      <c r="V342" s="4">
        <v>46</v>
      </c>
      <c r="W342" s="4">
        <v>84</v>
      </c>
    </row>
    <row r="343" spans="1:23" ht="11.25" customHeight="1" x14ac:dyDescent="0.25">
      <c r="A343" s="4" t="s">
        <v>27</v>
      </c>
      <c r="B343" s="4" t="s">
        <v>32</v>
      </c>
      <c r="C343" s="4" t="s">
        <v>23</v>
      </c>
      <c r="D343" s="4" t="s">
        <v>33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44743</v>
      </c>
      <c r="J343" s="6">
        <v>0</v>
      </c>
      <c r="K343" s="6">
        <v>0</v>
      </c>
      <c r="L343" s="6">
        <v>2.4089999999999998</v>
      </c>
      <c r="M343" s="6">
        <v>2.4089999999999998</v>
      </c>
      <c r="N343" s="6">
        <v>2.4089999999999998</v>
      </c>
      <c r="O343" s="6">
        <v>2.4089999999999998</v>
      </c>
      <c r="P343" s="6">
        <v>2</v>
      </c>
      <c r="Q343" s="4" t="s">
        <v>26</v>
      </c>
      <c r="R343" s="4">
        <v>0</v>
      </c>
      <c r="S343" s="4" t="s">
        <v>244</v>
      </c>
      <c r="T343" s="4" t="s">
        <v>405</v>
      </c>
      <c r="U343" s="4">
        <v>0</v>
      </c>
      <c r="V343" s="4">
        <v>46</v>
      </c>
      <c r="W343" s="4">
        <v>84</v>
      </c>
    </row>
    <row r="344" spans="1:23" ht="11.25" customHeight="1" x14ac:dyDescent="0.25">
      <c r="A344" s="4" t="s">
        <v>21</v>
      </c>
      <c r="B344" s="4" t="s">
        <v>32</v>
      </c>
      <c r="C344" s="4" t="s">
        <v>23</v>
      </c>
      <c r="D344" s="4" t="s">
        <v>43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44409</v>
      </c>
      <c r="J344" s="6">
        <v>0</v>
      </c>
      <c r="K344" s="6">
        <v>0</v>
      </c>
      <c r="L344" s="6">
        <v>32.207000000000001</v>
      </c>
      <c r="M344" s="6">
        <v>32.207000000000001</v>
      </c>
      <c r="N344" s="6">
        <v>32.207000000000001</v>
      </c>
      <c r="O344" s="6">
        <v>32.207000000000001</v>
      </c>
      <c r="P344" s="6">
        <v>51</v>
      </c>
      <c r="Q344" s="4" t="s">
        <v>26</v>
      </c>
      <c r="R344" s="4">
        <v>0</v>
      </c>
      <c r="S344" s="4" t="s">
        <v>233</v>
      </c>
      <c r="T344" s="4" t="s">
        <v>394</v>
      </c>
      <c r="U344" s="4">
        <v>0</v>
      </c>
      <c r="V344" s="4">
        <v>46</v>
      </c>
      <c r="W344" s="4">
        <v>84</v>
      </c>
    </row>
    <row r="345" spans="1:23" ht="11.25" customHeight="1" x14ac:dyDescent="0.25">
      <c r="A345" s="4" t="s">
        <v>21</v>
      </c>
      <c r="B345" s="4" t="s">
        <v>32</v>
      </c>
      <c r="C345" s="4" t="s">
        <v>23</v>
      </c>
      <c r="D345" s="4" t="s">
        <v>43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44440</v>
      </c>
      <c r="J345" s="6">
        <v>0</v>
      </c>
      <c r="K345" s="6">
        <v>0</v>
      </c>
      <c r="L345" s="6">
        <v>29.888999999999999</v>
      </c>
      <c r="M345" s="6">
        <v>29.888999999999999</v>
      </c>
      <c r="N345" s="6">
        <v>29.888999999999999</v>
      </c>
      <c r="O345" s="6">
        <v>29.888999999999999</v>
      </c>
      <c r="P345" s="6">
        <v>51</v>
      </c>
      <c r="Q345" s="4" t="s">
        <v>26</v>
      </c>
      <c r="R345" s="4">
        <v>0</v>
      </c>
      <c r="S345" s="4" t="s">
        <v>234</v>
      </c>
      <c r="T345" s="4" t="s">
        <v>395</v>
      </c>
      <c r="U345" s="4">
        <v>0</v>
      </c>
      <c r="V345" s="4">
        <v>46</v>
      </c>
      <c r="W345" s="4">
        <v>84</v>
      </c>
    </row>
    <row r="346" spans="1:23" ht="11.25" customHeight="1" x14ac:dyDescent="0.25">
      <c r="A346" s="4" t="s">
        <v>21</v>
      </c>
      <c r="B346" s="4" t="s">
        <v>32</v>
      </c>
      <c r="C346" s="4" t="s">
        <v>23</v>
      </c>
      <c r="D346" s="4" t="s">
        <v>43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44470</v>
      </c>
      <c r="J346" s="6">
        <v>0</v>
      </c>
      <c r="K346" s="6">
        <v>0</v>
      </c>
      <c r="L346" s="6">
        <v>33.018000000000001</v>
      </c>
      <c r="M346" s="6">
        <v>33.018000000000001</v>
      </c>
      <c r="N346" s="6">
        <v>33.018000000000001</v>
      </c>
      <c r="O346" s="6">
        <v>33.018000000000001</v>
      </c>
      <c r="P346" s="6">
        <v>51</v>
      </c>
      <c r="Q346" s="4" t="s">
        <v>26</v>
      </c>
      <c r="R346" s="4">
        <v>0</v>
      </c>
      <c r="S346" s="4" t="s">
        <v>235</v>
      </c>
      <c r="T346" s="4" t="s">
        <v>396</v>
      </c>
      <c r="U346" s="4">
        <v>0</v>
      </c>
      <c r="V346" s="4">
        <v>46</v>
      </c>
      <c r="W346" s="4">
        <v>84</v>
      </c>
    </row>
    <row r="347" spans="1:23" ht="11.25" customHeight="1" x14ac:dyDescent="0.25">
      <c r="A347" s="4" t="s">
        <v>21</v>
      </c>
      <c r="B347" s="4" t="s">
        <v>32</v>
      </c>
      <c r="C347" s="4" t="s">
        <v>23</v>
      </c>
      <c r="D347" s="4" t="s">
        <v>43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44501</v>
      </c>
      <c r="J347" s="6">
        <v>0</v>
      </c>
      <c r="K347" s="6">
        <v>0</v>
      </c>
      <c r="L347" s="6">
        <v>30.91</v>
      </c>
      <c r="M347" s="6">
        <v>30.91</v>
      </c>
      <c r="N347" s="6">
        <v>30.91</v>
      </c>
      <c r="O347" s="6">
        <v>30.91</v>
      </c>
      <c r="P347" s="6">
        <v>51</v>
      </c>
      <c r="Q347" s="4" t="s">
        <v>26</v>
      </c>
      <c r="R347" s="4">
        <v>0</v>
      </c>
      <c r="S347" s="4" t="s">
        <v>236</v>
      </c>
      <c r="T347" s="4" t="s">
        <v>397</v>
      </c>
      <c r="U347" s="4">
        <v>0</v>
      </c>
      <c r="V347" s="4">
        <v>46</v>
      </c>
      <c r="W347" s="4">
        <v>84</v>
      </c>
    </row>
    <row r="348" spans="1:23" ht="11.25" customHeight="1" x14ac:dyDescent="0.25">
      <c r="A348" s="4" t="s">
        <v>21</v>
      </c>
      <c r="B348" s="4" t="s">
        <v>32</v>
      </c>
      <c r="C348" s="4" t="s">
        <v>23</v>
      </c>
      <c r="D348" s="4" t="s">
        <v>43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44531</v>
      </c>
      <c r="J348" s="6">
        <v>0</v>
      </c>
      <c r="K348" s="6">
        <v>0</v>
      </c>
      <c r="L348" s="6">
        <v>39.243000000000002</v>
      </c>
      <c r="M348" s="6">
        <v>39.243000000000002</v>
      </c>
      <c r="N348" s="6">
        <v>39.243000000000002</v>
      </c>
      <c r="O348" s="6">
        <v>39.243000000000002</v>
      </c>
      <c r="P348" s="6">
        <v>51</v>
      </c>
      <c r="Q348" s="4" t="s">
        <v>26</v>
      </c>
      <c r="R348" s="4">
        <v>0</v>
      </c>
      <c r="S348" s="4" t="s">
        <v>237</v>
      </c>
      <c r="T348" s="4" t="s">
        <v>398</v>
      </c>
      <c r="U348" s="4">
        <v>0</v>
      </c>
      <c r="V348" s="4">
        <v>46</v>
      </c>
      <c r="W348" s="4">
        <v>84</v>
      </c>
    </row>
    <row r="349" spans="1:23" ht="11.25" customHeight="1" x14ac:dyDescent="0.25">
      <c r="A349" s="4" t="s">
        <v>21</v>
      </c>
      <c r="B349" s="4" t="s">
        <v>32</v>
      </c>
      <c r="C349" s="4" t="s">
        <v>23</v>
      </c>
      <c r="D349" s="4" t="s">
        <v>43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44562</v>
      </c>
      <c r="J349" s="6">
        <v>0</v>
      </c>
      <c r="K349" s="6">
        <v>0</v>
      </c>
      <c r="L349" s="6">
        <v>38.582999999999998</v>
      </c>
      <c r="M349" s="6">
        <v>38.582999999999998</v>
      </c>
      <c r="N349" s="6">
        <v>38.582999999999998</v>
      </c>
      <c r="O349" s="6">
        <v>38.582999999999998</v>
      </c>
      <c r="P349" s="6">
        <v>51</v>
      </c>
      <c r="Q349" s="4" t="s">
        <v>26</v>
      </c>
      <c r="R349" s="4">
        <v>0</v>
      </c>
      <c r="S349" s="4" t="s">
        <v>238</v>
      </c>
      <c r="T349" s="4" t="s">
        <v>399</v>
      </c>
      <c r="U349" s="4">
        <v>0</v>
      </c>
      <c r="V349" s="4">
        <v>46</v>
      </c>
      <c r="W349" s="4">
        <v>84</v>
      </c>
    </row>
    <row r="350" spans="1:23" ht="11.25" customHeight="1" x14ac:dyDescent="0.25">
      <c r="A350" s="4" t="s">
        <v>21</v>
      </c>
      <c r="B350" s="4" t="s">
        <v>32</v>
      </c>
      <c r="C350" s="4" t="s">
        <v>23</v>
      </c>
      <c r="D350" s="4" t="s">
        <v>43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44593</v>
      </c>
      <c r="J350" s="6">
        <v>0</v>
      </c>
      <c r="K350" s="6">
        <v>0</v>
      </c>
      <c r="L350" s="6">
        <v>50.277999999999999</v>
      </c>
      <c r="M350" s="6">
        <v>50.277999999999999</v>
      </c>
      <c r="N350" s="6">
        <v>50.277999999999999</v>
      </c>
      <c r="O350" s="6">
        <v>50.277999999999999</v>
      </c>
      <c r="P350" s="6">
        <v>51</v>
      </c>
      <c r="Q350" s="4" t="s">
        <v>26</v>
      </c>
      <c r="R350" s="4">
        <v>0</v>
      </c>
      <c r="S350" s="4" t="s">
        <v>239</v>
      </c>
      <c r="T350" s="4" t="s">
        <v>400</v>
      </c>
      <c r="U350" s="4">
        <v>0</v>
      </c>
      <c r="V350" s="4">
        <v>46</v>
      </c>
      <c r="W350" s="4">
        <v>84</v>
      </c>
    </row>
    <row r="351" spans="1:23" ht="11.25" customHeight="1" x14ac:dyDescent="0.25">
      <c r="A351" s="4" t="s">
        <v>21</v>
      </c>
      <c r="B351" s="4" t="s">
        <v>32</v>
      </c>
      <c r="C351" s="4" t="s">
        <v>23</v>
      </c>
      <c r="D351" s="4" t="s">
        <v>43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44621</v>
      </c>
      <c r="J351" s="6">
        <v>0</v>
      </c>
      <c r="K351" s="6">
        <v>0</v>
      </c>
      <c r="L351" s="6">
        <v>51.749000000000002</v>
      </c>
      <c r="M351" s="6">
        <v>51.749000000000002</v>
      </c>
      <c r="N351" s="6">
        <v>51.749000000000002</v>
      </c>
      <c r="O351" s="6">
        <v>51.749000000000002</v>
      </c>
      <c r="P351" s="6">
        <v>51</v>
      </c>
      <c r="Q351" s="4" t="s">
        <v>26</v>
      </c>
      <c r="R351" s="4">
        <v>0</v>
      </c>
      <c r="S351" s="4" t="s">
        <v>240</v>
      </c>
      <c r="T351" s="4" t="s">
        <v>401</v>
      </c>
      <c r="U351" s="4">
        <v>0</v>
      </c>
      <c r="V351" s="4">
        <v>46</v>
      </c>
      <c r="W351" s="4">
        <v>84</v>
      </c>
    </row>
    <row r="352" spans="1:23" ht="11.25" customHeight="1" x14ac:dyDescent="0.25">
      <c r="A352" s="4" t="s">
        <v>21</v>
      </c>
      <c r="B352" s="4" t="s">
        <v>32</v>
      </c>
      <c r="C352" s="4" t="s">
        <v>23</v>
      </c>
      <c r="D352" s="4" t="s">
        <v>43</v>
      </c>
      <c r="E352" s="4" t="s">
        <v>25</v>
      </c>
      <c r="F352" s="4" t="s">
        <v>25</v>
      </c>
      <c r="G352" s="4" t="s">
        <v>25</v>
      </c>
      <c r="H352" s="4" t="s">
        <v>25</v>
      </c>
      <c r="I352" s="5">
        <v>44652</v>
      </c>
      <c r="J352" s="6">
        <v>0</v>
      </c>
      <c r="K352" s="6">
        <v>0</v>
      </c>
      <c r="L352" s="6">
        <v>52.555</v>
      </c>
      <c r="M352" s="6">
        <v>52.555</v>
      </c>
      <c r="N352" s="6">
        <v>52.555</v>
      </c>
      <c r="O352" s="6">
        <v>52.555</v>
      </c>
      <c r="P352" s="6">
        <v>52</v>
      </c>
      <c r="Q352" s="4" t="s">
        <v>26</v>
      </c>
      <c r="R352" s="4">
        <v>0</v>
      </c>
      <c r="S352" s="4" t="s">
        <v>241</v>
      </c>
      <c r="T352" s="4" t="s">
        <v>402</v>
      </c>
      <c r="U352" s="4">
        <v>0</v>
      </c>
      <c r="V352" s="4">
        <v>46</v>
      </c>
      <c r="W352" s="4">
        <v>84</v>
      </c>
    </row>
    <row r="353" spans="1:23" ht="11.25" customHeight="1" x14ac:dyDescent="0.25">
      <c r="A353" s="4" t="s">
        <v>21</v>
      </c>
      <c r="B353" s="4" t="s">
        <v>32</v>
      </c>
      <c r="C353" s="4" t="s">
        <v>23</v>
      </c>
      <c r="D353" s="4" t="s">
        <v>43</v>
      </c>
      <c r="E353" s="4" t="s">
        <v>25</v>
      </c>
      <c r="F353" s="4" t="s">
        <v>25</v>
      </c>
      <c r="G353" s="4" t="s">
        <v>25</v>
      </c>
      <c r="H353" s="4" t="s">
        <v>25</v>
      </c>
      <c r="I353" s="5">
        <v>44682</v>
      </c>
      <c r="J353" s="6">
        <v>0</v>
      </c>
      <c r="K353" s="6">
        <v>0</v>
      </c>
      <c r="L353" s="6">
        <v>36.895000000000003</v>
      </c>
      <c r="M353" s="6">
        <v>36.895000000000003</v>
      </c>
      <c r="N353" s="6">
        <v>36.895000000000003</v>
      </c>
      <c r="O353" s="6">
        <v>36.895000000000003</v>
      </c>
      <c r="P353" s="6">
        <v>52</v>
      </c>
      <c r="Q353" s="4" t="s">
        <v>26</v>
      </c>
      <c r="R353" s="4">
        <v>0</v>
      </c>
      <c r="S353" s="4" t="s">
        <v>242</v>
      </c>
      <c r="T353" s="4" t="s">
        <v>403</v>
      </c>
      <c r="U353" s="4">
        <v>0</v>
      </c>
      <c r="V353" s="4">
        <v>46</v>
      </c>
      <c r="W353" s="4">
        <v>84</v>
      </c>
    </row>
    <row r="354" spans="1:23" ht="11.25" customHeight="1" x14ac:dyDescent="0.25">
      <c r="A354" s="4" t="s">
        <v>21</v>
      </c>
      <c r="B354" s="4" t="s">
        <v>32</v>
      </c>
      <c r="C354" s="4" t="s">
        <v>23</v>
      </c>
      <c r="D354" s="4" t="s">
        <v>43</v>
      </c>
      <c r="E354" s="4" t="s">
        <v>25</v>
      </c>
      <c r="F354" s="4" t="s">
        <v>25</v>
      </c>
      <c r="G354" s="4" t="s">
        <v>25</v>
      </c>
      <c r="H354" s="4" t="s">
        <v>25</v>
      </c>
      <c r="I354" s="5">
        <v>44713</v>
      </c>
      <c r="J354" s="6">
        <v>0</v>
      </c>
      <c r="K354" s="6">
        <v>0</v>
      </c>
      <c r="L354" s="6">
        <v>31.05</v>
      </c>
      <c r="M354" s="6">
        <v>31.05</v>
      </c>
      <c r="N354" s="6">
        <v>31.05</v>
      </c>
      <c r="O354" s="6">
        <v>31.05</v>
      </c>
      <c r="P354" s="6">
        <v>52</v>
      </c>
      <c r="Q354" s="4" t="s">
        <v>26</v>
      </c>
      <c r="R354" s="4">
        <v>0</v>
      </c>
      <c r="S354" s="4" t="s">
        <v>243</v>
      </c>
      <c r="T354" s="4" t="s">
        <v>404</v>
      </c>
      <c r="U354" s="4">
        <v>0</v>
      </c>
      <c r="V354" s="4">
        <v>46</v>
      </c>
      <c r="W354" s="4">
        <v>84</v>
      </c>
    </row>
    <row r="355" spans="1:23" ht="11.25" customHeight="1" x14ac:dyDescent="0.25">
      <c r="A355" s="4" t="s">
        <v>21</v>
      </c>
      <c r="B355" s="4" t="s">
        <v>32</v>
      </c>
      <c r="C355" s="4" t="s">
        <v>23</v>
      </c>
      <c r="D355" s="4" t="s">
        <v>43</v>
      </c>
      <c r="E355" s="4" t="s">
        <v>25</v>
      </c>
      <c r="F355" s="4" t="s">
        <v>25</v>
      </c>
      <c r="G355" s="4" t="s">
        <v>25</v>
      </c>
      <c r="H355" s="4" t="s">
        <v>25</v>
      </c>
      <c r="I355" s="5">
        <v>44743</v>
      </c>
      <c r="J355" s="6">
        <v>0</v>
      </c>
      <c r="K355" s="6">
        <v>0</v>
      </c>
      <c r="L355" s="6">
        <v>37.548000000000002</v>
      </c>
      <c r="M355" s="6">
        <v>37.548000000000002</v>
      </c>
      <c r="N355" s="6">
        <v>37.548000000000002</v>
      </c>
      <c r="O355" s="6">
        <v>37.548000000000002</v>
      </c>
      <c r="P355" s="6">
        <v>52</v>
      </c>
      <c r="Q355" s="4" t="s">
        <v>26</v>
      </c>
      <c r="R355" s="4">
        <v>0</v>
      </c>
      <c r="S355" s="4" t="s">
        <v>244</v>
      </c>
      <c r="T355" s="4" t="s">
        <v>405</v>
      </c>
      <c r="U355" s="4">
        <v>0</v>
      </c>
      <c r="V355" s="4">
        <v>46</v>
      </c>
      <c r="W355" s="4">
        <v>84</v>
      </c>
    </row>
    <row r="356" spans="1:23" ht="11.25" customHeight="1" x14ac:dyDescent="0.25">
      <c r="A356" s="4" t="s">
        <v>21</v>
      </c>
      <c r="B356" s="4" t="s">
        <v>32</v>
      </c>
      <c r="C356" s="4" t="s">
        <v>23</v>
      </c>
      <c r="D356" s="4" t="s">
        <v>47</v>
      </c>
      <c r="E356" s="4" t="s">
        <v>48</v>
      </c>
      <c r="F356" s="4" t="s">
        <v>25</v>
      </c>
      <c r="G356" s="4" t="s">
        <v>25</v>
      </c>
      <c r="H356" s="4" t="s">
        <v>25</v>
      </c>
      <c r="I356" s="5">
        <v>44409</v>
      </c>
      <c r="J356" s="6">
        <v>0</v>
      </c>
      <c r="K356" s="6">
        <v>0</v>
      </c>
      <c r="L356" s="6">
        <v>0.91900000000000004</v>
      </c>
      <c r="M356" s="6">
        <v>0.86385999999999996</v>
      </c>
      <c r="N356" s="6">
        <v>0.91900000000000004</v>
      </c>
      <c r="O356" s="6">
        <v>0.86385999999999996</v>
      </c>
      <c r="P356" s="6">
        <v>1</v>
      </c>
      <c r="Q356" s="4" t="s">
        <v>26</v>
      </c>
      <c r="R356" s="4">
        <v>0</v>
      </c>
      <c r="S356" s="4" t="s">
        <v>233</v>
      </c>
      <c r="T356" s="4" t="s">
        <v>394</v>
      </c>
      <c r="U356" s="4">
        <v>0</v>
      </c>
      <c r="V356" s="4">
        <v>46</v>
      </c>
      <c r="W356" s="4">
        <v>84</v>
      </c>
    </row>
    <row r="357" spans="1:23" ht="11.25" customHeight="1" x14ac:dyDescent="0.25">
      <c r="A357" s="4" t="s">
        <v>21</v>
      </c>
      <c r="B357" s="4" t="s">
        <v>32</v>
      </c>
      <c r="C357" s="4" t="s">
        <v>23</v>
      </c>
      <c r="D357" s="4" t="s">
        <v>47</v>
      </c>
      <c r="E357" s="4" t="s">
        <v>48</v>
      </c>
      <c r="F357" s="4" t="s">
        <v>25</v>
      </c>
      <c r="G357" s="4" t="s">
        <v>25</v>
      </c>
      <c r="H357" s="4" t="s">
        <v>25</v>
      </c>
      <c r="I357" s="5">
        <v>44440</v>
      </c>
      <c r="J357" s="6">
        <v>0</v>
      </c>
      <c r="K357" s="6">
        <v>0</v>
      </c>
      <c r="L357" s="6">
        <v>0.93200000000000005</v>
      </c>
      <c r="M357" s="6">
        <v>0.87607999999999997</v>
      </c>
      <c r="N357" s="6">
        <v>0.93200000000000005</v>
      </c>
      <c r="O357" s="6">
        <v>0.87607999999999997</v>
      </c>
      <c r="P357" s="6">
        <v>1</v>
      </c>
      <c r="Q357" s="4" t="s">
        <v>26</v>
      </c>
      <c r="R357" s="4">
        <v>0</v>
      </c>
      <c r="S357" s="4" t="s">
        <v>234</v>
      </c>
      <c r="T357" s="4" t="s">
        <v>395</v>
      </c>
      <c r="U357" s="4">
        <v>0</v>
      </c>
      <c r="V357" s="4">
        <v>46</v>
      </c>
      <c r="W357" s="4">
        <v>84</v>
      </c>
    </row>
    <row r="358" spans="1:23" ht="11.25" customHeight="1" x14ac:dyDescent="0.25">
      <c r="A358" s="4" t="s">
        <v>21</v>
      </c>
      <c r="B358" s="4" t="s">
        <v>32</v>
      </c>
      <c r="C358" s="4" t="s">
        <v>23</v>
      </c>
      <c r="D358" s="4" t="s">
        <v>47</v>
      </c>
      <c r="E358" s="4" t="s">
        <v>48</v>
      </c>
      <c r="F358" s="4" t="s">
        <v>25</v>
      </c>
      <c r="G358" s="4" t="s">
        <v>25</v>
      </c>
      <c r="H358" s="4" t="s">
        <v>25</v>
      </c>
      <c r="I358" s="5">
        <v>44470</v>
      </c>
      <c r="J358" s="6">
        <v>0</v>
      </c>
      <c r="K358" s="6">
        <v>0</v>
      </c>
      <c r="L358" s="6">
        <v>1.2130000000000001</v>
      </c>
      <c r="M358" s="6">
        <v>1.14022</v>
      </c>
      <c r="N358" s="6">
        <v>1.2130000000000001</v>
      </c>
      <c r="O358" s="6">
        <v>1.14022</v>
      </c>
      <c r="P358" s="6">
        <v>1</v>
      </c>
      <c r="Q358" s="4" t="s">
        <v>26</v>
      </c>
      <c r="R358" s="4">
        <v>0</v>
      </c>
      <c r="S358" s="4" t="s">
        <v>235</v>
      </c>
      <c r="T358" s="4" t="s">
        <v>396</v>
      </c>
      <c r="U358" s="4">
        <v>0</v>
      </c>
      <c r="V358" s="4">
        <v>46</v>
      </c>
      <c r="W358" s="4">
        <v>84</v>
      </c>
    </row>
    <row r="359" spans="1:23" ht="11.25" customHeight="1" x14ac:dyDescent="0.25">
      <c r="A359" s="4" t="s">
        <v>21</v>
      </c>
      <c r="B359" s="4" t="s">
        <v>32</v>
      </c>
      <c r="C359" s="4" t="s">
        <v>23</v>
      </c>
      <c r="D359" s="4" t="s">
        <v>47</v>
      </c>
      <c r="E359" s="4" t="s">
        <v>48</v>
      </c>
      <c r="F359" s="4" t="s">
        <v>25</v>
      </c>
      <c r="G359" s="4" t="s">
        <v>25</v>
      </c>
      <c r="H359" s="4" t="s">
        <v>25</v>
      </c>
      <c r="I359" s="5">
        <v>44501</v>
      </c>
      <c r="J359" s="6">
        <v>0</v>
      </c>
      <c r="K359" s="6">
        <v>0</v>
      </c>
      <c r="L359" s="6">
        <v>1.141</v>
      </c>
      <c r="M359" s="6">
        <v>1.07254</v>
      </c>
      <c r="N359" s="6">
        <v>1.141</v>
      </c>
      <c r="O359" s="6">
        <v>1.07254</v>
      </c>
      <c r="P359" s="6">
        <v>1</v>
      </c>
      <c r="Q359" s="4" t="s">
        <v>26</v>
      </c>
      <c r="R359" s="4">
        <v>0</v>
      </c>
      <c r="S359" s="4" t="s">
        <v>236</v>
      </c>
      <c r="T359" s="4" t="s">
        <v>397</v>
      </c>
      <c r="U359" s="4">
        <v>0</v>
      </c>
      <c r="V359" s="4">
        <v>46</v>
      </c>
      <c r="W359" s="4">
        <v>84</v>
      </c>
    </row>
    <row r="360" spans="1:23" ht="11.25" customHeight="1" x14ac:dyDescent="0.25">
      <c r="A360" s="4" t="s">
        <v>21</v>
      </c>
      <c r="B360" s="4" t="s">
        <v>32</v>
      </c>
      <c r="C360" s="4" t="s">
        <v>23</v>
      </c>
      <c r="D360" s="4" t="s">
        <v>47</v>
      </c>
      <c r="E360" s="4" t="s">
        <v>48</v>
      </c>
      <c r="F360" s="4" t="s">
        <v>25</v>
      </c>
      <c r="G360" s="4" t="s">
        <v>25</v>
      </c>
      <c r="H360" s="4" t="s">
        <v>25</v>
      </c>
      <c r="I360" s="5">
        <v>44531</v>
      </c>
      <c r="J360" s="6">
        <v>0</v>
      </c>
      <c r="K360" s="6">
        <v>0</v>
      </c>
      <c r="L360" s="6">
        <v>0.86899999999999999</v>
      </c>
      <c r="M360" s="6">
        <v>0.81685999999999992</v>
      </c>
      <c r="N360" s="6">
        <v>0.86899999999999999</v>
      </c>
      <c r="O360" s="6">
        <v>0.81685999999999992</v>
      </c>
      <c r="P360" s="6">
        <v>1</v>
      </c>
      <c r="Q360" s="4" t="s">
        <v>26</v>
      </c>
      <c r="R360" s="4">
        <v>0</v>
      </c>
      <c r="S360" s="4" t="s">
        <v>237</v>
      </c>
      <c r="T360" s="4" t="s">
        <v>398</v>
      </c>
      <c r="U360" s="4">
        <v>0</v>
      </c>
      <c r="V360" s="4">
        <v>46</v>
      </c>
      <c r="W360" s="4">
        <v>84</v>
      </c>
    </row>
    <row r="361" spans="1:23" ht="11.25" customHeight="1" x14ac:dyDescent="0.25">
      <c r="A361" s="4" t="s">
        <v>21</v>
      </c>
      <c r="B361" s="4" t="s">
        <v>32</v>
      </c>
      <c r="C361" s="4" t="s">
        <v>23</v>
      </c>
      <c r="D361" s="4" t="s">
        <v>47</v>
      </c>
      <c r="E361" s="4" t="s">
        <v>48</v>
      </c>
      <c r="F361" s="4" t="s">
        <v>25</v>
      </c>
      <c r="G361" s="4" t="s">
        <v>25</v>
      </c>
      <c r="H361" s="4" t="s">
        <v>25</v>
      </c>
      <c r="I361" s="5">
        <v>44562</v>
      </c>
      <c r="J361" s="6">
        <v>0</v>
      </c>
      <c r="K361" s="6">
        <v>0</v>
      </c>
      <c r="L361" s="6">
        <v>0.69099999999999995</v>
      </c>
      <c r="M361" s="6">
        <v>0.6495399999999999</v>
      </c>
      <c r="N361" s="6">
        <v>0.69099999999999995</v>
      </c>
      <c r="O361" s="6">
        <v>0.6495399999999999</v>
      </c>
      <c r="P361" s="6">
        <v>1</v>
      </c>
      <c r="Q361" s="4" t="s">
        <v>26</v>
      </c>
      <c r="R361" s="4">
        <v>0</v>
      </c>
      <c r="S361" s="4" t="s">
        <v>238</v>
      </c>
      <c r="T361" s="4" t="s">
        <v>399</v>
      </c>
      <c r="U361" s="4">
        <v>0</v>
      </c>
      <c r="V361" s="4">
        <v>46</v>
      </c>
      <c r="W361" s="4">
        <v>84</v>
      </c>
    </row>
    <row r="362" spans="1:23" ht="11.25" customHeight="1" x14ac:dyDescent="0.25">
      <c r="A362" s="4" t="s">
        <v>21</v>
      </c>
      <c r="B362" s="4" t="s">
        <v>32</v>
      </c>
      <c r="C362" s="4" t="s">
        <v>23</v>
      </c>
      <c r="D362" s="4" t="s">
        <v>47</v>
      </c>
      <c r="E362" s="4" t="s">
        <v>48</v>
      </c>
      <c r="F362" s="4" t="s">
        <v>25</v>
      </c>
      <c r="G362" s="4" t="s">
        <v>25</v>
      </c>
      <c r="H362" s="4" t="s">
        <v>25</v>
      </c>
      <c r="I362" s="5">
        <v>44593</v>
      </c>
      <c r="J362" s="6">
        <v>0</v>
      </c>
      <c r="K362" s="6">
        <v>0</v>
      </c>
      <c r="L362" s="6">
        <v>0.88300000000000001</v>
      </c>
      <c r="M362" s="6">
        <v>0.83001999999999998</v>
      </c>
      <c r="N362" s="6">
        <v>0.88300000000000001</v>
      </c>
      <c r="O362" s="6">
        <v>0.83001999999999998</v>
      </c>
      <c r="P362" s="6">
        <v>1</v>
      </c>
      <c r="Q362" s="4" t="s">
        <v>26</v>
      </c>
      <c r="R362" s="4">
        <v>0</v>
      </c>
      <c r="S362" s="4" t="s">
        <v>239</v>
      </c>
      <c r="T362" s="4" t="s">
        <v>400</v>
      </c>
      <c r="U362" s="4">
        <v>0</v>
      </c>
      <c r="V362" s="4">
        <v>46</v>
      </c>
      <c r="W362" s="4">
        <v>84</v>
      </c>
    </row>
    <row r="363" spans="1:23" ht="11.25" customHeight="1" x14ac:dyDescent="0.25">
      <c r="A363" s="4" t="s">
        <v>21</v>
      </c>
      <c r="B363" s="4" t="s">
        <v>32</v>
      </c>
      <c r="C363" s="4" t="s">
        <v>23</v>
      </c>
      <c r="D363" s="4" t="s">
        <v>47</v>
      </c>
      <c r="E363" s="4" t="s">
        <v>48</v>
      </c>
      <c r="F363" s="4" t="s">
        <v>25</v>
      </c>
      <c r="G363" s="4" t="s">
        <v>25</v>
      </c>
      <c r="H363" s="4" t="s">
        <v>25</v>
      </c>
      <c r="I363" s="5">
        <v>44621</v>
      </c>
      <c r="J363" s="6">
        <v>0</v>
      </c>
      <c r="K363" s="6">
        <v>0</v>
      </c>
      <c r="L363" s="6">
        <v>0.71099999999999997</v>
      </c>
      <c r="M363" s="6">
        <v>0.66833999999999993</v>
      </c>
      <c r="N363" s="6">
        <v>0.71099999999999997</v>
      </c>
      <c r="O363" s="6">
        <v>0.66833999999999993</v>
      </c>
      <c r="P363" s="6">
        <v>1</v>
      </c>
      <c r="Q363" s="4" t="s">
        <v>26</v>
      </c>
      <c r="R363" s="4">
        <v>0</v>
      </c>
      <c r="S363" s="4" t="s">
        <v>240</v>
      </c>
      <c r="T363" s="4" t="s">
        <v>401</v>
      </c>
      <c r="U363" s="4">
        <v>0</v>
      </c>
      <c r="V363" s="4">
        <v>46</v>
      </c>
      <c r="W363" s="4">
        <v>84</v>
      </c>
    </row>
    <row r="364" spans="1:23" ht="11.25" customHeight="1" x14ac:dyDescent="0.25">
      <c r="A364" s="4" t="s">
        <v>21</v>
      </c>
      <c r="B364" s="4" t="s">
        <v>32</v>
      </c>
      <c r="C364" s="4" t="s">
        <v>23</v>
      </c>
      <c r="D364" s="4" t="s">
        <v>47</v>
      </c>
      <c r="E364" s="4" t="s">
        <v>48</v>
      </c>
      <c r="F364" s="4" t="s">
        <v>25</v>
      </c>
      <c r="G364" s="4" t="s">
        <v>25</v>
      </c>
      <c r="H364" s="4" t="s">
        <v>25</v>
      </c>
      <c r="I364" s="5">
        <v>44652</v>
      </c>
      <c r="J364" s="6">
        <v>0</v>
      </c>
      <c r="K364" s="6">
        <v>0</v>
      </c>
      <c r="L364" s="6">
        <v>0.79400000000000004</v>
      </c>
      <c r="M364" s="6">
        <v>0.74636000000000002</v>
      </c>
      <c r="N364" s="6">
        <v>0.79400000000000004</v>
      </c>
      <c r="O364" s="6">
        <v>0.74636000000000002</v>
      </c>
      <c r="P364" s="6">
        <v>1</v>
      </c>
      <c r="Q364" s="4" t="s">
        <v>26</v>
      </c>
      <c r="R364" s="4">
        <v>0</v>
      </c>
      <c r="S364" s="4" t="s">
        <v>241</v>
      </c>
      <c r="T364" s="4" t="s">
        <v>402</v>
      </c>
      <c r="U364" s="4">
        <v>0</v>
      </c>
      <c r="V364" s="4">
        <v>46</v>
      </c>
      <c r="W364" s="4">
        <v>84</v>
      </c>
    </row>
    <row r="365" spans="1:23" ht="11.25" customHeight="1" x14ac:dyDescent="0.25">
      <c r="A365" s="4" t="s">
        <v>21</v>
      </c>
      <c r="B365" s="4" t="s">
        <v>32</v>
      </c>
      <c r="C365" s="4" t="s">
        <v>23</v>
      </c>
      <c r="D365" s="4" t="s">
        <v>47</v>
      </c>
      <c r="E365" s="4" t="s">
        <v>48</v>
      </c>
      <c r="F365" s="4" t="s">
        <v>25</v>
      </c>
      <c r="G365" s="4" t="s">
        <v>25</v>
      </c>
      <c r="H365" s="4" t="s">
        <v>25</v>
      </c>
      <c r="I365" s="5">
        <v>44682</v>
      </c>
      <c r="J365" s="6">
        <v>0</v>
      </c>
      <c r="K365" s="6">
        <v>0</v>
      </c>
      <c r="L365" s="6">
        <v>0.67600000000000005</v>
      </c>
      <c r="M365" s="6">
        <v>0.63544</v>
      </c>
      <c r="N365" s="6">
        <v>0.67600000000000005</v>
      </c>
      <c r="O365" s="6">
        <v>0.63544</v>
      </c>
      <c r="P365" s="6">
        <v>1</v>
      </c>
      <c r="Q365" s="4" t="s">
        <v>26</v>
      </c>
      <c r="R365" s="4">
        <v>0</v>
      </c>
      <c r="S365" s="4" t="s">
        <v>242</v>
      </c>
      <c r="T365" s="4" t="s">
        <v>403</v>
      </c>
      <c r="U365" s="4">
        <v>0</v>
      </c>
      <c r="V365" s="4">
        <v>46</v>
      </c>
      <c r="W365" s="4">
        <v>84</v>
      </c>
    </row>
    <row r="366" spans="1:23" ht="11.25" customHeight="1" x14ac:dyDescent="0.25">
      <c r="A366" s="4" t="s">
        <v>21</v>
      </c>
      <c r="B366" s="4" t="s">
        <v>32</v>
      </c>
      <c r="C366" s="4" t="s">
        <v>23</v>
      </c>
      <c r="D366" s="4" t="s">
        <v>47</v>
      </c>
      <c r="E366" s="4" t="s">
        <v>48</v>
      </c>
      <c r="F366" s="4" t="s">
        <v>25</v>
      </c>
      <c r="G366" s="4" t="s">
        <v>25</v>
      </c>
      <c r="H366" s="4" t="s">
        <v>25</v>
      </c>
      <c r="I366" s="5">
        <v>44713</v>
      </c>
      <c r="J366" s="6">
        <v>0</v>
      </c>
      <c r="K366" s="6">
        <v>0</v>
      </c>
      <c r="L366" s="6">
        <v>0.84099999999999997</v>
      </c>
      <c r="M366" s="6">
        <v>0.79053999999999991</v>
      </c>
      <c r="N366" s="6">
        <v>0.84099999999999997</v>
      </c>
      <c r="O366" s="6">
        <v>0.79053999999999991</v>
      </c>
      <c r="P366" s="6">
        <v>1</v>
      </c>
      <c r="Q366" s="4" t="s">
        <v>26</v>
      </c>
      <c r="R366" s="4">
        <v>0</v>
      </c>
      <c r="S366" s="4" t="s">
        <v>243</v>
      </c>
      <c r="T366" s="4" t="s">
        <v>404</v>
      </c>
      <c r="U366" s="4">
        <v>0</v>
      </c>
      <c r="V366" s="4">
        <v>46</v>
      </c>
      <c r="W366" s="4">
        <v>84</v>
      </c>
    </row>
    <row r="367" spans="1:23" ht="11.25" customHeight="1" x14ac:dyDescent="0.25">
      <c r="A367" s="4" t="s">
        <v>21</v>
      </c>
      <c r="B367" s="4" t="s">
        <v>32</v>
      </c>
      <c r="C367" s="4" t="s">
        <v>23</v>
      </c>
      <c r="D367" s="4" t="s">
        <v>47</v>
      </c>
      <c r="E367" s="4" t="s">
        <v>48</v>
      </c>
      <c r="F367" s="4" t="s">
        <v>25</v>
      </c>
      <c r="G367" s="4" t="s">
        <v>25</v>
      </c>
      <c r="H367" s="4" t="s">
        <v>25</v>
      </c>
      <c r="I367" s="5">
        <v>44743</v>
      </c>
      <c r="J367" s="6">
        <v>0</v>
      </c>
      <c r="K367" s="6">
        <v>0</v>
      </c>
      <c r="L367" s="6">
        <v>0.82899999999999996</v>
      </c>
      <c r="M367" s="6">
        <v>0.77925999999999995</v>
      </c>
      <c r="N367" s="6">
        <v>0.82899999999999996</v>
      </c>
      <c r="O367" s="6">
        <v>0.77925999999999995</v>
      </c>
      <c r="P367" s="6">
        <v>1</v>
      </c>
      <c r="Q367" s="4" t="s">
        <v>26</v>
      </c>
      <c r="R367" s="4">
        <v>0</v>
      </c>
      <c r="S367" s="4" t="s">
        <v>244</v>
      </c>
      <c r="T367" s="4" t="s">
        <v>405</v>
      </c>
      <c r="U367" s="4">
        <v>0</v>
      </c>
      <c r="V367" s="4">
        <v>46</v>
      </c>
      <c r="W367" s="4">
        <v>84</v>
      </c>
    </row>
    <row r="368" spans="1:23" ht="11.25" customHeight="1" x14ac:dyDescent="0.25">
      <c r="A368" s="4" t="s">
        <v>21</v>
      </c>
      <c r="B368" s="4" t="s">
        <v>44</v>
      </c>
      <c r="C368" s="4" t="s">
        <v>23</v>
      </c>
      <c r="D368" s="4" t="s">
        <v>45</v>
      </c>
      <c r="E368" s="4" t="s">
        <v>46</v>
      </c>
      <c r="F368" s="4" t="s">
        <v>25</v>
      </c>
      <c r="G368" s="4" t="s">
        <v>25</v>
      </c>
      <c r="H368" s="4" t="s">
        <v>25</v>
      </c>
      <c r="I368" s="5">
        <v>44409</v>
      </c>
      <c r="J368" s="6">
        <v>0</v>
      </c>
      <c r="K368" s="6">
        <v>0</v>
      </c>
      <c r="L368" s="6">
        <v>30.279</v>
      </c>
      <c r="M368" s="6">
        <v>30.279</v>
      </c>
      <c r="N368" s="6">
        <v>30.279</v>
      </c>
      <c r="O368" s="6">
        <v>30.279</v>
      </c>
      <c r="P368" s="6">
        <v>1</v>
      </c>
      <c r="Q368" s="4" t="s">
        <v>26</v>
      </c>
      <c r="R368" s="4">
        <v>0</v>
      </c>
      <c r="S368" s="4" t="s">
        <v>245</v>
      </c>
      <c r="T368" s="4" t="s">
        <v>406</v>
      </c>
      <c r="U368" s="4">
        <v>0</v>
      </c>
      <c r="V368" s="4">
        <v>48</v>
      </c>
      <c r="W368" s="4">
        <v>86</v>
      </c>
    </row>
    <row r="369" spans="1:23" ht="11.25" customHeight="1" x14ac:dyDescent="0.25">
      <c r="A369" s="4" t="s">
        <v>21</v>
      </c>
      <c r="B369" s="4" t="s">
        <v>44</v>
      </c>
      <c r="C369" s="4" t="s">
        <v>23</v>
      </c>
      <c r="D369" s="4" t="s">
        <v>45</v>
      </c>
      <c r="E369" s="4" t="s">
        <v>46</v>
      </c>
      <c r="F369" s="4" t="s">
        <v>25</v>
      </c>
      <c r="G369" s="4" t="s">
        <v>25</v>
      </c>
      <c r="H369" s="4" t="s">
        <v>25</v>
      </c>
      <c r="I369" s="5">
        <v>44440</v>
      </c>
      <c r="J369" s="6">
        <v>0</v>
      </c>
      <c r="K369" s="6">
        <v>0</v>
      </c>
      <c r="L369" s="6">
        <v>29.314</v>
      </c>
      <c r="M369" s="6">
        <v>29.314</v>
      </c>
      <c r="N369" s="6">
        <v>29.314</v>
      </c>
      <c r="O369" s="6">
        <v>29.314</v>
      </c>
      <c r="P369" s="6">
        <v>1</v>
      </c>
      <c r="Q369" s="4" t="s">
        <v>26</v>
      </c>
      <c r="R369" s="4">
        <v>0</v>
      </c>
      <c r="S369" s="4" t="s">
        <v>246</v>
      </c>
      <c r="T369" s="4" t="s">
        <v>407</v>
      </c>
      <c r="U369" s="4">
        <v>0</v>
      </c>
      <c r="V369" s="4">
        <v>48</v>
      </c>
      <c r="W369" s="4">
        <v>86</v>
      </c>
    </row>
    <row r="370" spans="1:23" ht="11.25" customHeight="1" x14ac:dyDescent="0.25">
      <c r="A370" s="4" t="s">
        <v>21</v>
      </c>
      <c r="B370" s="4" t="s">
        <v>44</v>
      </c>
      <c r="C370" s="4" t="s">
        <v>23</v>
      </c>
      <c r="D370" s="4" t="s">
        <v>45</v>
      </c>
      <c r="E370" s="4" t="s">
        <v>46</v>
      </c>
      <c r="F370" s="4" t="s">
        <v>25</v>
      </c>
      <c r="G370" s="4" t="s">
        <v>25</v>
      </c>
      <c r="H370" s="4" t="s">
        <v>25</v>
      </c>
      <c r="I370" s="5">
        <v>44470</v>
      </c>
      <c r="J370" s="6">
        <v>0</v>
      </c>
      <c r="K370" s="6">
        <v>0</v>
      </c>
      <c r="L370" s="6">
        <v>30.283999999999999</v>
      </c>
      <c r="M370" s="6">
        <v>30.283999999999999</v>
      </c>
      <c r="N370" s="6">
        <v>30.283999999999999</v>
      </c>
      <c r="O370" s="6">
        <v>30.283999999999999</v>
      </c>
      <c r="P370" s="6">
        <v>1</v>
      </c>
      <c r="Q370" s="4" t="s">
        <v>26</v>
      </c>
      <c r="R370" s="4">
        <v>0</v>
      </c>
      <c r="S370" s="4" t="s">
        <v>247</v>
      </c>
      <c r="T370" s="4" t="s">
        <v>408</v>
      </c>
      <c r="U370" s="4">
        <v>0</v>
      </c>
      <c r="V370" s="4">
        <v>48</v>
      </c>
      <c r="W370" s="4">
        <v>86</v>
      </c>
    </row>
    <row r="371" spans="1:23" ht="11.25" customHeight="1" x14ac:dyDescent="0.25">
      <c r="A371" s="4" t="s">
        <v>21</v>
      </c>
      <c r="B371" s="4" t="s">
        <v>44</v>
      </c>
      <c r="C371" s="4" t="s">
        <v>23</v>
      </c>
      <c r="D371" s="4" t="s">
        <v>45</v>
      </c>
      <c r="E371" s="4" t="s">
        <v>46</v>
      </c>
      <c r="F371" s="4" t="s">
        <v>25</v>
      </c>
      <c r="G371" s="4" t="s">
        <v>25</v>
      </c>
      <c r="H371" s="4" t="s">
        <v>25</v>
      </c>
      <c r="I371" s="5">
        <v>44501</v>
      </c>
      <c r="J371" s="6">
        <v>0</v>
      </c>
      <c r="K371" s="6">
        <v>0</v>
      </c>
      <c r="L371" s="6">
        <v>29.344999999999999</v>
      </c>
      <c r="M371" s="6">
        <v>29.344999999999999</v>
      </c>
      <c r="N371" s="6">
        <v>29.344999999999999</v>
      </c>
      <c r="O371" s="6">
        <v>29.344999999999999</v>
      </c>
      <c r="P371" s="6">
        <v>1</v>
      </c>
      <c r="Q371" s="4" t="s">
        <v>26</v>
      </c>
      <c r="R371" s="4">
        <v>0</v>
      </c>
      <c r="S371" s="4" t="s">
        <v>248</v>
      </c>
      <c r="T371" s="4" t="s">
        <v>409</v>
      </c>
      <c r="U371" s="4">
        <v>0</v>
      </c>
      <c r="V371" s="4">
        <v>48</v>
      </c>
      <c r="W371" s="4">
        <v>86</v>
      </c>
    </row>
    <row r="372" spans="1:23" ht="11.25" customHeight="1" x14ac:dyDescent="0.25">
      <c r="A372" s="4" t="s">
        <v>21</v>
      </c>
      <c r="B372" s="4" t="s">
        <v>44</v>
      </c>
      <c r="C372" s="4" t="s">
        <v>23</v>
      </c>
      <c r="D372" s="4" t="s">
        <v>45</v>
      </c>
      <c r="E372" s="4" t="s">
        <v>46</v>
      </c>
      <c r="F372" s="4" t="s">
        <v>25</v>
      </c>
      <c r="G372" s="4" t="s">
        <v>25</v>
      </c>
      <c r="H372" s="4" t="s">
        <v>25</v>
      </c>
      <c r="I372" s="5">
        <v>44531</v>
      </c>
      <c r="J372" s="6">
        <v>0</v>
      </c>
      <c r="K372" s="6">
        <v>0</v>
      </c>
      <c r="L372" s="6">
        <v>31.134</v>
      </c>
      <c r="M372" s="6">
        <v>31.134</v>
      </c>
      <c r="N372" s="6">
        <v>31.134</v>
      </c>
      <c r="O372" s="6">
        <v>31.134</v>
      </c>
      <c r="P372" s="6">
        <v>1</v>
      </c>
      <c r="Q372" s="4" t="s">
        <v>26</v>
      </c>
      <c r="R372" s="4">
        <v>0</v>
      </c>
      <c r="S372" s="4" t="s">
        <v>249</v>
      </c>
      <c r="T372" s="4" t="s">
        <v>410</v>
      </c>
      <c r="U372" s="4">
        <v>0</v>
      </c>
      <c r="V372" s="4">
        <v>48</v>
      </c>
      <c r="W372" s="4">
        <v>86</v>
      </c>
    </row>
    <row r="373" spans="1:23" ht="11.25" customHeight="1" x14ac:dyDescent="0.25">
      <c r="A373" s="4" t="s">
        <v>21</v>
      </c>
      <c r="B373" s="4" t="s">
        <v>44</v>
      </c>
      <c r="C373" s="4" t="s">
        <v>23</v>
      </c>
      <c r="D373" s="4" t="s">
        <v>45</v>
      </c>
      <c r="E373" s="4" t="s">
        <v>46</v>
      </c>
      <c r="F373" s="4" t="s">
        <v>25</v>
      </c>
      <c r="G373" s="4" t="s">
        <v>25</v>
      </c>
      <c r="H373" s="4" t="s">
        <v>25</v>
      </c>
      <c r="I373" s="5">
        <v>44562</v>
      </c>
      <c r="J373" s="6">
        <v>0</v>
      </c>
      <c r="K373" s="6">
        <v>0</v>
      </c>
      <c r="L373" s="6">
        <v>30.346</v>
      </c>
      <c r="M373" s="6">
        <v>30.346</v>
      </c>
      <c r="N373" s="6">
        <v>30.346</v>
      </c>
      <c r="O373" s="6">
        <v>30.346</v>
      </c>
      <c r="P373" s="6">
        <v>1</v>
      </c>
      <c r="Q373" s="4" t="s">
        <v>26</v>
      </c>
      <c r="R373" s="4">
        <v>0</v>
      </c>
      <c r="S373" s="4" t="s">
        <v>250</v>
      </c>
      <c r="T373" s="4" t="s">
        <v>411</v>
      </c>
      <c r="U373" s="4">
        <v>0</v>
      </c>
      <c r="V373" s="4">
        <v>48</v>
      </c>
      <c r="W373" s="4">
        <v>86</v>
      </c>
    </row>
    <row r="374" spans="1:23" ht="11.25" customHeight="1" x14ac:dyDescent="0.25">
      <c r="A374" s="4" t="s">
        <v>21</v>
      </c>
      <c r="B374" s="4" t="s">
        <v>44</v>
      </c>
      <c r="C374" s="4" t="s">
        <v>23</v>
      </c>
      <c r="D374" s="4" t="s">
        <v>45</v>
      </c>
      <c r="E374" s="4" t="s">
        <v>46</v>
      </c>
      <c r="F374" s="4" t="s">
        <v>25</v>
      </c>
      <c r="G374" s="4" t="s">
        <v>25</v>
      </c>
      <c r="H374" s="4" t="s">
        <v>25</v>
      </c>
      <c r="I374" s="5">
        <v>44593</v>
      </c>
      <c r="J374" s="6">
        <v>0</v>
      </c>
      <c r="K374" s="6">
        <v>0</v>
      </c>
      <c r="L374" s="6">
        <v>27.167000000000002</v>
      </c>
      <c r="M374" s="6">
        <v>27.167000000000002</v>
      </c>
      <c r="N374" s="6">
        <v>27.167000000000002</v>
      </c>
      <c r="O374" s="6">
        <v>27.167000000000002</v>
      </c>
      <c r="P374" s="6">
        <v>1</v>
      </c>
      <c r="Q374" s="4" t="s">
        <v>26</v>
      </c>
      <c r="R374" s="4">
        <v>0</v>
      </c>
      <c r="S374" s="4" t="s">
        <v>251</v>
      </c>
      <c r="T374" s="4" t="s">
        <v>412</v>
      </c>
      <c r="U374" s="4">
        <v>0</v>
      </c>
      <c r="V374" s="4">
        <v>48</v>
      </c>
      <c r="W374" s="4">
        <v>86</v>
      </c>
    </row>
    <row r="375" spans="1:23" ht="11.25" customHeight="1" x14ac:dyDescent="0.25">
      <c r="A375" s="4" t="s">
        <v>21</v>
      </c>
      <c r="B375" s="4" t="s">
        <v>44</v>
      </c>
      <c r="C375" s="4" t="s">
        <v>23</v>
      </c>
      <c r="D375" s="4" t="s">
        <v>45</v>
      </c>
      <c r="E375" s="4" t="s">
        <v>46</v>
      </c>
      <c r="F375" s="4" t="s">
        <v>25</v>
      </c>
      <c r="G375" s="4" t="s">
        <v>25</v>
      </c>
      <c r="H375" s="4" t="s">
        <v>25</v>
      </c>
      <c r="I375" s="5">
        <v>44621</v>
      </c>
      <c r="J375" s="6">
        <v>0</v>
      </c>
      <c r="K375" s="6">
        <v>0</v>
      </c>
      <c r="L375" s="6">
        <v>30.222000000000001</v>
      </c>
      <c r="M375" s="6">
        <v>30.222000000000001</v>
      </c>
      <c r="N375" s="6">
        <v>30.222000000000001</v>
      </c>
      <c r="O375" s="6">
        <v>30.222000000000001</v>
      </c>
      <c r="P375" s="6">
        <v>1</v>
      </c>
      <c r="Q375" s="4" t="s">
        <v>26</v>
      </c>
      <c r="R375" s="4">
        <v>0</v>
      </c>
      <c r="S375" s="4" t="s">
        <v>252</v>
      </c>
      <c r="T375" s="4" t="s">
        <v>413</v>
      </c>
      <c r="U375" s="4">
        <v>0</v>
      </c>
      <c r="V375" s="4">
        <v>48</v>
      </c>
      <c r="W375" s="4">
        <v>86</v>
      </c>
    </row>
    <row r="376" spans="1:23" ht="11.25" customHeight="1" x14ac:dyDescent="0.25">
      <c r="A376" s="4" t="s">
        <v>21</v>
      </c>
      <c r="B376" s="4" t="s">
        <v>44</v>
      </c>
      <c r="C376" s="4" t="s">
        <v>23</v>
      </c>
      <c r="D376" s="4" t="s">
        <v>45</v>
      </c>
      <c r="E376" s="4" t="s">
        <v>46</v>
      </c>
      <c r="F376" s="4" t="s">
        <v>25</v>
      </c>
      <c r="G376" s="4" t="s">
        <v>25</v>
      </c>
      <c r="H376" s="4" t="s">
        <v>25</v>
      </c>
      <c r="I376" s="5">
        <v>44652</v>
      </c>
      <c r="J376" s="6">
        <v>0</v>
      </c>
      <c r="K376" s="6">
        <v>0</v>
      </c>
      <c r="L376" s="6">
        <v>29.305</v>
      </c>
      <c r="M376" s="6">
        <v>29.305</v>
      </c>
      <c r="N376" s="6">
        <v>29.305</v>
      </c>
      <c r="O376" s="6">
        <v>29.305</v>
      </c>
      <c r="P376" s="6">
        <v>1</v>
      </c>
      <c r="Q376" s="4" t="s">
        <v>26</v>
      </c>
      <c r="R376" s="4">
        <v>0</v>
      </c>
      <c r="S376" s="4" t="s">
        <v>253</v>
      </c>
      <c r="T376" s="4" t="s">
        <v>414</v>
      </c>
      <c r="U376" s="4">
        <v>0</v>
      </c>
      <c r="V376" s="4">
        <v>48</v>
      </c>
      <c r="W376" s="4">
        <v>86</v>
      </c>
    </row>
    <row r="377" spans="1:23" ht="11.25" customHeight="1" x14ac:dyDescent="0.25">
      <c r="A377" s="4" t="s">
        <v>21</v>
      </c>
      <c r="B377" s="4" t="s">
        <v>44</v>
      </c>
      <c r="C377" s="4" t="s">
        <v>23</v>
      </c>
      <c r="D377" s="4" t="s">
        <v>45</v>
      </c>
      <c r="E377" s="4" t="s">
        <v>46</v>
      </c>
      <c r="F377" s="4" t="s">
        <v>25</v>
      </c>
      <c r="G377" s="4" t="s">
        <v>25</v>
      </c>
      <c r="H377" s="4" t="s">
        <v>25</v>
      </c>
      <c r="I377" s="5">
        <v>44682</v>
      </c>
      <c r="J377" s="6">
        <v>0</v>
      </c>
      <c r="K377" s="6">
        <v>0</v>
      </c>
      <c r="L377" s="6">
        <v>30.077000000000002</v>
      </c>
      <c r="M377" s="6">
        <v>30.077000000000002</v>
      </c>
      <c r="N377" s="6">
        <v>30.077000000000002</v>
      </c>
      <c r="O377" s="6">
        <v>30.077000000000002</v>
      </c>
      <c r="P377" s="6">
        <v>1</v>
      </c>
      <c r="Q377" s="4" t="s">
        <v>26</v>
      </c>
      <c r="R377" s="4">
        <v>0</v>
      </c>
      <c r="S377" s="4" t="s">
        <v>254</v>
      </c>
      <c r="T377" s="4" t="s">
        <v>415</v>
      </c>
      <c r="U377" s="4">
        <v>0</v>
      </c>
      <c r="V377" s="4">
        <v>48</v>
      </c>
      <c r="W377" s="4">
        <v>86</v>
      </c>
    </row>
    <row r="378" spans="1:23" ht="11.25" customHeight="1" x14ac:dyDescent="0.25">
      <c r="A378" s="4" t="s">
        <v>21</v>
      </c>
      <c r="B378" s="4" t="s">
        <v>44</v>
      </c>
      <c r="C378" s="4" t="s">
        <v>23</v>
      </c>
      <c r="D378" s="4" t="s">
        <v>45</v>
      </c>
      <c r="E378" s="4" t="s">
        <v>46</v>
      </c>
      <c r="F378" s="4" t="s">
        <v>25</v>
      </c>
      <c r="G378" s="4" t="s">
        <v>25</v>
      </c>
      <c r="H378" s="4" t="s">
        <v>25</v>
      </c>
      <c r="I378" s="5">
        <v>44713</v>
      </c>
      <c r="J378" s="6">
        <v>0</v>
      </c>
      <c r="K378" s="6">
        <v>0</v>
      </c>
      <c r="L378" s="6">
        <v>29.158000000000001</v>
      </c>
      <c r="M378" s="6">
        <v>29.158000000000001</v>
      </c>
      <c r="N378" s="6">
        <v>29.158000000000001</v>
      </c>
      <c r="O378" s="6">
        <v>29.158000000000001</v>
      </c>
      <c r="P378" s="6">
        <v>1</v>
      </c>
      <c r="Q378" s="4" t="s">
        <v>26</v>
      </c>
      <c r="R378" s="4">
        <v>0</v>
      </c>
      <c r="S378" s="4" t="s">
        <v>255</v>
      </c>
      <c r="T378" s="4" t="s">
        <v>416</v>
      </c>
      <c r="U378" s="4">
        <v>0</v>
      </c>
      <c r="V378" s="4">
        <v>48</v>
      </c>
      <c r="W378" s="4">
        <v>86</v>
      </c>
    </row>
    <row r="379" spans="1:23" ht="11.25" customHeight="1" x14ac:dyDescent="0.25">
      <c r="A379" s="4" t="s">
        <v>21</v>
      </c>
      <c r="B379" s="4" t="s">
        <v>44</v>
      </c>
      <c r="C379" s="4" t="s">
        <v>23</v>
      </c>
      <c r="D379" s="4" t="s">
        <v>45</v>
      </c>
      <c r="E379" s="4" t="s">
        <v>46</v>
      </c>
      <c r="F379" s="4" t="s">
        <v>25</v>
      </c>
      <c r="G379" s="4" t="s">
        <v>25</v>
      </c>
      <c r="H379" s="4" t="s">
        <v>25</v>
      </c>
      <c r="I379" s="5">
        <v>44743</v>
      </c>
      <c r="J379" s="6">
        <v>0</v>
      </c>
      <c r="K379" s="6">
        <v>0</v>
      </c>
      <c r="L379" s="6">
        <v>30.065000000000001</v>
      </c>
      <c r="M379" s="6">
        <v>30.065000000000001</v>
      </c>
      <c r="N379" s="6">
        <v>30.065000000000001</v>
      </c>
      <c r="O379" s="6">
        <v>30.065000000000001</v>
      </c>
      <c r="P379" s="6">
        <v>1</v>
      </c>
      <c r="Q379" s="4" t="s">
        <v>26</v>
      </c>
      <c r="R379" s="4">
        <v>0</v>
      </c>
      <c r="S379" s="4" t="s">
        <v>256</v>
      </c>
      <c r="T379" s="4" t="s">
        <v>417</v>
      </c>
      <c r="U379" s="4">
        <v>0</v>
      </c>
      <c r="V379" s="4">
        <v>48</v>
      </c>
      <c r="W379" s="4">
        <v>86</v>
      </c>
    </row>
  </sheetData>
  <sortState xmlns:xlrd2="http://schemas.microsoft.com/office/spreadsheetml/2017/richdata2" ref="A2:W379">
    <sortCondition ref="B2:B379"/>
    <sortCondition ref="C2:C379"/>
    <sortCondition ref="D2:D379"/>
    <sortCondition ref="E2:E379"/>
    <sortCondition ref="F2:F379"/>
    <sortCondition ref="H2:H379"/>
  </sortState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FD41-BA5E-46D8-86A9-77B6DBA3E30F}">
  <sheetPr codeName="Planilha2"/>
  <dimension ref="A1:H28"/>
  <sheetViews>
    <sheetView showGridLines="0" workbookViewId="0">
      <selection activeCell="H1" sqref="H1"/>
    </sheetView>
  </sheetViews>
  <sheetFormatPr defaultColWidth="9.140625"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G1" s="7" t="s">
        <v>57</v>
      </c>
      <c r="H1" s="7">
        <f>COUNTA(A:A)</f>
        <v>28</v>
      </c>
    </row>
    <row r="2" spans="1:8" ht="11.25" customHeight="1" x14ac:dyDescent="0.25">
      <c r="A2" s="8" t="s">
        <v>270</v>
      </c>
      <c r="B2" s="8" t="s">
        <v>271</v>
      </c>
      <c r="C2" s="8" t="s">
        <v>272</v>
      </c>
      <c r="D2" s="8">
        <v>14</v>
      </c>
      <c r="E2" s="8" t="s">
        <v>273</v>
      </c>
    </row>
    <row r="3" spans="1:8" ht="11.25" customHeight="1" x14ac:dyDescent="0.25">
      <c r="A3" s="8" t="s">
        <v>270</v>
      </c>
      <c r="B3" s="8" t="s">
        <v>271</v>
      </c>
      <c r="C3" s="8" t="s">
        <v>272</v>
      </c>
      <c r="D3" s="8">
        <v>15</v>
      </c>
      <c r="E3" s="8" t="s">
        <v>273</v>
      </c>
    </row>
    <row r="4" spans="1:8" ht="11.25" customHeight="1" x14ac:dyDescent="0.25">
      <c r="A4" s="8" t="s">
        <v>270</v>
      </c>
      <c r="B4" s="8" t="s">
        <v>271</v>
      </c>
      <c r="C4" s="8" t="s">
        <v>272</v>
      </c>
      <c r="D4" s="8">
        <v>16</v>
      </c>
      <c r="E4" s="8" t="s">
        <v>273</v>
      </c>
    </row>
    <row r="5" spans="1:8" ht="11.25" customHeight="1" x14ac:dyDescent="0.25">
      <c r="A5" s="8" t="s">
        <v>270</v>
      </c>
      <c r="B5" s="8" t="s">
        <v>271</v>
      </c>
      <c r="C5" s="8" t="s">
        <v>272</v>
      </c>
      <c r="D5" s="8">
        <v>17</v>
      </c>
      <c r="E5" s="8" t="s">
        <v>273</v>
      </c>
    </row>
    <row r="6" spans="1:8" ht="11.25" customHeight="1" x14ac:dyDescent="0.25">
      <c r="A6" s="8" t="s">
        <v>270</v>
      </c>
      <c r="B6" s="8" t="s">
        <v>271</v>
      </c>
      <c r="C6" s="8" t="s">
        <v>272</v>
      </c>
      <c r="D6" s="8">
        <v>18</v>
      </c>
      <c r="E6" s="8" t="s">
        <v>273</v>
      </c>
    </row>
    <row r="7" spans="1:8" ht="11.25" customHeight="1" x14ac:dyDescent="0.25">
      <c r="A7" s="8" t="s">
        <v>270</v>
      </c>
      <c r="B7" s="8" t="s">
        <v>271</v>
      </c>
      <c r="C7" s="8" t="s">
        <v>272</v>
      </c>
      <c r="D7" s="8">
        <v>19</v>
      </c>
      <c r="E7" s="8" t="s">
        <v>273</v>
      </c>
    </row>
    <row r="8" spans="1:8" ht="11.25" customHeight="1" x14ac:dyDescent="0.25">
      <c r="A8" s="8" t="s">
        <v>270</v>
      </c>
      <c r="B8" s="8" t="s">
        <v>271</v>
      </c>
      <c r="C8" s="8" t="s">
        <v>272</v>
      </c>
      <c r="D8" s="8">
        <v>20</v>
      </c>
      <c r="E8" s="8" t="s">
        <v>273</v>
      </c>
    </row>
    <row r="9" spans="1:8" ht="11.25" customHeight="1" x14ac:dyDescent="0.25">
      <c r="A9" s="8" t="s">
        <v>270</v>
      </c>
      <c r="B9" s="8" t="s">
        <v>271</v>
      </c>
      <c r="C9" s="8" t="s">
        <v>272</v>
      </c>
      <c r="D9" s="8">
        <v>21</v>
      </c>
      <c r="E9" s="8" t="s">
        <v>273</v>
      </c>
    </row>
    <row r="10" spans="1:8" ht="11.25" customHeight="1" x14ac:dyDescent="0.25">
      <c r="A10" s="8" t="s">
        <v>270</v>
      </c>
      <c r="B10" s="8" t="s">
        <v>271</v>
      </c>
      <c r="C10" s="8" t="s">
        <v>272</v>
      </c>
      <c r="D10" s="8">
        <v>22</v>
      </c>
      <c r="E10" s="8" t="s">
        <v>273</v>
      </c>
    </row>
    <row r="11" spans="1:8" ht="11.25" customHeight="1" x14ac:dyDescent="0.25">
      <c r="A11" s="8" t="s">
        <v>270</v>
      </c>
      <c r="B11" s="8" t="s">
        <v>271</v>
      </c>
      <c r="C11" s="8" t="s">
        <v>272</v>
      </c>
      <c r="D11" s="8">
        <v>23</v>
      </c>
      <c r="E11" s="8" t="s">
        <v>273</v>
      </c>
    </row>
    <row r="12" spans="1:8" ht="11.25" customHeight="1" x14ac:dyDescent="0.25">
      <c r="A12" s="8" t="s">
        <v>270</v>
      </c>
      <c r="B12" s="8" t="s">
        <v>271</v>
      </c>
      <c r="C12" s="8" t="s">
        <v>272</v>
      </c>
      <c r="D12" s="8">
        <v>24</v>
      </c>
      <c r="E12" s="8" t="s">
        <v>273</v>
      </c>
    </row>
    <row r="13" spans="1:8" ht="11.25" customHeight="1" x14ac:dyDescent="0.25">
      <c r="A13" s="8" t="s">
        <v>270</v>
      </c>
      <c r="B13" s="8" t="s">
        <v>271</v>
      </c>
      <c r="C13" s="8" t="s">
        <v>272</v>
      </c>
      <c r="D13" s="8">
        <v>25</v>
      </c>
      <c r="E13" s="8" t="s">
        <v>273</v>
      </c>
    </row>
    <row r="14" spans="1:8" ht="11.25" customHeight="1" x14ac:dyDescent="0.25">
      <c r="A14" s="8" t="s">
        <v>270</v>
      </c>
      <c r="B14" s="8" t="s">
        <v>271</v>
      </c>
      <c r="C14" s="8" t="s">
        <v>272</v>
      </c>
      <c r="D14" s="8">
        <v>86</v>
      </c>
      <c r="E14" s="8" t="s">
        <v>273</v>
      </c>
    </row>
    <row r="15" spans="1:8" ht="11.25" customHeight="1" x14ac:dyDescent="0.25">
      <c r="A15" s="8" t="s">
        <v>270</v>
      </c>
      <c r="B15" s="8" t="s">
        <v>271</v>
      </c>
      <c r="C15" s="8" t="s">
        <v>272</v>
      </c>
      <c r="D15" s="8">
        <v>87</v>
      </c>
      <c r="E15" s="8" t="s">
        <v>273</v>
      </c>
    </row>
    <row r="16" spans="1:8" ht="11.25" customHeight="1" x14ac:dyDescent="0.25">
      <c r="A16" s="8" t="s">
        <v>270</v>
      </c>
      <c r="B16" s="8" t="s">
        <v>271</v>
      </c>
      <c r="C16" s="8" t="s">
        <v>272</v>
      </c>
      <c r="D16" s="8">
        <v>88</v>
      </c>
      <c r="E16" s="8" t="s">
        <v>273</v>
      </c>
    </row>
    <row r="17" spans="1:5" ht="11.25" customHeight="1" x14ac:dyDescent="0.25">
      <c r="A17" s="8" t="s">
        <v>270</v>
      </c>
      <c r="B17" s="8" t="s">
        <v>271</v>
      </c>
      <c r="C17" s="8" t="s">
        <v>272</v>
      </c>
      <c r="D17" s="8">
        <v>89</v>
      </c>
      <c r="E17" s="8" t="s">
        <v>273</v>
      </c>
    </row>
    <row r="18" spans="1:5" ht="11.25" customHeight="1" x14ac:dyDescent="0.25">
      <c r="A18" s="8" t="s">
        <v>270</v>
      </c>
      <c r="B18" s="8" t="s">
        <v>271</v>
      </c>
      <c r="C18" s="8" t="s">
        <v>272</v>
      </c>
      <c r="D18" s="8">
        <v>90</v>
      </c>
      <c r="E18" s="8" t="s">
        <v>273</v>
      </c>
    </row>
    <row r="19" spans="1:5" ht="11.25" customHeight="1" x14ac:dyDescent="0.25">
      <c r="A19" s="8" t="s">
        <v>270</v>
      </c>
      <c r="B19" s="8" t="s">
        <v>271</v>
      </c>
      <c r="C19" s="8" t="s">
        <v>272</v>
      </c>
      <c r="D19" s="8">
        <v>91</v>
      </c>
      <c r="E19" s="8" t="s">
        <v>273</v>
      </c>
    </row>
    <row r="20" spans="1:5" ht="11.25" customHeight="1" x14ac:dyDescent="0.25">
      <c r="A20" s="8" t="s">
        <v>270</v>
      </c>
      <c r="B20" s="8" t="s">
        <v>271</v>
      </c>
      <c r="C20" s="8" t="s">
        <v>272</v>
      </c>
      <c r="D20" s="8">
        <v>92</v>
      </c>
      <c r="E20" s="8" t="s">
        <v>273</v>
      </c>
    </row>
    <row r="21" spans="1:5" ht="11.25" customHeight="1" x14ac:dyDescent="0.25">
      <c r="A21" s="8" t="s">
        <v>270</v>
      </c>
      <c r="B21" s="8" t="s">
        <v>271</v>
      </c>
      <c r="C21" s="8" t="s">
        <v>272</v>
      </c>
      <c r="D21" s="8">
        <v>93</v>
      </c>
      <c r="E21" s="8" t="s">
        <v>273</v>
      </c>
    </row>
    <row r="22" spans="1:5" ht="11.25" customHeight="1" x14ac:dyDescent="0.25">
      <c r="A22" s="8" t="s">
        <v>270</v>
      </c>
      <c r="B22" s="8" t="s">
        <v>271</v>
      </c>
      <c r="C22" s="8" t="s">
        <v>272</v>
      </c>
      <c r="D22" s="8">
        <v>94</v>
      </c>
      <c r="E22" s="8" t="s">
        <v>273</v>
      </c>
    </row>
    <row r="23" spans="1:5" ht="11.25" customHeight="1" x14ac:dyDescent="0.25">
      <c r="A23" s="8" t="s">
        <v>270</v>
      </c>
      <c r="B23" s="8" t="s">
        <v>271</v>
      </c>
      <c r="C23" s="8" t="s">
        <v>272</v>
      </c>
      <c r="D23" s="8">
        <v>95</v>
      </c>
      <c r="E23" s="8" t="s">
        <v>273</v>
      </c>
    </row>
    <row r="24" spans="1:5" ht="11.25" customHeight="1" x14ac:dyDescent="0.25">
      <c r="A24" s="8" t="s">
        <v>270</v>
      </c>
      <c r="B24" s="8" t="s">
        <v>271</v>
      </c>
      <c r="C24" s="8" t="s">
        <v>272</v>
      </c>
      <c r="D24" s="8">
        <v>96</v>
      </c>
      <c r="E24" s="8" t="s">
        <v>273</v>
      </c>
    </row>
    <row r="25" spans="1:5" ht="11.25" customHeight="1" x14ac:dyDescent="0.25">
      <c r="A25" s="8" t="s">
        <v>270</v>
      </c>
      <c r="B25" s="8" t="s">
        <v>271</v>
      </c>
      <c r="C25" s="8" t="s">
        <v>272</v>
      </c>
      <c r="D25" s="8">
        <v>97</v>
      </c>
      <c r="E25" s="8" t="s">
        <v>273</v>
      </c>
    </row>
    <row r="26" spans="1:5" ht="11.25" customHeight="1" x14ac:dyDescent="0.25">
      <c r="A26" s="8" t="s">
        <v>270</v>
      </c>
      <c r="C26" s="8" t="s">
        <v>507</v>
      </c>
      <c r="D26" s="8">
        <v>40</v>
      </c>
      <c r="E26" s="8" t="s">
        <v>9</v>
      </c>
    </row>
    <row r="27" spans="1:5" ht="11.25" customHeight="1" x14ac:dyDescent="0.25">
      <c r="A27" s="8" t="s">
        <v>270</v>
      </c>
      <c r="C27" s="8" t="s">
        <v>507</v>
      </c>
      <c r="D27" s="8">
        <v>40</v>
      </c>
      <c r="E27" s="8" t="s">
        <v>9</v>
      </c>
    </row>
    <row r="28" spans="1:5" ht="11.25" customHeight="1" x14ac:dyDescent="0.25">
      <c r="A28" s="8" t="s">
        <v>270</v>
      </c>
      <c r="C28" s="8" t="s">
        <v>507</v>
      </c>
      <c r="D28" s="8">
        <v>40</v>
      </c>
      <c r="E28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A3DC-D9E8-4474-8BDC-49D16FC09CEF}">
  <sheetPr codeName="Planilha4"/>
  <dimension ref="A1:AX89"/>
  <sheetViews>
    <sheetView showGridLines="0" workbookViewId="0">
      <selection activeCell="R1" sqref="R1"/>
    </sheetView>
  </sheetViews>
  <sheetFormatPr defaultColWidth="9.140625"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8" width="9.140625" style="8"/>
    <col min="19" max="19" width="52.42578125" style="8" bestFit="1" customWidth="1"/>
    <col min="20" max="16384" width="9.140625" style="8"/>
  </cols>
  <sheetData>
    <row r="1" spans="1:50" ht="11.25" customHeight="1" x14ac:dyDescent="0.25">
      <c r="A1" s="30" t="s">
        <v>567</v>
      </c>
      <c r="B1" s="30" t="s">
        <v>558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559</v>
      </c>
      <c r="K1" s="30" t="s">
        <v>560</v>
      </c>
      <c r="L1" s="30" t="s">
        <v>561</v>
      </c>
      <c r="M1" s="30" t="s">
        <v>562</v>
      </c>
      <c r="N1" s="30" t="s">
        <v>563</v>
      </c>
      <c r="O1" s="30" t="s">
        <v>439</v>
      </c>
      <c r="P1" s="30" t="s">
        <v>425</v>
      </c>
      <c r="Q1" s="7" t="s">
        <v>1131</v>
      </c>
      <c r="R1" s="7" t="s">
        <v>1132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419</v>
      </c>
      <c r="C2" s="31" t="s">
        <v>34</v>
      </c>
      <c r="D2" s="31" t="s">
        <v>73</v>
      </c>
      <c r="E2" s="31" t="s">
        <v>25</v>
      </c>
      <c r="F2" s="31" t="s">
        <v>25</v>
      </c>
      <c r="G2" s="31" t="s">
        <v>25</v>
      </c>
      <c r="H2" s="31" t="s">
        <v>25</v>
      </c>
      <c r="I2" s="31" t="s">
        <v>36</v>
      </c>
      <c r="J2" s="31" t="s">
        <v>564</v>
      </c>
      <c r="K2" s="31" t="s">
        <v>565</v>
      </c>
      <c r="L2" s="31" t="s">
        <v>74</v>
      </c>
      <c r="M2" s="31">
        <v>2021</v>
      </c>
      <c r="N2" s="31">
        <v>0</v>
      </c>
      <c r="O2" s="31">
        <f>IF(R2=0,Q2,T2)</f>
        <v>55.53</v>
      </c>
      <c r="P2" s="31">
        <v>0</v>
      </c>
      <c r="Q2" s="31">
        <v>55.53</v>
      </c>
      <c r="R2" s="8">
        <v>0</v>
      </c>
      <c r="S2" s="8" t="str">
        <f>B2&amp;C2&amp;D2&amp;E2&amp;F2&amp;G2&amp;H2&amp;I2</f>
        <v>TUSDA4AzulNão se aplicaNão se aplicaNão se aplicaNão se aplicaPonta</v>
      </c>
      <c r="T2" s="8" t="e">
        <f>VLOOKUP(S2,#REF!,2,0)</f>
        <v>#REF!</v>
      </c>
    </row>
    <row r="3" spans="1:50" ht="11.25" customHeight="1" x14ac:dyDescent="0.25">
      <c r="A3" s="31">
        <v>2</v>
      </c>
      <c r="B3" s="31" t="s">
        <v>419</v>
      </c>
      <c r="C3" s="31" t="s">
        <v>34</v>
      </c>
      <c r="D3" s="31" t="s">
        <v>73</v>
      </c>
      <c r="E3" s="31" t="s">
        <v>25</v>
      </c>
      <c r="F3" s="31" t="s">
        <v>25</v>
      </c>
      <c r="G3" s="31" t="s">
        <v>25</v>
      </c>
      <c r="H3" s="31" t="s">
        <v>25</v>
      </c>
      <c r="I3" s="31" t="s">
        <v>37</v>
      </c>
      <c r="J3" s="31" t="s">
        <v>564</v>
      </c>
      <c r="K3" s="31" t="s">
        <v>565</v>
      </c>
      <c r="L3" s="31" t="s">
        <v>74</v>
      </c>
      <c r="M3" s="31">
        <v>2021</v>
      </c>
      <c r="N3" s="31">
        <v>0</v>
      </c>
      <c r="O3" s="31">
        <f t="shared" ref="O3:O66" si="0">IF(R3=0,Q3,T3)</f>
        <v>20.43</v>
      </c>
      <c r="P3" s="31">
        <v>0</v>
      </c>
      <c r="Q3" s="31">
        <v>20.43</v>
      </c>
      <c r="R3" s="8">
        <v>0</v>
      </c>
      <c r="S3" s="8" t="str">
        <f t="shared" ref="S3:S66" si="1">B3&amp;C3&amp;D3&amp;E3&amp;F3&amp;G3&amp;H3&amp;I3</f>
        <v>TUSDA4AzulNão se aplicaNão se aplicaNão se aplicaNão se aplicaFora ponta</v>
      </c>
      <c r="T3" s="8" t="e">
        <f>VLOOKUP(S3,#REF!,2,0)</f>
        <v>#REF!</v>
      </c>
    </row>
    <row r="4" spans="1:50" ht="11.25" customHeight="1" x14ac:dyDescent="0.25">
      <c r="A4" s="31">
        <v>3</v>
      </c>
      <c r="B4" s="31" t="s">
        <v>419</v>
      </c>
      <c r="C4" s="31" t="s">
        <v>34</v>
      </c>
      <c r="D4" s="31" t="s">
        <v>73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25</v>
      </c>
      <c r="J4" s="31" t="s">
        <v>566</v>
      </c>
      <c r="K4" s="31" t="s">
        <v>565</v>
      </c>
      <c r="L4" s="31" t="s">
        <v>68</v>
      </c>
      <c r="M4" s="31">
        <v>2021</v>
      </c>
      <c r="N4" s="31">
        <v>0</v>
      </c>
      <c r="O4" s="31">
        <f t="shared" si="0"/>
        <v>70.19</v>
      </c>
      <c r="P4" s="31">
        <v>55.927390812736299</v>
      </c>
      <c r="Q4" s="31">
        <v>70.19</v>
      </c>
      <c r="R4" s="8">
        <v>0</v>
      </c>
      <c r="S4" s="8" t="str">
        <f t="shared" si="1"/>
        <v>TUSDA4AzulNão se aplicaNão se aplicaNão se aplicaNão se aplicaNão se aplica</v>
      </c>
      <c r="T4" s="8" t="e">
        <f>VLOOKUP(S4,#REF!,2,0)</f>
        <v>#REF!</v>
      </c>
    </row>
    <row r="5" spans="1:50" ht="11.25" customHeight="1" x14ac:dyDescent="0.25">
      <c r="A5" s="31">
        <v>4</v>
      </c>
      <c r="B5" s="31" t="s">
        <v>419</v>
      </c>
      <c r="C5" s="31" t="s">
        <v>34</v>
      </c>
      <c r="D5" s="31" t="s">
        <v>73</v>
      </c>
      <c r="E5" s="31" t="s">
        <v>25</v>
      </c>
      <c r="F5" s="31" t="s">
        <v>25</v>
      </c>
      <c r="G5" s="31" t="s">
        <v>77</v>
      </c>
      <c r="H5" s="31" t="s">
        <v>25</v>
      </c>
      <c r="I5" s="31" t="s">
        <v>25</v>
      </c>
      <c r="J5" s="31" t="s">
        <v>566</v>
      </c>
      <c r="K5" s="31" t="s">
        <v>565</v>
      </c>
      <c r="L5" s="31" t="s">
        <v>68</v>
      </c>
      <c r="M5" s="31">
        <v>2021</v>
      </c>
      <c r="N5" s="31">
        <v>0</v>
      </c>
      <c r="O5" s="31">
        <f t="shared" si="0"/>
        <v>3.57</v>
      </c>
      <c r="P5" s="31">
        <v>0</v>
      </c>
      <c r="Q5" s="31">
        <v>3.57</v>
      </c>
      <c r="R5" s="8">
        <v>0</v>
      </c>
      <c r="S5" s="8" t="str">
        <f t="shared" si="1"/>
        <v>TUSDA4AzulNão se aplicaNão se aplicaAPENão se aplicaNão se aplica</v>
      </c>
      <c r="T5" s="8" t="e">
        <f>VLOOKUP(S5,#REF!,2,0)</f>
        <v>#REF!</v>
      </c>
    </row>
    <row r="6" spans="1:50" ht="11.25" customHeight="1" x14ac:dyDescent="0.25">
      <c r="A6" s="31">
        <v>5</v>
      </c>
      <c r="B6" s="31" t="s">
        <v>419</v>
      </c>
      <c r="C6" s="31" t="s">
        <v>34</v>
      </c>
      <c r="D6" s="31" t="s">
        <v>78</v>
      </c>
      <c r="E6" s="31" t="s">
        <v>25</v>
      </c>
      <c r="F6" s="31" t="s">
        <v>25</v>
      </c>
      <c r="G6" s="31" t="s">
        <v>25</v>
      </c>
      <c r="H6" s="31" t="s">
        <v>25</v>
      </c>
      <c r="I6" s="31" t="s">
        <v>25</v>
      </c>
      <c r="J6" s="31" t="s">
        <v>564</v>
      </c>
      <c r="K6" s="31" t="s">
        <v>565</v>
      </c>
      <c r="L6" s="31" t="s">
        <v>74</v>
      </c>
      <c r="M6" s="31">
        <v>2021</v>
      </c>
      <c r="N6" s="31">
        <v>0</v>
      </c>
      <c r="O6" s="31">
        <f t="shared" si="0"/>
        <v>7.25</v>
      </c>
      <c r="P6" s="31">
        <v>0</v>
      </c>
      <c r="Q6" s="31">
        <v>7.25</v>
      </c>
      <c r="R6" s="8">
        <v>0</v>
      </c>
      <c r="S6" s="8" t="str">
        <f t="shared" si="1"/>
        <v>TUSDA4GeraçãoNão se aplicaNão se aplicaNão se aplicaNão se aplicaNão se aplica</v>
      </c>
      <c r="T6" s="8" t="e">
        <f>VLOOKUP(S6,#REF!,2,0)</f>
        <v>#REF!</v>
      </c>
    </row>
    <row r="7" spans="1:50" ht="11.25" customHeight="1" x14ac:dyDescent="0.25">
      <c r="A7" s="31">
        <v>6</v>
      </c>
      <c r="B7" s="31" t="s">
        <v>419</v>
      </c>
      <c r="C7" s="31" t="s">
        <v>34</v>
      </c>
      <c r="D7" s="31" t="s">
        <v>35</v>
      </c>
      <c r="E7" s="31" t="s">
        <v>25</v>
      </c>
      <c r="F7" s="31" t="s">
        <v>25</v>
      </c>
      <c r="G7" s="31" t="s">
        <v>25</v>
      </c>
      <c r="H7" s="31" t="s">
        <v>25</v>
      </c>
      <c r="I7" s="31" t="s">
        <v>25</v>
      </c>
      <c r="J7" s="31" t="s">
        <v>564</v>
      </c>
      <c r="K7" s="31" t="s">
        <v>565</v>
      </c>
      <c r="L7" s="31" t="s">
        <v>74</v>
      </c>
      <c r="M7" s="31">
        <v>2021</v>
      </c>
      <c r="N7" s="31">
        <v>0</v>
      </c>
      <c r="O7" s="31">
        <f t="shared" si="0"/>
        <v>20.43</v>
      </c>
      <c r="P7" s="31">
        <v>0</v>
      </c>
      <c r="Q7" s="31">
        <v>20.43</v>
      </c>
      <c r="R7" s="8">
        <v>0</v>
      </c>
      <c r="S7" s="8" t="str">
        <f t="shared" si="1"/>
        <v>TUSDA4VerdeNão se aplicaNão se aplicaNão se aplicaNão se aplicaNão se aplica</v>
      </c>
      <c r="T7" s="8" t="e">
        <f>VLOOKUP(S7,#REF!,2,0)</f>
        <v>#REF!</v>
      </c>
    </row>
    <row r="8" spans="1:50" ht="11.25" customHeight="1" x14ac:dyDescent="0.25">
      <c r="A8" s="31">
        <v>7</v>
      </c>
      <c r="B8" s="31" t="s">
        <v>419</v>
      </c>
      <c r="C8" s="31" t="s">
        <v>34</v>
      </c>
      <c r="D8" s="31" t="s">
        <v>35</v>
      </c>
      <c r="E8" s="31" t="s">
        <v>25</v>
      </c>
      <c r="F8" s="31" t="s">
        <v>25</v>
      </c>
      <c r="G8" s="31" t="s">
        <v>25</v>
      </c>
      <c r="H8" s="31" t="s">
        <v>25</v>
      </c>
      <c r="I8" s="31" t="s">
        <v>36</v>
      </c>
      <c r="J8" s="31" t="s">
        <v>566</v>
      </c>
      <c r="K8" s="31" t="s">
        <v>565</v>
      </c>
      <c r="L8" s="31" t="s">
        <v>68</v>
      </c>
      <c r="M8" s="31">
        <v>2021</v>
      </c>
      <c r="N8" s="31">
        <v>0</v>
      </c>
      <c r="O8" s="31">
        <f t="shared" si="0"/>
        <v>1419.25</v>
      </c>
      <c r="P8" s="31">
        <v>55.927390812736299</v>
      </c>
      <c r="Q8" s="31">
        <v>1419.25</v>
      </c>
      <c r="R8" s="8">
        <v>0</v>
      </c>
      <c r="S8" s="8" t="str">
        <f t="shared" si="1"/>
        <v>TUSDA4VerdeNão se aplicaNão se aplicaNão se aplicaNão se aplicaPonta</v>
      </c>
      <c r="T8" s="8" t="e">
        <f>VLOOKUP(S8,#REF!,2,0)</f>
        <v>#REF!</v>
      </c>
    </row>
    <row r="9" spans="1:50" ht="11.25" customHeight="1" x14ac:dyDescent="0.25">
      <c r="A9" s="31">
        <v>8</v>
      </c>
      <c r="B9" s="31" t="s">
        <v>419</v>
      </c>
      <c r="C9" s="31" t="s">
        <v>34</v>
      </c>
      <c r="D9" s="31" t="s">
        <v>35</v>
      </c>
      <c r="E9" s="31" t="s">
        <v>25</v>
      </c>
      <c r="F9" s="31" t="s">
        <v>25</v>
      </c>
      <c r="G9" s="31" t="s">
        <v>25</v>
      </c>
      <c r="H9" s="31" t="s">
        <v>25</v>
      </c>
      <c r="I9" s="31" t="s">
        <v>37</v>
      </c>
      <c r="J9" s="31" t="s">
        <v>566</v>
      </c>
      <c r="K9" s="31" t="s">
        <v>565</v>
      </c>
      <c r="L9" s="31" t="s">
        <v>68</v>
      </c>
      <c r="M9" s="31">
        <v>2021</v>
      </c>
      <c r="N9" s="31">
        <v>0</v>
      </c>
      <c r="O9" s="31">
        <f t="shared" si="0"/>
        <v>70.19</v>
      </c>
      <c r="P9" s="31">
        <v>55.927390812736299</v>
      </c>
      <c r="Q9" s="31">
        <v>70.19</v>
      </c>
      <c r="R9" s="8">
        <v>0</v>
      </c>
      <c r="S9" s="8" t="str">
        <f t="shared" si="1"/>
        <v>TUSDA4VerdeNão se aplicaNão se aplicaNão se aplicaNão se aplicaFora ponta</v>
      </c>
      <c r="T9" s="8" t="e">
        <f>VLOOKUP(S9,#REF!,2,0)</f>
        <v>#REF!</v>
      </c>
    </row>
    <row r="10" spans="1:50" ht="11.25" customHeight="1" x14ac:dyDescent="0.25">
      <c r="A10" s="31">
        <v>9</v>
      </c>
      <c r="B10" s="31" t="s">
        <v>419</v>
      </c>
      <c r="C10" s="31" t="s">
        <v>34</v>
      </c>
      <c r="D10" s="31" t="s">
        <v>35</v>
      </c>
      <c r="E10" s="31" t="s">
        <v>25</v>
      </c>
      <c r="F10" s="31" t="s">
        <v>25</v>
      </c>
      <c r="G10" s="31" t="s">
        <v>77</v>
      </c>
      <c r="H10" s="31" t="s">
        <v>25</v>
      </c>
      <c r="I10" s="31" t="s">
        <v>36</v>
      </c>
      <c r="J10" s="31" t="s">
        <v>566</v>
      </c>
      <c r="K10" s="31" t="s">
        <v>565</v>
      </c>
      <c r="L10" s="31" t="s">
        <v>68</v>
      </c>
      <c r="M10" s="31">
        <v>2021</v>
      </c>
      <c r="N10" s="31">
        <v>0</v>
      </c>
      <c r="O10" s="31">
        <f t="shared" si="0"/>
        <v>1352.63</v>
      </c>
      <c r="P10" s="31">
        <v>0</v>
      </c>
      <c r="Q10" s="31">
        <v>1352.63</v>
      </c>
      <c r="R10" s="8">
        <v>0</v>
      </c>
      <c r="S10" s="8" t="str">
        <f t="shared" si="1"/>
        <v>TUSDA4VerdeNão se aplicaNão se aplicaAPENão se aplicaPonta</v>
      </c>
      <c r="T10" s="8" t="e">
        <f>VLOOKUP(S10,#REF!,2,0)</f>
        <v>#REF!</v>
      </c>
    </row>
    <row r="11" spans="1:50" ht="11.25" customHeight="1" x14ac:dyDescent="0.25">
      <c r="A11" s="31">
        <v>10</v>
      </c>
      <c r="B11" s="31" t="s">
        <v>419</v>
      </c>
      <c r="C11" s="31" t="s">
        <v>34</v>
      </c>
      <c r="D11" s="31" t="s">
        <v>35</v>
      </c>
      <c r="E11" s="31" t="s">
        <v>25</v>
      </c>
      <c r="F11" s="31" t="s">
        <v>25</v>
      </c>
      <c r="G11" s="31" t="s">
        <v>77</v>
      </c>
      <c r="H11" s="31" t="s">
        <v>25</v>
      </c>
      <c r="I11" s="31" t="s">
        <v>37</v>
      </c>
      <c r="J11" s="31" t="s">
        <v>566</v>
      </c>
      <c r="K11" s="31" t="s">
        <v>565</v>
      </c>
      <c r="L11" s="31" t="s">
        <v>68</v>
      </c>
      <c r="M11" s="31">
        <v>2021</v>
      </c>
      <c r="N11" s="31">
        <v>0</v>
      </c>
      <c r="O11" s="31">
        <f t="shared" si="0"/>
        <v>3.57</v>
      </c>
      <c r="P11" s="31">
        <v>0</v>
      </c>
      <c r="Q11" s="31">
        <v>3.57</v>
      </c>
      <c r="R11" s="8">
        <v>0</v>
      </c>
      <c r="S11" s="8" t="str">
        <f t="shared" si="1"/>
        <v>TUSDA4VerdeNão se aplicaNão se aplicaAPENão se aplicaFora ponta</v>
      </c>
      <c r="T11" s="8" t="e">
        <f>VLOOKUP(S11,#REF!,2,0)</f>
        <v>#REF!</v>
      </c>
    </row>
    <row r="12" spans="1:50" ht="11.25" customHeight="1" x14ac:dyDescent="0.25">
      <c r="A12" s="31">
        <v>11</v>
      </c>
      <c r="B12" s="31" t="s">
        <v>419</v>
      </c>
      <c r="C12" s="31" t="s">
        <v>34</v>
      </c>
      <c r="D12" s="31" t="s">
        <v>23</v>
      </c>
      <c r="E12" s="31" t="s">
        <v>25</v>
      </c>
      <c r="F12" s="31" t="s">
        <v>25</v>
      </c>
      <c r="G12" s="31" t="s">
        <v>25</v>
      </c>
      <c r="H12" s="31" t="s">
        <v>25</v>
      </c>
      <c r="I12" s="31" t="s">
        <v>25</v>
      </c>
      <c r="J12" s="31" t="s">
        <v>564</v>
      </c>
      <c r="K12" s="31" t="s">
        <v>565</v>
      </c>
      <c r="L12" s="31" t="s">
        <v>74</v>
      </c>
      <c r="M12" s="31">
        <v>2021</v>
      </c>
      <c r="N12" s="31">
        <v>0</v>
      </c>
      <c r="O12" s="31">
        <f t="shared" si="0"/>
        <v>60.42</v>
      </c>
      <c r="P12" s="31">
        <v>0</v>
      </c>
      <c r="Q12" s="31">
        <v>60.42</v>
      </c>
      <c r="R12" s="8">
        <v>0</v>
      </c>
      <c r="S12" s="8" t="str">
        <f t="shared" si="1"/>
        <v>TUSDA4ConvencionalNão se aplicaNão se aplicaNão se aplicaNão se aplicaNão se aplica</v>
      </c>
      <c r="T12" s="8" t="e">
        <f>VLOOKUP(S12,#REF!,2,0)</f>
        <v>#REF!</v>
      </c>
    </row>
    <row r="13" spans="1:50" ht="11.25" customHeight="1" x14ac:dyDescent="0.25">
      <c r="A13" s="31">
        <v>12</v>
      </c>
      <c r="B13" s="31" t="s">
        <v>419</v>
      </c>
      <c r="C13" s="31" t="s">
        <v>34</v>
      </c>
      <c r="D13" s="31" t="s">
        <v>23</v>
      </c>
      <c r="E13" s="31" t="s">
        <v>25</v>
      </c>
      <c r="F13" s="31" t="s">
        <v>25</v>
      </c>
      <c r="G13" s="31" t="s">
        <v>25</v>
      </c>
      <c r="H13" s="31" t="s">
        <v>25</v>
      </c>
      <c r="I13" s="31" t="s">
        <v>25</v>
      </c>
      <c r="J13" s="31" t="s">
        <v>566</v>
      </c>
      <c r="K13" s="31" t="s">
        <v>565</v>
      </c>
      <c r="L13" s="31" t="s">
        <v>68</v>
      </c>
      <c r="M13" s="31">
        <v>2021</v>
      </c>
      <c r="N13" s="31">
        <v>0</v>
      </c>
      <c r="O13" s="31">
        <f t="shared" si="0"/>
        <v>70.19</v>
      </c>
      <c r="P13" s="31">
        <v>55.927390812736299</v>
      </c>
      <c r="Q13" s="31">
        <v>70.19</v>
      </c>
      <c r="R13" s="8">
        <v>0</v>
      </c>
      <c r="S13" s="8" t="str">
        <f t="shared" si="1"/>
        <v>TUSDA4ConvencionalNão se aplicaNão se aplicaNão se aplicaNão se aplicaNão se aplica</v>
      </c>
      <c r="T13" s="8" t="e">
        <f>VLOOKUP(S13,#REF!,2,0)</f>
        <v>#REF!</v>
      </c>
    </row>
    <row r="14" spans="1:50" ht="11.25" customHeight="1" x14ac:dyDescent="0.25">
      <c r="A14" s="31">
        <v>13</v>
      </c>
      <c r="B14" s="31" t="s">
        <v>419</v>
      </c>
      <c r="C14" s="31" t="s">
        <v>79</v>
      </c>
      <c r="D14" s="31" t="s">
        <v>78</v>
      </c>
      <c r="E14" s="31" t="s">
        <v>25</v>
      </c>
      <c r="F14" s="31" t="s">
        <v>25</v>
      </c>
      <c r="G14" s="31" t="s">
        <v>80</v>
      </c>
      <c r="H14" s="31" t="s">
        <v>25</v>
      </c>
      <c r="I14" s="31" t="s">
        <v>25</v>
      </c>
      <c r="J14" s="31" t="s">
        <v>564</v>
      </c>
      <c r="K14" s="31" t="s">
        <v>565</v>
      </c>
      <c r="L14" s="31" t="s">
        <v>74</v>
      </c>
      <c r="M14" s="31">
        <v>2021</v>
      </c>
      <c r="N14" s="31">
        <v>0</v>
      </c>
      <c r="O14" s="31">
        <f t="shared" si="0"/>
        <v>15.69</v>
      </c>
      <c r="P14" s="31">
        <v>0</v>
      </c>
      <c r="Q14" s="31">
        <v>15.69</v>
      </c>
      <c r="R14" s="8">
        <v>0</v>
      </c>
      <c r="S14" s="8" t="str">
        <f t="shared" si="1"/>
        <v>TUSDBGeraçãoNão se aplicaNão se aplicaTIPO 01Não se aplicaNão se aplica</v>
      </c>
      <c r="T14" s="8" t="e">
        <f>VLOOKUP(S14,#REF!,2,0)</f>
        <v>#REF!</v>
      </c>
    </row>
    <row r="15" spans="1:50" ht="11.25" customHeight="1" x14ac:dyDescent="0.25">
      <c r="A15" s="31">
        <v>14</v>
      </c>
      <c r="B15" s="31" t="s">
        <v>419</v>
      </c>
      <c r="C15" s="31" t="s">
        <v>79</v>
      </c>
      <c r="D15" s="31" t="s">
        <v>78</v>
      </c>
      <c r="E15" s="31" t="s">
        <v>25</v>
      </c>
      <c r="F15" s="31" t="s">
        <v>25</v>
      </c>
      <c r="G15" s="31" t="s">
        <v>81</v>
      </c>
      <c r="H15" s="31" t="s">
        <v>25</v>
      </c>
      <c r="I15" s="31" t="s">
        <v>25</v>
      </c>
      <c r="J15" s="31" t="s">
        <v>564</v>
      </c>
      <c r="K15" s="31" t="s">
        <v>565</v>
      </c>
      <c r="L15" s="31" t="s">
        <v>74</v>
      </c>
      <c r="M15" s="31">
        <v>2021</v>
      </c>
      <c r="N15" s="31">
        <v>0</v>
      </c>
      <c r="O15" s="31">
        <f t="shared" si="0"/>
        <v>23.96</v>
      </c>
      <c r="P15" s="31">
        <v>0</v>
      </c>
      <c r="Q15" s="31">
        <v>23.96</v>
      </c>
      <c r="R15" s="8">
        <v>0</v>
      </c>
      <c r="S15" s="8" t="str">
        <f t="shared" si="1"/>
        <v>TUSDBGeraçãoNão se aplicaNão se aplicaTIPO 02Não se aplicaNão se aplica</v>
      </c>
      <c r="T15" s="8" t="e">
        <f>VLOOKUP(S15,#REF!,2,0)</f>
        <v>#REF!</v>
      </c>
    </row>
    <row r="16" spans="1:50" ht="11.25" customHeight="1" x14ac:dyDescent="0.25">
      <c r="A16" s="31">
        <v>15</v>
      </c>
      <c r="B16" s="31" t="s">
        <v>419</v>
      </c>
      <c r="C16" s="31" t="s">
        <v>22</v>
      </c>
      <c r="D16" s="31" t="s">
        <v>38</v>
      </c>
      <c r="E16" s="31" t="s">
        <v>24</v>
      </c>
      <c r="F16" s="31" t="s">
        <v>24</v>
      </c>
      <c r="G16" s="31" t="s">
        <v>25</v>
      </c>
      <c r="H16" s="31" t="s">
        <v>25</v>
      </c>
      <c r="I16" s="31" t="s">
        <v>36</v>
      </c>
      <c r="J16" s="31" t="s">
        <v>566</v>
      </c>
      <c r="K16" s="31" t="s">
        <v>565</v>
      </c>
      <c r="L16" s="31" t="s">
        <v>68</v>
      </c>
      <c r="M16" s="31">
        <v>2021</v>
      </c>
      <c r="N16" s="31">
        <v>0</v>
      </c>
      <c r="O16" s="31" t="e">
        <f t="shared" si="0"/>
        <v>#REF!</v>
      </c>
      <c r="P16" s="31">
        <v>64.284357256018694</v>
      </c>
      <c r="Q16" s="31">
        <v>952.43</v>
      </c>
      <c r="R16" s="8">
        <v>1</v>
      </c>
      <c r="S16" s="8" t="str">
        <f t="shared" si="1"/>
        <v>TUSDB1BrancaResidencialResidencialNão se aplicaNão se aplicaPonta</v>
      </c>
      <c r="T16" s="8" t="e">
        <f>VLOOKUP(S16,#REF!,2,0)</f>
        <v>#REF!</v>
      </c>
    </row>
    <row r="17" spans="1:20" ht="11.25" customHeight="1" x14ac:dyDescent="0.25">
      <c r="A17" s="31">
        <v>16</v>
      </c>
      <c r="B17" s="31" t="s">
        <v>419</v>
      </c>
      <c r="C17" s="31" t="s">
        <v>22</v>
      </c>
      <c r="D17" s="31" t="s">
        <v>38</v>
      </c>
      <c r="E17" s="31" t="s">
        <v>24</v>
      </c>
      <c r="F17" s="31" t="s">
        <v>24</v>
      </c>
      <c r="G17" s="31" t="s">
        <v>25</v>
      </c>
      <c r="H17" s="31" t="s">
        <v>25</v>
      </c>
      <c r="I17" s="31" t="s">
        <v>39</v>
      </c>
      <c r="J17" s="31" t="s">
        <v>566</v>
      </c>
      <c r="K17" s="31" t="s">
        <v>565</v>
      </c>
      <c r="L17" s="31" t="s">
        <v>68</v>
      </c>
      <c r="M17" s="31">
        <v>2021</v>
      </c>
      <c r="N17" s="31">
        <v>0</v>
      </c>
      <c r="O17" s="31" t="e">
        <f t="shared" si="0"/>
        <v>#REF!</v>
      </c>
      <c r="P17" s="31">
        <v>64.284357256018694</v>
      </c>
      <c r="Q17" s="31">
        <v>611.4</v>
      </c>
      <c r="R17" s="8">
        <v>1</v>
      </c>
      <c r="S17" s="8" t="str">
        <f t="shared" si="1"/>
        <v>TUSDB1BrancaResidencialResidencialNão se aplicaNão se aplicaIntermediário</v>
      </c>
      <c r="T17" s="8" t="e">
        <f>VLOOKUP(S17,#REF!,2,0)</f>
        <v>#REF!</v>
      </c>
    </row>
    <row r="18" spans="1:20" ht="11.25" customHeight="1" x14ac:dyDescent="0.25">
      <c r="A18" s="31">
        <v>17</v>
      </c>
      <c r="B18" s="31" t="s">
        <v>419</v>
      </c>
      <c r="C18" s="31" t="s">
        <v>22</v>
      </c>
      <c r="D18" s="31" t="s">
        <v>38</v>
      </c>
      <c r="E18" s="31" t="s">
        <v>24</v>
      </c>
      <c r="F18" s="31" t="s">
        <v>24</v>
      </c>
      <c r="G18" s="31" t="s">
        <v>25</v>
      </c>
      <c r="H18" s="31" t="s">
        <v>25</v>
      </c>
      <c r="I18" s="31" t="s">
        <v>37</v>
      </c>
      <c r="J18" s="31" t="s">
        <v>566</v>
      </c>
      <c r="K18" s="31" t="s">
        <v>565</v>
      </c>
      <c r="L18" s="31" t="s">
        <v>68</v>
      </c>
      <c r="M18" s="31">
        <v>2021</v>
      </c>
      <c r="N18" s="31">
        <v>0</v>
      </c>
      <c r="O18" s="31" t="e">
        <f t="shared" si="0"/>
        <v>#REF!</v>
      </c>
      <c r="P18" s="31">
        <v>64.284357256018694</v>
      </c>
      <c r="Q18" s="31">
        <v>270.37</v>
      </c>
      <c r="R18" s="8">
        <v>1</v>
      </c>
      <c r="S18" s="8" t="str">
        <f t="shared" si="1"/>
        <v>TUSDB1BrancaResidencialResidencialNão se aplicaNão se aplicaFora ponta</v>
      </c>
      <c r="T18" s="8" t="e">
        <f>VLOOKUP(S18,#REF!,2,0)</f>
        <v>#REF!</v>
      </c>
    </row>
    <row r="19" spans="1:20" ht="11.25" customHeight="1" x14ac:dyDescent="0.25">
      <c r="A19" s="31">
        <v>18</v>
      </c>
      <c r="B19" s="31" t="s">
        <v>419</v>
      </c>
      <c r="C19" s="31" t="s">
        <v>22</v>
      </c>
      <c r="D19" s="31" t="s">
        <v>23</v>
      </c>
      <c r="E19" s="31" t="s">
        <v>24</v>
      </c>
      <c r="F19" s="31" t="s">
        <v>24</v>
      </c>
      <c r="G19" s="31" t="s">
        <v>25</v>
      </c>
      <c r="H19" s="31" t="s">
        <v>25</v>
      </c>
      <c r="I19" s="31" t="s">
        <v>25</v>
      </c>
      <c r="J19" s="31" t="s">
        <v>566</v>
      </c>
      <c r="K19" s="31" t="s">
        <v>565</v>
      </c>
      <c r="L19" s="31" t="s">
        <v>68</v>
      </c>
      <c r="M19" s="31">
        <v>2021</v>
      </c>
      <c r="N19" s="31">
        <v>0</v>
      </c>
      <c r="O19" s="31" t="e">
        <f t="shared" si="0"/>
        <v>#REF!</v>
      </c>
      <c r="P19" s="31">
        <v>64.284357256018694</v>
      </c>
      <c r="Q19" s="31">
        <v>404.34</v>
      </c>
      <c r="R19" s="8">
        <v>1</v>
      </c>
      <c r="S19" s="8" t="str">
        <f t="shared" si="1"/>
        <v>TUSDB1ConvencionalResidencialResidencialNão se aplicaNão se aplicaNão se aplica</v>
      </c>
      <c r="T19" s="8" t="e">
        <f>VLOOKUP(S19,#REF!,2,0)</f>
        <v>#REF!</v>
      </c>
    </row>
    <row r="20" spans="1:20" ht="11.25" customHeight="1" x14ac:dyDescent="0.25">
      <c r="A20" s="31">
        <v>19</v>
      </c>
      <c r="B20" s="31" t="s">
        <v>419</v>
      </c>
      <c r="C20" s="31" t="s">
        <v>22</v>
      </c>
      <c r="D20" s="31" t="s">
        <v>23</v>
      </c>
      <c r="E20" s="31" t="s">
        <v>24</v>
      </c>
      <c r="F20" s="31" t="s">
        <v>28</v>
      </c>
      <c r="G20" s="31" t="s">
        <v>25</v>
      </c>
      <c r="H20" s="31" t="s">
        <v>25</v>
      </c>
      <c r="I20" s="31" t="s">
        <v>25</v>
      </c>
      <c r="J20" s="31" t="s">
        <v>566</v>
      </c>
      <c r="K20" s="31" t="s">
        <v>565</v>
      </c>
      <c r="L20" s="31" t="s">
        <v>68</v>
      </c>
      <c r="M20" s="31">
        <v>2021</v>
      </c>
      <c r="N20" s="31">
        <v>0</v>
      </c>
      <c r="O20" s="31" t="e">
        <f t="shared" si="0"/>
        <v>#REF!</v>
      </c>
      <c r="P20" s="31">
        <v>0</v>
      </c>
      <c r="Q20" s="31">
        <v>115.28</v>
      </c>
      <c r="R20" s="8">
        <v>1</v>
      </c>
      <c r="S20" s="8" t="str">
        <f t="shared" si="1"/>
        <v>TUSDB1ConvencionalResidencialResidencial baixa renda – faixa 01Não se aplicaNão se aplicaNão se aplica</v>
      </c>
      <c r="T20" s="8" t="e">
        <f>VLOOKUP(S20,#REF!,2,0)</f>
        <v>#REF!</v>
      </c>
    </row>
    <row r="21" spans="1:20" ht="11.25" customHeight="1" x14ac:dyDescent="0.25">
      <c r="A21" s="31">
        <v>20</v>
      </c>
      <c r="B21" s="31" t="s">
        <v>419</v>
      </c>
      <c r="C21" s="31" t="s">
        <v>22</v>
      </c>
      <c r="D21" s="31" t="s">
        <v>23</v>
      </c>
      <c r="E21" s="31" t="s">
        <v>24</v>
      </c>
      <c r="F21" s="31" t="s">
        <v>29</v>
      </c>
      <c r="G21" s="31" t="s">
        <v>25</v>
      </c>
      <c r="H21" s="31" t="s">
        <v>25</v>
      </c>
      <c r="I21" s="31" t="s">
        <v>25</v>
      </c>
      <c r="J21" s="31" t="s">
        <v>566</v>
      </c>
      <c r="K21" s="31" t="s">
        <v>565</v>
      </c>
      <c r="L21" s="31" t="s">
        <v>68</v>
      </c>
      <c r="M21" s="31">
        <v>2021</v>
      </c>
      <c r="N21" s="31">
        <v>0</v>
      </c>
      <c r="O21" s="31" t="e">
        <f t="shared" si="0"/>
        <v>#REF!</v>
      </c>
      <c r="P21" s="31">
        <v>0</v>
      </c>
      <c r="Q21" s="31">
        <v>197.62</v>
      </c>
      <c r="R21" s="8">
        <v>1</v>
      </c>
      <c r="S21" s="8" t="str">
        <f t="shared" si="1"/>
        <v>TUSDB1ConvencionalResidencialResidencial baixa renda – faixa 02Não se aplicaNão se aplicaNão se aplica</v>
      </c>
      <c r="T21" s="8" t="e">
        <f>VLOOKUP(S21,#REF!,2,0)</f>
        <v>#REF!</v>
      </c>
    </row>
    <row r="22" spans="1:20" ht="11.25" customHeight="1" x14ac:dyDescent="0.25">
      <c r="A22" s="31">
        <v>21</v>
      </c>
      <c r="B22" s="31" t="s">
        <v>419</v>
      </c>
      <c r="C22" s="31" t="s">
        <v>22</v>
      </c>
      <c r="D22" s="31" t="s">
        <v>23</v>
      </c>
      <c r="E22" s="31" t="s">
        <v>24</v>
      </c>
      <c r="F22" s="31" t="s">
        <v>30</v>
      </c>
      <c r="G22" s="31" t="s">
        <v>25</v>
      </c>
      <c r="H22" s="31" t="s">
        <v>25</v>
      </c>
      <c r="I22" s="31" t="s">
        <v>25</v>
      </c>
      <c r="J22" s="31" t="s">
        <v>566</v>
      </c>
      <c r="K22" s="31" t="s">
        <v>565</v>
      </c>
      <c r="L22" s="31" t="s">
        <v>68</v>
      </c>
      <c r="M22" s="31">
        <v>2021</v>
      </c>
      <c r="N22" s="31">
        <v>0</v>
      </c>
      <c r="O22" s="31" t="e">
        <f t="shared" si="0"/>
        <v>#REF!</v>
      </c>
      <c r="P22" s="31">
        <v>0</v>
      </c>
      <c r="Q22" s="31">
        <v>296.43</v>
      </c>
      <c r="R22" s="8">
        <v>1</v>
      </c>
      <c r="S22" s="8" t="str">
        <f t="shared" si="1"/>
        <v>TUSDB1ConvencionalResidencialResidencial baixa renda – faixa 03Não se aplicaNão se aplicaNão se aplica</v>
      </c>
      <c r="T22" s="8" t="e">
        <f>VLOOKUP(S22,#REF!,2,0)</f>
        <v>#REF!</v>
      </c>
    </row>
    <row r="23" spans="1:20" ht="11.25" customHeight="1" x14ac:dyDescent="0.25">
      <c r="A23" s="31">
        <v>22</v>
      </c>
      <c r="B23" s="31" t="s">
        <v>419</v>
      </c>
      <c r="C23" s="31" t="s">
        <v>22</v>
      </c>
      <c r="D23" s="31" t="s">
        <v>23</v>
      </c>
      <c r="E23" s="31" t="s">
        <v>24</v>
      </c>
      <c r="F23" s="31" t="s">
        <v>31</v>
      </c>
      <c r="G23" s="31" t="s">
        <v>25</v>
      </c>
      <c r="H23" s="31" t="s">
        <v>25</v>
      </c>
      <c r="I23" s="31" t="s">
        <v>25</v>
      </c>
      <c r="J23" s="31" t="s">
        <v>566</v>
      </c>
      <c r="K23" s="31" t="s">
        <v>565</v>
      </c>
      <c r="L23" s="31" t="s">
        <v>68</v>
      </c>
      <c r="M23" s="31">
        <v>2021</v>
      </c>
      <c r="N23" s="31">
        <v>0</v>
      </c>
      <c r="O23" s="31" t="e">
        <f t="shared" si="0"/>
        <v>#REF!</v>
      </c>
      <c r="P23" s="31">
        <v>0</v>
      </c>
      <c r="Q23" s="31">
        <v>329.37</v>
      </c>
      <c r="R23" s="8">
        <v>1</v>
      </c>
      <c r="S23" s="8" t="str">
        <f t="shared" si="1"/>
        <v>TUSDB1ConvencionalResidencialResidencial baixa renda – faixa 04Não se aplicaNão se aplicaNão se aplica</v>
      </c>
      <c r="T23" s="8" t="e">
        <f>VLOOKUP(S23,#REF!,2,0)</f>
        <v>#REF!</v>
      </c>
    </row>
    <row r="24" spans="1:20" ht="11.25" customHeight="1" x14ac:dyDescent="0.25">
      <c r="A24" s="31">
        <v>23</v>
      </c>
      <c r="B24" s="31" t="s">
        <v>419</v>
      </c>
      <c r="C24" s="31" t="s">
        <v>22</v>
      </c>
      <c r="D24" s="31" t="s">
        <v>84</v>
      </c>
      <c r="E24" s="31" t="s">
        <v>24</v>
      </c>
      <c r="F24" s="31" t="s">
        <v>24</v>
      </c>
      <c r="G24" s="31" t="s">
        <v>25</v>
      </c>
      <c r="H24" s="31" t="s">
        <v>25</v>
      </c>
      <c r="I24" s="31" t="s">
        <v>25</v>
      </c>
      <c r="J24" s="31" t="s">
        <v>566</v>
      </c>
      <c r="K24" s="31" t="s">
        <v>565</v>
      </c>
      <c r="L24" s="31" t="s">
        <v>68</v>
      </c>
      <c r="M24" s="31">
        <v>2021</v>
      </c>
      <c r="N24" s="31">
        <v>0</v>
      </c>
      <c r="O24" s="31" t="e">
        <f t="shared" si="0"/>
        <v>#REF!</v>
      </c>
      <c r="P24" s="31">
        <v>64.284357256018694</v>
      </c>
      <c r="Q24" s="31">
        <v>404.34</v>
      </c>
      <c r="R24" s="8">
        <v>1</v>
      </c>
      <c r="S24" s="8" t="str">
        <f t="shared" si="1"/>
        <v>TUSDB1Convencional pré-pagamentoResidencialResidencialNão se aplicaNão se aplicaNão se aplica</v>
      </c>
      <c r="T24" s="8" t="e">
        <f>VLOOKUP(S24,#REF!,2,0)</f>
        <v>#REF!</v>
      </c>
    </row>
    <row r="25" spans="1:20" ht="11.25" customHeight="1" x14ac:dyDescent="0.25">
      <c r="A25" s="31">
        <v>24</v>
      </c>
      <c r="B25" s="31" t="s">
        <v>419</v>
      </c>
      <c r="C25" s="31" t="s">
        <v>22</v>
      </c>
      <c r="D25" s="31" t="s">
        <v>84</v>
      </c>
      <c r="E25" s="31" t="s">
        <v>24</v>
      </c>
      <c r="F25" s="31" t="s">
        <v>28</v>
      </c>
      <c r="G25" s="31" t="s">
        <v>25</v>
      </c>
      <c r="H25" s="31" t="s">
        <v>25</v>
      </c>
      <c r="I25" s="31" t="s">
        <v>25</v>
      </c>
      <c r="J25" s="31" t="s">
        <v>566</v>
      </c>
      <c r="K25" s="31" t="s">
        <v>565</v>
      </c>
      <c r="L25" s="31" t="s">
        <v>68</v>
      </c>
      <c r="M25" s="31">
        <v>2021</v>
      </c>
      <c r="N25" s="31">
        <v>0</v>
      </c>
      <c r="O25" s="31" t="e">
        <f t="shared" si="0"/>
        <v>#REF!</v>
      </c>
      <c r="P25" s="31">
        <v>0</v>
      </c>
      <c r="Q25" s="31">
        <v>115.28</v>
      </c>
      <c r="R25" s="8">
        <v>1</v>
      </c>
      <c r="S25" s="8" t="str">
        <f t="shared" si="1"/>
        <v>TUSDB1Convencional pré-pagamentoResidencialResidencial baixa renda – faixa 01Não se aplicaNão se aplicaNão se aplica</v>
      </c>
      <c r="T25" s="8" t="e">
        <f>VLOOKUP(S25,#REF!,2,0)</f>
        <v>#REF!</v>
      </c>
    </row>
    <row r="26" spans="1:20" ht="11.25" customHeight="1" x14ac:dyDescent="0.25">
      <c r="A26" s="31">
        <v>25</v>
      </c>
      <c r="B26" s="31" t="s">
        <v>419</v>
      </c>
      <c r="C26" s="31" t="s">
        <v>22</v>
      </c>
      <c r="D26" s="31" t="s">
        <v>84</v>
      </c>
      <c r="E26" s="31" t="s">
        <v>24</v>
      </c>
      <c r="F26" s="31" t="s">
        <v>29</v>
      </c>
      <c r="G26" s="31" t="s">
        <v>25</v>
      </c>
      <c r="H26" s="31" t="s">
        <v>25</v>
      </c>
      <c r="I26" s="31" t="s">
        <v>25</v>
      </c>
      <c r="J26" s="31" t="s">
        <v>566</v>
      </c>
      <c r="K26" s="31" t="s">
        <v>565</v>
      </c>
      <c r="L26" s="31" t="s">
        <v>68</v>
      </c>
      <c r="M26" s="31">
        <v>2021</v>
      </c>
      <c r="N26" s="31">
        <v>0</v>
      </c>
      <c r="O26" s="31" t="e">
        <f t="shared" si="0"/>
        <v>#REF!</v>
      </c>
      <c r="P26" s="31">
        <v>0</v>
      </c>
      <c r="Q26" s="31">
        <v>197.62</v>
      </c>
      <c r="R26" s="8">
        <v>1</v>
      </c>
      <c r="S26" s="8" t="str">
        <f t="shared" si="1"/>
        <v>TUSDB1Convencional pré-pagamentoResidencialResidencial baixa renda – faixa 02Não se aplicaNão se aplicaNão se aplica</v>
      </c>
      <c r="T26" s="8" t="e">
        <f>VLOOKUP(S26,#REF!,2,0)</f>
        <v>#REF!</v>
      </c>
    </row>
    <row r="27" spans="1:20" ht="11.25" customHeight="1" x14ac:dyDescent="0.25">
      <c r="A27" s="31">
        <v>26</v>
      </c>
      <c r="B27" s="31" t="s">
        <v>419</v>
      </c>
      <c r="C27" s="31" t="s">
        <v>22</v>
      </c>
      <c r="D27" s="31" t="s">
        <v>84</v>
      </c>
      <c r="E27" s="31" t="s">
        <v>24</v>
      </c>
      <c r="F27" s="31" t="s">
        <v>30</v>
      </c>
      <c r="G27" s="31" t="s">
        <v>25</v>
      </c>
      <c r="H27" s="31" t="s">
        <v>25</v>
      </c>
      <c r="I27" s="31" t="s">
        <v>25</v>
      </c>
      <c r="J27" s="31" t="s">
        <v>566</v>
      </c>
      <c r="K27" s="31" t="s">
        <v>565</v>
      </c>
      <c r="L27" s="31" t="s">
        <v>68</v>
      </c>
      <c r="M27" s="31">
        <v>2021</v>
      </c>
      <c r="N27" s="31">
        <v>0</v>
      </c>
      <c r="O27" s="31" t="e">
        <f t="shared" si="0"/>
        <v>#REF!</v>
      </c>
      <c r="P27" s="31">
        <v>0</v>
      </c>
      <c r="Q27" s="31">
        <v>296.43</v>
      </c>
      <c r="R27" s="8">
        <v>1</v>
      </c>
      <c r="S27" s="8" t="str">
        <f t="shared" si="1"/>
        <v>TUSDB1Convencional pré-pagamentoResidencialResidencial baixa renda – faixa 03Não se aplicaNão se aplicaNão se aplica</v>
      </c>
      <c r="T27" s="8" t="e">
        <f>VLOOKUP(S27,#REF!,2,0)</f>
        <v>#REF!</v>
      </c>
    </row>
    <row r="28" spans="1:20" ht="11.25" customHeight="1" x14ac:dyDescent="0.25">
      <c r="A28" s="31">
        <v>27</v>
      </c>
      <c r="B28" s="31" t="s">
        <v>419</v>
      </c>
      <c r="C28" s="31" t="s">
        <v>22</v>
      </c>
      <c r="D28" s="31" t="s">
        <v>84</v>
      </c>
      <c r="E28" s="31" t="s">
        <v>24</v>
      </c>
      <c r="F28" s="31" t="s">
        <v>31</v>
      </c>
      <c r="G28" s="31" t="s">
        <v>25</v>
      </c>
      <c r="H28" s="31" t="s">
        <v>25</v>
      </c>
      <c r="I28" s="31" t="s">
        <v>25</v>
      </c>
      <c r="J28" s="31" t="s">
        <v>566</v>
      </c>
      <c r="K28" s="31" t="s">
        <v>565</v>
      </c>
      <c r="L28" s="31" t="s">
        <v>68</v>
      </c>
      <c r="M28" s="31">
        <v>2021</v>
      </c>
      <c r="N28" s="31">
        <v>0</v>
      </c>
      <c r="O28" s="31" t="e">
        <f t="shared" si="0"/>
        <v>#REF!</v>
      </c>
      <c r="P28" s="31">
        <v>0</v>
      </c>
      <c r="Q28" s="31">
        <v>329.37</v>
      </c>
      <c r="R28" s="8">
        <v>1</v>
      </c>
      <c r="S28" s="8" t="str">
        <f t="shared" si="1"/>
        <v>TUSDB1Convencional pré-pagamentoResidencialResidencial baixa renda – faixa 04Não se aplicaNão se aplicaNão se aplica</v>
      </c>
      <c r="T28" s="8" t="e">
        <f>VLOOKUP(S28,#REF!,2,0)</f>
        <v>#REF!</v>
      </c>
    </row>
    <row r="29" spans="1:20" ht="11.25" customHeight="1" x14ac:dyDescent="0.25">
      <c r="A29" s="31">
        <v>28</v>
      </c>
      <c r="B29" s="31" t="s">
        <v>419</v>
      </c>
      <c r="C29" s="31" t="s">
        <v>41</v>
      </c>
      <c r="D29" s="31" t="s">
        <v>38</v>
      </c>
      <c r="E29" s="31" t="s">
        <v>42</v>
      </c>
      <c r="F29" s="31" t="s">
        <v>25</v>
      </c>
      <c r="G29" s="31" t="s">
        <v>25</v>
      </c>
      <c r="H29" s="31" t="s">
        <v>25</v>
      </c>
      <c r="I29" s="31" t="s">
        <v>36</v>
      </c>
      <c r="J29" s="31" t="s">
        <v>566</v>
      </c>
      <c r="K29" s="31" t="s">
        <v>565</v>
      </c>
      <c r="L29" s="31" t="s">
        <v>68</v>
      </c>
      <c r="M29" s="31">
        <v>2021</v>
      </c>
      <c r="N29" s="31">
        <v>0</v>
      </c>
      <c r="O29" s="31" t="e">
        <f t="shared" si="0"/>
        <v>#REF!</v>
      </c>
      <c r="P29" s="31">
        <v>56.570234385296502</v>
      </c>
      <c r="Q29" s="31">
        <v>87.87</v>
      </c>
      <c r="R29" s="8">
        <v>1</v>
      </c>
      <c r="S29" s="8" t="str">
        <f t="shared" si="1"/>
        <v>TUSDB2BrancaRuralNão se aplicaNão se aplicaNão se aplicaPonta</v>
      </c>
      <c r="T29" s="8" t="e">
        <f>VLOOKUP(S29,#REF!,2,0)</f>
        <v>#REF!</v>
      </c>
    </row>
    <row r="30" spans="1:20" ht="11.25" customHeight="1" x14ac:dyDescent="0.25">
      <c r="A30" s="31">
        <v>29</v>
      </c>
      <c r="B30" s="31" t="s">
        <v>419</v>
      </c>
      <c r="C30" s="31" t="s">
        <v>41</v>
      </c>
      <c r="D30" s="31" t="s">
        <v>38</v>
      </c>
      <c r="E30" s="31" t="s">
        <v>42</v>
      </c>
      <c r="F30" s="31" t="s">
        <v>25</v>
      </c>
      <c r="G30" s="31" t="s">
        <v>25</v>
      </c>
      <c r="H30" s="31" t="s">
        <v>25</v>
      </c>
      <c r="I30" s="31" t="s">
        <v>39</v>
      </c>
      <c r="J30" s="31" t="s">
        <v>566</v>
      </c>
      <c r="K30" s="31" t="s">
        <v>565</v>
      </c>
      <c r="L30" s="31" t="s">
        <v>68</v>
      </c>
      <c r="M30" s="31">
        <v>2021</v>
      </c>
      <c r="N30" s="31">
        <v>0</v>
      </c>
      <c r="O30" s="31" t="e">
        <f t="shared" si="0"/>
        <v>#REF!</v>
      </c>
      <c r="P30" s="31">
        <v>56.570234385296502</v>
      </c>
      <c r="Q30" s="31">
        <v>87.87</v>
      </c>
      <c r="R30" s="8">
        <v>1</v>
      </c>
      <c r="S30" s="8" t="str">
        <f t="shared" si="1"/>
        <v>TUSDB2BrancaRuralNão se aplicaNão se aplicaNão se aplicaIntermediário</v>
      </c>
      <c r="T30" s="8" t="e">
        <f>VLOOKUP(S30,#REF!,2,0)</f>
        <v>#REF!</v>
      </c>
    </row>
    <row r="31" spans="1:20" ht="11.25" customHeight="1" x14ac:dyDescent="0.25">
      <c r="A31" s="31">
        <v>30</v>
      </c>
      <c r="B31" s="31" t="s">
        <v>419</v>
      </c>
      <c r="C31" s="31" t="s">
        <v>41</v>
      </c>
      <c r="D31" s="31" t="s">
        <v>38</v>
      </c>
      <c r="E31" s="31" t="s">
        <v>42</v>
      </c>
      <c r="F31" s="31" t="s">
        <v>25</v>
      </c>
      <c r="G31" s="31" t="s">
        <v>25</v>
      </c>
      <c r="H31" s="31" t="s">
        <v>25</v>
      </c>
      <c r="I31" s="31" t="s">
        <v>37</v>
      </c>
      <c r="J31" s="31" t="s">
        <v>566</v>
      </c>
      <c r="K31" s="31" t="s">
        <v>565</v>
      </c>
      <c r="L31" s="31" t="s">
        <v>68</v>
      </c>
      <c r="M31" s="31">
        <v>2021</v>
      </c>
      <c r="N31" s="31">
        <v>0</v>
      </c>
      <c r="O31" s="31" t="e">
        <f t="shared" si="0"/>
        <v>#REF!</v>
      </c>
      <c r="P31" s="31">
        <v>56.570234385296502</v>
      </c>
      <c r="Q31" s="31">
        <v>87.87</v>
      </c>
      <c r="R31" s="8">
        <v>1</v>
      </c>
      <c r="S31" s="8" t="str">
        <f t="shared" si="1"/>
        <v>TUSDB2BrancaRuralNão se aplicaNão se aplicaNão se aplicaFora ponta</v>
      </c>
      <c r="T31" s="8" t="e">
        <f>VLOOKUP(S31,#REF!,2,0)</f>
        <v>#REF!</v>
      </c>
    </row>
    <row r="32" spans="1:20" ht="11.25" customHeight="1" x14ac:dyDescent="0.25">
      <c r="A32" s="31">
        <v>31</v>
      </c>
      <c r="B32" s="31" t="s">
        <v>419</v>
      </c>
      <c r="C32" s="31" t="s">
        <v>41</v>
      </c>
      <c r="D32" s="31" t="s">
        <v>23</v>
      </c>
      <c r="E32" s="31" t="s">
        <v>42</v>
      </c>
      <c r="F32" s="31" t="s">
        <v>25</v>
      </c>
      <c r="G32" s="31" t="s">
        <v>25</v>
      </c>
      <c r="H32" s="31" t="s">
        <v>25</v>
      </c>
      <c r="I32" s="31" t="s">
        <v>25</v>
      </c>
      <c r="J32" s="31" t="s">
        <v>566</v>
      </c>
      <c r="K32" s="31" t="s">
        <v>565</v>
      </c>
      <c r="L32" s="31" t="s">
        <v>68</v>
      </c>
      <c r="M32" s="31">
        <v>2021</v>
      </c>
      <c r="N32" s="31">
        <v>0</v>
      </c>
      <c r="O32" s="31" t="e">
        <f t="shared" si="0"/>
        <v>#REF!</v>
      </c>
      <c r="P32" s="31">
        <v>56.570234385296502</v>
      </c>
      <c r="Q32" s="31">
        <v>355.82</v>
      </c>
      <c r="R32" s="8">
        <v>1</v>
      </c>
      <c r="S32" s="8" t="str">
        <f t="shared" si="1"/>
        <v>TUSDB2ConvencionalRuralNão se aplicaNão se aplicaNão se aplicaNão se aplica</v>
      </c>
      <c r="T32" s="8" t="e">
        <f>VLOOKUP(S32,#REF!,2,0)</f>
        <v>#REF!</v>
      </c>
    </row>
    <row r="33" spans="1:20" ht="11.25" customHeight="1" x14ac:dyDescent="0.25">
      <c r="A33" s="31">
        <v>32</v>
      </c>
      <c r="B33" s="31" t="s">
        <v>419</v>
      </c>
      <c r="C33" s="31" t="s">
        <v>41</v>
      </c>
      <c r="D33" s="31" t="s">
        <v>38</v>
      </c>
      <c r="E33" s="31" t="s">
        <v>42</v>
      </c>
      <c r="F33" s="31" t="s">
        <v>85</v>
      </c>
      <c r="G33" s="31" t="s">
        <v>25</v>
      </c>
      <c r="H33" s="31" t="s">
        <v>25</v>
      </c>
      <c r="I33" s="31" t="s">
        <v>36</v>
      </c>
      <c r="J33" s="31" t="s">
        <v>566</v>
      </c>
      <c r="K33" s="31" t="s">
        <v>565</v>
      </c>
      <c r="L33" s="31" t="s">
        <v>68</v>
      </c>
      <c r="M33" s="31">
        <v>2021</v>
      </c>
      <c r="N33" s="31">
        <v>0</v>
      </c>
      <c r="O33" s="31" t="e">
        <f t="shared" si="0"/>
        <v>#REF!</v>
      </c>
      <c r="P33" s="31">
        <v>56.570234385296502</v>
      </c>
      <c r="Q33" s="31">
        <v>87.87</v>
      </c>
      <c r="R33" s="8">
        <v>1</v>
      </c>
      <c r="S33" s="8" t="str">
        <f t="shared" si="1"/>
        <v>TUSDB2BrancaRuralCooperativa de eletrificação ruralNão se aplicaNão se aplicaPonta</v>
      </c>
      <c r="T33" s="8" t="e">
        <f>VLOOKUP(S33,#REF!,2,0)</f>
        <v>#REF!</v>
      </c>
    </row>
    <row r="34" spans="1:20" ht="11.25" customHeight="1" x14ac:dyDescent="0.25">
      <c r="A34" s="31">
        <v>33</v>
      </c>
      <c r="B34" s="31" t="s">
        <v>419</v>
      </c>
      <c r="C34" s="31" t="s">
        <v>41</v>
      </c>
      <c r="D34" s="31" t="s">
        <v>38</v>
      </c>
      <c r="E34" s="31" t="s">
        <v>42</v>
      </c>
      <c r="F34" s="31" t="s">
        <v>85</v>
      </c>
      <c r="G34" s="31" t="s">
        <v>25</v>
      </c>
      <c r="H34" s="31" t="s">
        <v>25</v>
      </c>
      <c r="I34" s="31" t="s">
        <v>39</v>
      </c>
      <c r="J34" s="31" t="s">
        <v>566</v>
      </c>
      <c r="K34" s="31" t="s">
        <v>565</v>
      </c>
      <c r="L34" s="31" t="s">
        <v>68</v>
      </c>
      <c r="M34" s="31">
        <v>2021</v>
      </c>
      <c r="N34" s="31">
        <v>0</v>
      </c>
      <c r="O34" s="31" t="e">
        <f t="shared" si="0"/>
        <v>#REF!</v>
      </c>
      <c r="P34" s="31">
        <v>56.570234385296502</v>
      </c>
      <c r="Q34" s="31">
        <v>87.87</v>
      </c>
      <c r="R34" s="8">
        <v>1</v>
      </c>
      <c r="S34" s="8" t="str">
        <f t="shared" si="1"/>
        <v>TUSDB2BrancaRuralCooperativa de eletrificação ruralNão se aplicaNão se aplicaIntermediário</v>
      </c>
      <c r="T34" s="8" t="e">
        <f>VLOOKUP(S34,#REF!,2,0)</f>
        <v>#REF!</v>
      </c>
    </row>
    <row r="35" spans="1:20" ht="11.25" customHeight="1" x14ac:dyDescent="0.25">
      <c r="A35" s="31">
        <v>34</v>
      </c>
      <c r="B35" s="31" t="s">
        <v>419</v>
      </c>
      <c r="C35" s="31" t="s">
        <v>41</v>
      </c>
      <c r="D35" s="31" t="s">
        <v>38</v>
      </c>
      <c r="E35" s="31" t="s">
        <v>42</v>
      </c>
      <c r="F35" s="31" t="s">
        <v>85</v>
      </c>
      <c r="G35" s="31" t="s">
        <v>25</v>
      </c>
      <c r="H35" s="31" t="s">
        <v>25</v>
      </c>
      <c r="I35" s="31" t="s">
        <v>37</v>
      </c>
      <c r="J35" s="31" t="s">
        <v>566</v>
      </c>
      <c r="K35" s="31" t="s">
        <v>565</v>
      </c>
      <c r="L35" s="31" t="s">
        <v>68</v>
      </c>
      <c r="M35" s="31">
        <v>2021</v>
      </c>
      <c r="N35" s="31">
        <v>0</v>
      </c>
      <c r="O35" s="31" t="e">
        <f t="shared" si="0"/>
        <v>#REF!</v>
      </c>
      <c r="P35" s="31">
        <v>56.570234385296502</v>
      </c>
      <c r="Q35" s="31">
        <v>87.87</v>
      </c>
      <c r="R35" s="8">
        <v>1</v>
      </c>
      <c r="S35" s="8" t="str">
        <f t="shared" si="1"/>
        <v>TUSDB2BrancaRuralCooperativa de eletrificação ruralNão se aplicaNão se aplicaFora ponta</v>
      </c>
      <c r="T35" s="8" t="e">
        <f>VLOOKUP(S35,#REF!,2,0)</f>
        <v>#REF!</v>
      </c>
    </row>
    <row r="36" spans="1:20" ht="11.25" customHeight="1" x14ac:dyDescent="0.25">
      <c r="A36" s="31">
        <v>35</v>
      </c>
      <c r="B36" s="31" t="s">
        <v>419</v>
      </c>
      <c r="C36" s="31" t="s">
        <v>41</v>
      </c>
      <c r="D36" s="31" t="s">
        <v>23</v>
      </c>
      <c r="E36" s="31" t="s">
        <v>42</v>
      </c>
      <c r="F36" s="31" t="s">
        <v>85</v>
      </c>
      <c r="G36" s="31" t="s">
        <v>25</v>
      </c>
      <c r="H36" s="31" t="s">
        <v>25</v>
      </c>
      <c r="I36" s="31" t="s">
        <v>25</v>
      </c>
      <c r="J36" s="31" t="s">
        <v>566</v>
      </c>
      <c r="K36" s="31" t="s">
        <v>565</v>
      </c>
      <c r="L36" s="31" t="s">
        <v>68</v>
      </c>
      <c r="M36" s="31">
        <v>2021</v>
      </c>
      <c r="N36" s="31">
        <v>0</v>
      </c>
      <c r="O36" s="31" t="e">
        <f t="shared" si="0"/>
        <v>#REF!</v>
      </c>
      <c r="P36" s="31">
        <v>56.570234385296502</v>
      </c>
      <c r="Q36" s="31">
        <v>355.82</v>
      </c>
      <c r="R36" s="8">
        <v>1</v>
      </c>
      <c r="S36" s="8" t="str">
        <f t="shared" si="1"/>
        <v>TUSDB2ConvencionalRuralCooperativa de eletrificação ruralNão se aplicaNão se aplicaNão se aplica</v>
      </c>
      <c r="T36" s="8" t="e">
        <f>VLOOKUP(S36,#REF!,2,0)</f>
        <v>#REF!</v>
      </c>
    </row>
    <row r="37" spans="1:20" ht="11.25" customHeight="1" x14ac:dyDescent="0.25">
      <c r="A37" s="31">
        <v>36</v>
      </c>
      <c r="B37" s="31" t="s">
        <v>419</v>
      </c>
      <c r="C37" s="31" t="s">
        <v>41</v>
      </c>
      <c r="D37" s="31" t="s">
        <v>38</v>
      </c>
      <c r="E37" s="31" t="s">
        <v>42</v>
      </c>
      <c r="F37" s="31" t="s">
        <v>86</v>
      </c>
      <c r="G37" s="31" t="s">
        <v>25</v>
      </c>
      <c r="H37" s="31" t="s">
        <v>25</v>
      </c>
      <c r="I37" s="31" t="s">
        <v>36</v>
      </c>
      <c r="J37" s="31" t="s">
        <v>566</v>
      </c>
      <c r="K37" s="31" t="s">
        <v>565</v>
      </c>
      <c r="L37" s="31" t="s">
        <v>68</v>
      </c>
      <c r="M37" s="31">
        <v>2021</v>
      </c>
      <c r="N37" s="31">
        <v>0</v>
      </c>
      <c r="O37" s="31" t="e">
        <f t="shared" si="0"/>
        <v>#REF!</v>
      </c>
      <c r="P37" s="31">
        <v>53.998860095055697</v>
      </c>
      <c r="Q37" s="31">
        <v>83.87</v>
      </c>
      <c r="R37" s="8">
        <v>1</v>
      </c>
      <c r="S37" s="8" t="str">
        <f t="shared" si="1"/>
        <v>TUSDB2BrancaRuralServiço público de irrigação ruralNão se aplicaNão se aplicaPonta</v>
      </c>
      <c r="T37" s="8" t="e">
        <f>VLOOKUP(S37,#REF!,2,0)</f>
        <v>#REF!</v>
      </c>
    </row>
    <row r="38" spans="1:20" ht="11.25" customHeight="1" x14ac:dyDescent="0.25">
      <c r="A38" s="31">
        <v>37</v>
      </c>
      <c r="B38" s="31" t="s">
        <v>419</v>
      </c>
      <c r="C38" s="31" t="s">
        <v>41</v>
      </c>
      <c r="D38" s="31" t="s">
        <v>38</v>
      </c>
      <c r="E38" s="31" t="s">
        <v>42</v>
      </c>
      <c r="F38" s="31" t="s">
        <v>86</v>
      </c>
      <c r="G38" s="31" t="s">
        <v>25</v>
      </c>
      <c r="H38" s="31" t="s">
        <v>25</v>
      </c>
      <c r="I38" s="31" t="s">
        <v>39</v>
      </c>
      <c r="J38" s="31" t="s">
        <v>566</v>
      </c>
      <c r="K38" s="31" t="s">
        <v>565</v>
      </c>
      <c r="L38" s="31" t="s">
        <v>68</v>
      </c>
      <c r="M38" s="31">
        <v>2021</v>
      </c>
      <c r="N38" s="31">
        <v>0</v>
      </c>
      <c r="O38" s="31" t="e">
        <f t="shared" si="0"/>
        <v>#REF!</v>
      </c>
      <c r="P38" s="31">
        <v>53.998860095055697</v>
      </c>
      <c r="Q38" s="31">
        <v>83.87</v>
      </c>
      <c r="R38" s="8">
        <v>1</v>
      </c>
      <c r="S38" s="8" t="str">
        <f t="shared" si="1"/>
        <v>TUSDB2BrancaRuralServiço público de irrigação ruralNão se aplicaNão se aplicaIntermediário</v>
      </c>
      <c r="T38" s="8" t="e">
        <f>VLOOKUP(S38,#REF!,2,0)</f>
        <v>#REF!</v>
      </c>
    </row>
    <row r="39" spans="1:20" ht="11.25" customHeight="1" x14ac:dyDescent="0.25">
      <c r="A39" s="31">
        <v>38</v>
      </c>
      <c r="B39" s="31" t="s">
        <v>419</v>
      </c>
      <c r="C39" s="31" t="s">
        <v>41</v>
      </c>
      <c r="D39" s="31" t="s">
        <v>38</v>
      </c>
      <c r="E39" s="31" t="s">
        <v>42</v>
      </c>
      <c r="F39" s="31" t="s">
        <v>86</v>
      </c>
      <c r="G39" s="31" t="s">
        <v>25</v>
      </c>
      <c r="H39" s="31" t="s">
        <v>25</v>
      </c>
      <c r="I39" s="31" t="s">
        <v>37</v>
      </c>
      <c r="J39" s="31" t="s">
        <v>566</v>
      </c>
      <c r="K39" s="31" t="s">
        <v>565</v>
      </c>
      <c r="L39" s="31" t="s">
        <v>68</v>
      </c>
      <c r="M39" s="31">
        <v>2021</v>
      </c>
      <c r="N39" s="31">
        <v>0</v>
      </c>
      <c r="O39" s="31" t="e">
        <f t="shared" si="0"/>
        <v>#REF!</v>
      </c>
      <c r="P39" s="31">
        <v>53.998860095055697</v>
      </c>
      <c r="Q39" s="31">
        <v>83.87</v>
      </c>
      <c r="R39" s="8">
        <v>1</v>
      </c>
      <c r="S39" s="8" t="str">
        <f t="shared" si="1"/>
        <v>TUSDB2BrancaRuralServiço público de irrigação ruralNão se aplicaNão se aplicaFora ponta</v>
      </c>
      <c r="T39" s="8" t="e">
        <f>VLOOKUP(S39,#REF!,2,0)</f>
        <v>#REF!</v>
      </c>
    </row>
    <row r="40" spans="1:20" ht="11.25" customHeight="1" x14ac:dyDescent="0.25">
      <c r="A40" s="31">
        <v>39</v>
      </c>
      <c r="B40" s="31" t="s">
        <v>419</v>
      </c>
      <c r="C40" s="31" t="s">
        <v>41</v>
      </c>
      <c r="D40" s="31" t="s">
        <v>23</v>
      </c>
      <c r="E40" s="31" t="s">
        <v>42</v>
      </c>
      <c r="F40" s="31" t="s">
        <v>86</v>
      </c>
      <c r="G40" s="31" t="s">
        <v>25</v>
      </c>
      <c r="H40" s="31" t="s">
        <v>25</v>
      </c>
      <c r="I40" s="31" t="s">
        <v>25</v>
      </c>
      <c r="J40" s="31" t="s">
        <v>566</v>
      </c>
      <c r="K40" s="31" t="s">
        <v>565</v>
      </c>
      <c r="L40" s="31" t="s">
        <v>68</v>
      </c>
      <c r="M40" s="31">
        <v>2021</v>
      </c>
      <c r="N40" s="31">
        <v>0</v>
      </c>
      <c r="O40" s="31" t="e">
        <f t="shared" si="0"/>
        <v>#REF!</v>
      </c>
      <c r="P40" s="31">
        <v>53.998860095055697</v>
      </c>
      <c r="Q40" s="31">
        <v>339.65</v>
      </c>
      <c r="R40" s="8">
        <v>1</v>
      </c>
      <c r="S40" s="8" t="str">
        <f t="shared" si="1"/>
        <v>TUSDB2ConvencionalRuralServiço público de irrigação ruralNão se aplicaNão se aplicaNão se aplica</v>
      </c>
      <c r="T40" s="8" t="e">
        <f>VLOOKUP(S40,#REF!,2,0)</f>
        <v>#REF!</v>
      </c>
    </row>
    <row r="41" spans="1:20" ht="11.25" customHeight="1" x14ac:dyDescent="0.25">
      <c r="A41" s="31">
        <v>40</v>
      </c>
      <c r="B41" s="31" t="s">
        <v>419</v>
      </c>
      <c r="C41" s="31" t="s">
        <v>41</v>
      </c>
      <c r="D41" s="31" t="s">
        <v>84</v>
      </c>
      <c r="E41" s="31" t="s">
        <v>42</v>
      </c>
      <c r="F41" s="31" t="s">
        <v>25</v>
      </c>
      <c r="G41" s="31" t="s">
        <v>25</v>
      </c>
      <c r="H41" s="31" t="s">
        <v>25</v>
      </c>
      <c r="I41" s="31" t="s">
        <v>25</v>
      </c>
      <c r="J41" s="31" t="s">
        <v>566</v>
      </c>
      <c r="K41" s="31" t="s">
        <v>565</v>
      </c>
      <c r="L41" s="31" t="s">
        <v>68</v>
      </c>
      <c r="M41" s="31">
        <v>2021</v>
      </c>
      <c r="N41" s="31">
        <v>0</v>
      </c>
      <c r="O41" s="31" t="e">
        <f t="shared" si="0"/>
        <v>#REF!</v>
      </c>
      <c r="P41" s="31">
        <v>56.570234385296502</v>
      </c>
      <c r="Q41" s="31">
        <v>355.82</v>
      </c>
      <c r="R41" s="8">
        <v>1</v>
      </c>
      <c r="S41" s="8" t="str">
        <f t="shared" si="1"/>
        <v>TUSDB2Convencional pré-pagamentoRuralNão se aplicaNão se aplicaNão se aplicaNão se aplica</v>
      </c>
      <c r="T41" s="8" t="e">
        <f>VLOOKUP(S41,#REF!,2,0)</f>
        <v>#REF!</v>
      </c>
    </row>
    <row r="42" spans="1:20" ht="11.25" customHeight="1" x14ac:dyDescent="0.25">
      <c r="A42" s="31">
        <v>41</v>
      </c>
      <c r="B42" s="31" t="s">
        <v>419</v>
      </c>
      <c r="C42" s="31" t="s">
        <v>41</v>
      </c>
      <c r="D42" s="31" t="s">
        <v>84</v>
      </c>
      <c r="E42" s="31" t="s">
        <v>42</v>
      </c>
      <c r="F42" s="31" t="s">
        <v>85</v>
      </c>
      <c r="G42" s="31" t="s">
        <v>25</v>
      </c>
      <c r="H42" s="31" t="s">
        <v>25</v>
      </c>
      <c r="I42" s="31" t="s">
        <v>25</v>
      </c>
      <c r="J42" s="31" t="s">
        <v>566</v>
      </c>
      <c r="K42" s="31" t="s">
        <v>565</v>
      </c>
      <c r="L42" s="31" t="s">
        <v>68</v>
      </c>
      <c r="M42" s="31">
        <v>2021</v>
      </c>
      <c r="N42" s="31">
        <v>0</v>
      </c>
      <c r="O42" s="31" t="e">
        <f t="shared" si="0"/>
        <v>#REF!</v>
      </c>
      <c r="P42" s="31">
        <v>56.570234385296502</v>
      </c>
      <c r="Q42" s="31">
        <v>355.82</v>
      </c>
      <c r="R42" s="8">
        <v>1</v>
      </c>
      <c r="S42" s="8" t="str">
        <f t="shared" si="1"/>
        <v>TUSDB2Convencional pré-pagamentoRuralCooperativa de eletrificação ruralNão se aplicaNão se aplicaNão se aplica</v>
      </c>
      <c r="T42" s="8" t="e">
        <f>VLOOKUP(S42,#REF!,2,0)</f>
        <v>#REF!</v>
      </c>
    </row>
    <row r="43" spans="1:20" ht="11.25" customHeight="1" x14ac:dyDescent="0.25">
      <c r="A43" s="31">
        <v>42</v>
      </c>
      <c r="B43" s="31" t="s">
        <v>419</v>
      </c>
      <c r="C43" s="31" t="s">
        <v>41</v>
      </c>
      <c r="D43" s="31" t="s">
        <v>84</v>
      </c>
      <c r="E43" s="31" t="s">
        <v>42</v>
      </c>
      <c r="F43" s="31" t="s">
        <v>86</v>
      </c>
      <c r="G43" s="31" t="s">
        <v>25</v>
      </c>
      <c r="H43" s="31" t="s">
        <v>25</v>
      </c>
      <c r="I43" s="31" t="s">
        <v>25</v>
      </c>
      <c r="J43" s="31" t="s">
        <v>566</v>
      </c>
      <c r="K43" s="31" t="s">
        <v>565</v>
      </c>
      <c r="L43" s="31" t="s">
        <v>68</v>
      </c>
      <c r="M43" s="31">
        <v>2021</v>
      </c>
      <c r="N43" s="31">
        <v>0</v>
      </c>
      <c r="O43" s="31" t="e">
        <f t="shared" si="0"/>
        <v>#REF!</v>
      </c>
      <c r="P43" s="31">
        <v>53.998860095055697</v>
      </c>
      <c r="Q43" s="31">
        <v>339.65</v>
      </c>
      <c r="R43" s="8">
        <v>1</v>
      </c>
      <c r="S43" s="8" t="str">
        <f t="shared" si="1"/>
        <v>TUSDB2Convencional pré-pagamentoRuralServiço público de irrigação ruralNão se aplicaNão se aplicaNão se aplica</v>
      </c>
      <c r="T43" s="8" t="e">
        <f>VLOOKUP(S43,#REF!,2,0)</f>
        <v>#REF!</v>
      </c>
    </row>
    <row r="44" spans="1:20" ht="11.25" customHeight="1" x14ac:dyDescent="0.25">
      <c r="A44" s="31">
        <v>43</v>
      </c>
      <c r="B44" s="31" t="s">
        <v>419</v>
      </c>
      <c r="C44" s="31" t="s">
        <v>32</v>
      </c>
      <c r="D44" s="31" t="s">
        <v>38</v>
      </c>
      <c r="E44" s="31" t="s">
        <v>25</v>
      </c>
      <c r="F44" s="31" t="s">
        <v>25</v>
      </c>
      <c r="G44" s="31" t="s">
        <v>25</v>
      </c>
      <c r="H44" s="31" t="s">
        <v>25</v>
      </c>
      <c r="I44" s="31" t="s">
        <v>36</v>
      </c>
      <c r="J44" s="31" t="s">
        <v>566</v>
      </c>
      <c r="K44" s="31" t="s">
        <v>565</v>
      </c>
      <c r="L44" s="31" t="s">
        <v>68</v>
      </c>
      <c r="M44" s="31">
        <v>2021</v>
      </c>
      <c r="N44" s="31">
        <v>0</v>
      </c>
      <c r="O44" s="31" t="e">
        <f t="shared" si="0"/>
        <v>#REF!</v>
      </c>
      <c r="P44" s="31">
        <v>64.284357256018694</v>
      </c>
      <c r="Q44" s="31">
        <v>1226.48</v>
      </c>
      <c r="R44" s="8">
        <v>1</v>
      </c>
      <c r="S44" s="8" t="str">
        <f t="shared" si="1"/>
        <v>TUSDB3BrancaNão se aplicaNão se aplicaNão se aplicaNão se aplicaPonta</v>
      </c>
      <c r="T44" s="8" t="e">
        <f>VLOOKUP(S44,#REF!,2,0)</f>
        <v>#REF!</v>
      </c>
    </row>
    <row r="45" spans="1:20" ht="11.25" customHeight="1" x14ac:dyDescent="0.25">
      <c r="A45" s="31">
        <v>44</v>
      </c>
      <c r="B45" s="31" t="s">
        <v>419</v>
      </c>
      <c r="C45" s="31" t="s">
        <v>32</v>
      </c>
      <c r="D45" s="31" t="s">
        <v>38</v>
      </c>
      <c r="E45" s="31" t="s">
        <v>25</v>
      </c>
      <c r="F45" s="31" t="s">
        <v>25</v>
      </c>
      <c r="G45" s="31" t="s">
        <v>25</v>
      </c>
      <c r="H45" s="31" t="s">
        <v>25</v>
      </c>
      <c r="I45" s="31" t="s">
        <v>39</v>
      </c>
      <c r="J45" s="31" t="s">
        <v>566</v>
      </c>
      <c r="K45" s="31" t="s">
        <v>565</v>
      </c>
      <c r="L45" s="31" t="s">
        <v>68</v>
      </c>
      <c r="M45" s="31">
        <v>2021</v>
      </c>
      <c r="N45" s="31">
        <v>0</v>
      </c>
      <c r="O45" s="31" t="e">
        <f t="shared" si="0"/>
        <v>#REF!</v>
      </c>
      <c r="P45" s="31">
        <v>64.284357256018694</v>
      </c>
      <c r="Q45" s="31">
        <v>775.82</v>
      </c>
      <c r="R45" s="8">
        <v>1</v>
      </c>
      <c r="S45" s="8" t="str">
        <f t="shared" si="1"/>
        <v>TUSDB3BrancaNão se aplicaNão se aplicaNão se aplicaNão se aplicaIntermediário</v>
      </c>
      <c r="T45" s="8" t="e">
        <f>VLOOKUP(S45,#REF!,2,0)</f>
        <v>#REF!</v>
      </c>
    </row>
    <row r="46" spans="1:20" ht="11.25" customHeight="1" x14ac:dyDescent="0.25">
      <c r="A46" s="31">
        <v>45</v>
      </c>
      <c r="B46" s="31" t="s">
        <v>419</v>
      </c>
      <c r="C46" s="31" t="s">
        <v>32</v>
      </c>
      <c r="D46" s="31" t="s">
        <v>38</v>
      </c>
      <c r="E46" s="31" t="s">
        <v>25</v>
      </c>
      <c r="F46" s="31" t="s">
        <v>25</v>
      </c>
      <c r="G46" s="31" t="s">
        <v>25</v>
      </c>
      <c r="H46" s="31" t="s">
        <v>25</v>
      </c>
      <c r="I46" s="31" t="s">
        <v>37</v>
      </c>
      <c r="J46" s="31" t="s">
        <v>566</v>
      </c>
      <c r="K46" s="31" t="s">
        <v>565</v>
      </c>
      <c r="L46" s="31" t="s">
        <v>68</v>
      </c>
      <c r="M46" s="31">
        <v>2021</v>
      </c>
      <c r="N46" s="31">
        <v>0</v>
      </c>
      <c r="O46" s="31" t="e">
        <f t="shared" si="0"/>
        <v>#REF!</v>
      </c>
      <c r="P46" s="31">
        <v>64.284357256018694</v>
      </c>
      <c r="Q46" s="31">
        <v>325.17</v>
      </c>
      <c r="R46" s="8">
        <v>1</v>
      </c>
      <c r="S46" s="8" t="str">
        <f t="shared" si="1"/>
        <v>TUSDB3BrancaNão se aplicaNão se aplicaNão se aplicaNão se aplicaFora ponta</v>
      </c>
      <c r="T46" s="8" t="e">
        <f>VLOOKUP(S46,#REF!,2,0)</f>
        <v>#REF!</v>
      </c>
    </row>
    <row r="47" spans="1:20" ht="11.25" customHeight="1" x14ac:dyDescent="0.25">
      <c r="A47" s="31">
        <v>46</v>
      </c>
      <c r="B47" s="31" t="s">
        <v>419</v>
      </c>
      <c r="C47" s="31" t="s">
        <v>32</v>
      </c>
      <c r="D47" s="31" t="s">
        <v>23</v>
      </c>
      <c r="E47" s="31" t="s">
        <v>25</v>
      </c>
      <c r="F47" s="31" t="s">
        <v>25</v>
      </c>
      <c r="G47" s="31" t="s">
        <v>25</v>
      </c>
      <c r="H47" s="31" t="s">
        <v>25</v>
      </c>
      <c r="I47" s="31" t="s">
        <v>25</v>
      </c>
      <c r="J47" s="31" t="s">
        <v>566</v>
      </c>
      <c r="K47" s="31" t="s">
        <v>565</v>
      </c>
      <c r="L47" s="31" t="s">
        <v>68</v>
      </c>
      <c r="M47" s="31">
        <v>2021</v>
      </c>
      <c r="N47" s="31">
        <v>0</v>
      </c>
      <c r="O47" s="31" t="e">
        <f t="shared" si="0"/>
        <v>#REF!</v>
      </c>
      <c r="P47" s="31">
        <v>64.284357256018694</v>
      </c>
      <c r="Q47" s="31">
        <v>404.34</v>
      </c>
      <c r="R47" s="8">
        <v>1</v>
      </c>
      <c r="S47" s="8" t="str">
        <f t="shared" si="1"/>
        <v>TUSDB3ConvencionalNão se aplicaNão se aplicaNão se aplicaNão se aplicaNão se aplica</v>
      </c>
      <c r="T47" s="8" t="e">
        <f>VLOOKUP(S47,#REF!,2,0)</f>
        <v>#REF!</v>
      </c>
    </row>
    <row r="48" spans="1:20" ht="11.25" customHeight="1" x14ac:dyDescent="0.25">
      <c r="A48" s="31">
        <v>47</v>
      </c>
      <c r="B48" s="31" t="s">
        <v>419</v>
      </c>
      <c r="C48" s="31" t="s">
        <v>32</v>
      </c>
      <c r="D48" s="31" t="s">
        <v>84</v>
      </c>
      <c r="E48" s="31" t="s">
        <v>25</v>
      </c>
      <c r="F48" s="31" t="s">
        <v>25</v>
      </c>
      <c r="G48" s="31" t="s">
        <v>25</v>
      </c>
      <c r="H48" s="31" t="s">
        <v>25</v>
      </c>
      <c r="I48" s="31" t="s">
        <v>25</v>
      </c>
      <c r="J48" s="31" t="s">
        <v>566</v>
      </c>
      <c r="K48" s="31" t="s">
        <v>565</v>
      </c>
      <c r="L48" s="31" t="s">
        <v>68</v>
      </c>
      <c r="M48" s="31">
        <v>2021</v>
      </c>
      <c r="N48" s="31">
        <v>0</v>
      </c>
      <c r="O48" s="31" t="e">
        <f t="shared" si="0"/>
        <v>#REF!</v>
      </c>
      <c r="P48" s="31">
        <v>64.284357256018694</v>
      </c>
      <c r="Q48" s="31">
        <v>404.34</v>
      </c>
      <c r="R48" s="8">
        <v>1</v>
      </c>
      <c r="S48" s="8" t="str">
        <f t="shared" si="1"/>
        <v>TUSDB3Convencional pré-pagamentoNão se aplicaNão se aplicaNão se aplicaNão se aplicaNão se aplica</v>
      </c>
      <c r="T48" s="8" t="e">
        <f>VLOOKUP(S48,#REF!,2,0)</f>
        <v>#REF!</v>
      </c>
    </row>
    <row r="49" spans="1:20" ht="11.25" customHeight="1" x14ac:dyDescent="0.25">
      <c r="A49" s="31">
        <v>48</v>
      </c>
      <c r="B49" s="31" t="s">
        <v>419</v>
      </c>
      <c r="C49" s="31" t="s">
        <v>44</v>
      </c>
      <c r="D49" s="31" t="s">
        <v>23</v>
      </c>
      <c r="E49" s="31" t="s">
        <v>45</v>
      </c>
      <c r="F49" s="31" t="s">
        <v>46</v>
      </c>
      <c r="G49" s="31" t="s">
        <v>25</v>
      </c>
      <c r="H49" s="31" t="s">
        <v>25</v>
      </c>
      <c r="I49" s="31" t="s">
        <v>25</v>
      </c>
      <c r="J49" s="31" t="s">
        <v>566</v>
      </c>
      <c r="K49" s="31" t="s">
        <v>565</v>
      </c>
      <c r="L49" s="31" t="s">
        <v>68</v>
      </c>
      <c r="M49" s="31">
        <v>2021</v>
      </c>
      <c r="N49" s="31">
        <v>0</v>
      </c>
      <c r="O49" s="31" t="e">
        <f t="shared" si="0"/>
        <v>#REF!</v>
      </c>
      <c r="P49" s="31">
        <v>35.356396490810297</v>
      </c>
      <c r="Q49" s="31">
        <v>222.39</v>
      </c>
      <c r="R49" s="8">
        <v>1</v>
      </c>
      <c r="S49" s="8" t="str">
        <f t="shared" si="1"/>
        <v>TUSDB4ConvencionalIluminação públicaIluminação pública – B4aNão se aplicaNão se aplicaNão se aplica</v>
      </c>
      <c r="T49" s="8" t="e">
        <f>VLOOKUP(S49,#REF!,2,0)</f>
        <v>#REF!</v>
      </c>
    </row>
    <row r="50" spans="1:20" ht="11.25" customHeight="1" x14ac:dyDescent="0.25">
      <c r="A50" s="31">
        <v>49</v>
      </c>
      <c r="B50" s="31" t="s">
        <v>419</v>
      </c>
      <c r="C50" s="31" t="s">
        <v>44</v>
      </c>
      <c r="D50" s="31" t="s">
        <v>23</v>
      </c>
      <c r="E50" s="31" t="s">
        <v>45</v>
      </c>
      <c r="F50" s="31" t="s">
        <v>87</v>
      </c>
      <c r="G50" s="31" t="s">
        <v>25</v>
      </c>
      <c r="H50" s="31" t="s">
        <v>25</v>
      </c>
      <c r="I50" s="31" t="s">
        <v>25</v>
      </c>
      <c r="J50" s="31" t="s">
        <v>566</v>
      </c>
      <c r="K50" s="31" t="s">
        <v>565</v>
      </c>
      <c r="L50" s="31" t="s">
        <v>68</v>
      </c>
      <c r="M50" s="31">
        <v>2021</v>
      </c>
      <c r="N50" s="31">
        <v>0</v>
      </c>
      <c r="O50" s="31" t="e">
        <f t="shared" si="0"/>
        <v>#REF!</v>
      </c>
      <c r="P50" s="31">
        <v>38.570614353611198</v>
      </c>
      <c r="Q50" s="31">
        <v>242.61</v>
      </c>
      <c r="R50" s="8">
        <v>1</v>
      </c>
      <c r="S50" s="8" t="str">
        <f t="shared" si="1"/>
        <v>TUSDB4ConvencionalIluminação públicaIluminação pública – B4bNão se aplicaNão se aplicaNão se aplica</v>
      </c>
      <c r="T50" s="8" t="e">
        <f>VLOOKUP(S50,#REF!,2,0)</f>
        <v>#REF!</v>
      </c>
    </row>
    <row r="51" spans="1:20" ht="11.25" customHeight="1" x14ac:dyDescent="0.25">
      <c r="A51" s="31">
        <v>50</v>
      </c>
      <c r="B51" s="31" t="s">
        <v>447</v>
      </c>
      <c r="C51" s="31" t="s">
        <v>34</v>
      </c>
      <c r="D51" s="31" t="s">
        <v>67</v>
      </c>
      <c r="E51" s="31" t="s">
        <v>25</v>
      </c>
      <c r="F51" s="31" t="s">
        <v>25</v>
      </c>
      <c r="G51" s="31" t="s">
        <v>25</v>
      </c>
      <c r="H51" s="31" t="s">
        <v>25</v>
      </c>
      <c r="I51" s="31" t="s">
        <v>36</v>
      </c>
      <c r="J51" s="31" t="s">
        <v>566</v>
      </c>
      <c r="K51" s="31" t="s">
        <v>565</v>
      </c>
      <c r="L51" s="31" t="s">
        <v>68</v>
      </c>
      <c r="M51" s="31">
        <v>2021</v>
      </c>
      <c r="N51" s="31">
        <v>0</v>
      </c>
      <c r="O51" s="31">
        <f t="shared" si="0"/>
        <v>518.44000000000005</v>
      </c>
      <c r="P51" s="31"/>
      <c r="Q51" s="31">
        <v>518.44000000000005</v>
      </c>
      <c r="R51" s="8">
        <v>0</v>
      </c>
      <c r="S51" s="8" t="str">
        <f t="shared" si="1"/>
        <v>TEA4Energia horáriaNão se aplicaNão se aplicaNão se aplicaNão se aplicaPonta</v>
      </c>
      <c r="T51" s="8" t="e">
        <f>VLOOKUP(S51,#REF!,2,0)</f>
        <v>#REF!</v>
      </c>
    </row>
    <row r="52" spans="1:20" ht="11.25" customHeight="1" x14ac:dyDescent="0.25">
      <c r="A52" s="31">
        <v>51</v>
      </c>
      <c r="B52" s="31" t="s">
        <v>447</v>
      </c>
      <c r="C52" s="31" t="s">
        <v>34</v>
      </c>
      <c r="D52" s="31" t="s">
        <v>67</v>
      </c>
      <c r="E52" s="31" t="s">
        <v>25</v>
      </c>
      <c r="F52" s="31" t="s">
        <v>25</v>
      </c>
      <c r="G52" s="31" t="s">
        <v>25</v>
      </c>
      <c r="H52" s="31" t="s">
        <v>25</v>
      </c>
      <c r="I52" s="31" t="s">
        <v>37</v>
      </c>
      <c r="J52" s="31" t="s">
        <v>566</v>
      </c>
      <c r="K52" s="31" t="s">
        <v>565</v>
      </c>
      <c r="L52" s="31" t="s">
        <v>68</v>
      </c>
      <c r="M52" s="31">
        <v>2021</v>
      </c>
      <c r="N52" s="31">
        <v>0</v>
      </c>
      <c r="O52" s="31">
        <f t="shared" si="0"/>
        <v>302.62</v>
      </c>
      <c r="P52" s="31"/>
      <c r="Q52" s="31">
        <v>302.62</v>
      </c>
      <c r="R52" s="8">
        <v>0</v>
      </c>
      <c r="S52" s="8" t="str">
        <f t="shared" si="1"/>
        <v>TEA4Energia horáriaNão se aplicaNão se aplicaNão se aplicaNão se aplicaFora ponta</v>
      </c>
      <c r="T52" s="8" t="e">
        <f>VLOOKUP(S52,#REF!,2,0)</f>
        <v>#REF!</v>
      </c>
    </row>
    <row r="53" spans="1:20" ht="11.25" customHeight="1" x14ac:dyDescent="0.25">
      <c r="A53" s="31">
        <v>52</v>
      </c>
      <c r="B53" s="31" t="s">
        <v>447</v>
      </c>
      <c r="C53" s="31" t="s">
        <v>34</v>
      </c>
      <c r="D53" s="31" t="s">
        <v>71</v>
      </c>
      <c r="E53" s="31" t="s">
        <v>25</v>
      </c>
      <c r="F53" s="31" t="s">
        <v>25</v>
      </c>
      <c r="G53" s="31" t="s">
        <v>25</v>
      </c>
      <c r="H53" s="31" t="s">
        <v>25</v>
      </c>
      <c r="I53" s="31" t="s">
        <v>25</v>
      </c>
      <c r="J53" s="31" t="s">
        <v>566</v>
      </c>
      <c r="K53" s="31" t="s">
        <v>565</v>
      </c>
      <c r="L53" s="31" t="s">
        <v>68</v>
      </c>
      <c r="M53" s="31">
        <v>2021</v>
      </c>
      <c r="N53" s="31">
        <v>0</v>
      </c>
      <c r="O53" s="31">
        <f t="shared" si="0"/>
        <v>320.60000000000002</v>
      </c>
      <c r="P53" s="31"/>
      <c r="Q53" s="31">
        <v>320.60000000000002</v>
      </c>
      <c r="R53" s="8">
        <v>0</v>
      </c>
      <c r="S53" s="8" t="str">
        <f t="shared" si="1"/>
        <v>TEA4Energia convencionalNão se aplicaNão se aplicaNão se aplicaNão se aplicaNão se aplica</v>
      </c>
      <c r="T53" s="8" t="e">
        <f>VLOOKUP(S53,#REF!,2,0)</f>
        <v>#REF!</v>
      </c>
    </row>
    <row r="54" spans="1:20" ht="11.25" customHeight="1" x14ac:dyDescent="0.25">
      <c r="A54" s="31">
        <v>53</v>
      </c>
      <c r="B54" s="31" t="s">
        <v>447</v>
      </c>
      <c r="C54" s="31" t="s">
        <v>22</v>
      </c>
      <c r="D54" s="31" t="s">
        <v>67</v>
      </c>
      <c r="E54" s="31" t="s">
        <v>24</v>
      </c>
      <c r="F54" s="31" t="s">
        <v>24</v>
      </c>
      <c r="G54" s="31" t="s">
        <v>25</v>
      </c>
      <c r="H54" s="31" t="s">
        <v>25</v>
      </c>
      <c r="I54" s="31" t="s">
        <v>36</v>
      </c>
      <c r="J54" s="31" t="s">
        <v>566</v>
      </c>
      <c r="K54" s="31" t="s">
        <v>565</v>
      </c>
      <c r="L54" s="31" t="s">
        <v>68</v>
      </c>
      <c r="M54" s="31">
        <v>2021</v>
      </c>
      <c r="N54" s="31">
        <v>0</v>
      </c>
      <c r="O54" s="31" t="e">
        <f t="shared" si="0"/>
        <v>#REF!</v>
      </c>
      <c r="P54" s="31"/>
      <c r="Q54" s="31">
        <v>518.44000000000005</v>
      </c>
      <c r="R54" s="8">
        <v>1</v>
      </c>
      <c r="S54" s="8" t="str">
        <f t="shared" si="1"/>
        <v>TEB1Energia horáriaResidencialResidencialNão se aplicaNão se aplicaPonta</v>
      </c>
      <c r="T54" s="8" t="e">
        <f>VLOOKUP(S54,#REF!,2,0)</f>
        <v>#REF!</v>
      </c>
    </row>
    <row r="55" spans="1:20" ht="11.25" customHeight="1" x14ac:dyDescent="0.25">
      <c r="A55" s="31">
        <v>54</v>
      </c>
      <c r="B55" s="31" t="s">
        <v>447</v>
      </c>
      <c r="C55" s="31" t="s">
        <v>22</v>
      </c>
      <c r="D55" s="31" t="s">
        <v>67</v>
      </c>
      <c r="E55" s="31" t="s">
        <v>24</v>
      </c>
      <c r="F55" s="31" t="s">
        <v>24</v>
      </c>
      <c r="G55" s="31" t="s">
        <v>25</v>
      </c>
      <c r="H55" s="31" t="s">
        <v>25</v>
      </c>
      <c r="I55" s="31" t="s">
        <v>39</v>
      </c>
      <c r="J55" s="31" t="s">
        <v>566</v>
      </c>
      <c r="K55" s="31" t="s">
        <v>565</v>
      </c>
      <c r="L55" s="31" t="s">
        <v>68</v>
      </c>
      <c r="M55" s="31">
        <v>2021</v>
      </c>
      <c r="N55" s="31">
        <v>0</v>
      </c>
      <c r="O55" s="31" t="e">
        <f t="shared" si="0"/>
        <v>#REF!</v>
      </c>
      <c r="P55" s="31"/>
      <c r="Q55" s="31">
        <v>302.62</v>
      </c>
      <c r="R55" s="8">
        <v>1</v>
      </c>
      <c r="S55" s="8" t="str">
        <f t="shared" si="1"/>
        <v>TEB1Energia horáriaResidencialResidencialNão se aplicaNão se aplicaIntermediário</v>
      </c>
      <c r="T55" s="8" t="e">
        <f>VLOOKUP(S55,#REF!,2,0)</f>
        <v>#REF!</v>
      </c>
    </row>
    <row r="56" spans="1:20" ht="11.25" customHeight="1" x14ac:dyDescent="0.25">
      <c r="A56" s="31">
        <v>55</v>
      </c>
      <c r="B56" s="31" t="s">
        <v>447</v>
      </c>
      <c r="C56" s="31" t="s">
        <v>22</v>
      </c>
      <c r="D56" s="31" t="s">
        <v>67</v>
      </c>
      <c r="E56" s="31" t="s">
        <v>24</v>
      </c>
      <c r="F56" s="31" t="s">
        <v>24</v>
      </c>
      <c r="G56" s="31" t="s">
        <v>25</v>
      </c>
      <c r="H56" s="31" t="s">
        <v>25</v>
      </c>
      <c r="I56" s="31" t="s">
        <v>37</v>
      </c>
      <c r="J56" s="31" t="s">
        <v>566</v>
      </c>
      <c r="K56" s="31" t="s">
        <v>565</v>
      </c>
      <c r="L56" s="31" t="s">
        <v>68</v>
      </c>
      <c r="M56" s="31">
        <v>2021</v>
      </c>
      <c r="N56" s="31">
        <v>0</v>
      </c>
      <c r="O56" s="31" t="e">
        <f t="shared" si="0"/>
        <v>#REF!</v>
      </c>
      <c r="P56" s="31"/>
      <c r="Q56" s="31">
        <v>302.62</v>
      </c>
      <c r="R56" s="8">
        <v>1</v>
      </c>
      <c r="S56" s="8" t="str">
        <f t="shared" si="1"/>
        <v>TEB1Energia horáriaResidencialResidencialNão se aplicaNão se aplicaFora ponta</v>
      </c>
      <c r="T56" s="8" t="e">
        <f>VLOOKUP(S56,#REF!,2,0)</f>
        <v>#REF!</v>
      </c>
    </row>
    <row r="57" spans="1:20" ht="11.25" customHeight="1" x14ac:dyDescent="0.25">
      <c r="A57" s="31">
        <v>56</v>
      </c>
      <c r="B57" s="31" t="s">
        <v>447</v>
      </c>
      <c r="C57" s="31" t="s">
        <v>22</v>
      </c>
      <c r="D57" s="31" t="s">
        <v>71</v>
      </c>
      <c r="E57" s="31" t="s">
        <v>24</v>
      </c>
      <c r="F57" s="31" t="s">
        <v>24</v>
      </c>
      <c r="G57" s="31" t="s">
        <v>25</v>
      </c>
      <c r="H57" s="31" t="s">
        <v>25</v>
      </c>
      <c r="I57" s="31" t="s">
        <v>25</v>
      </c>
      <c r="J57" s="31" t="s">
        <v>566</v>
      </c>
      <c r="K57" s="31" t="s">
        <v>565</v>
      </c>
      <c r="L57" s="31" t="s">
        <v>68</v>
      </c>
      <c r="M57" s="31">
        <v>2021</v>
      </c>
      <c r="N57" s="31">
        <v>0</v>
      </c>
      <c r="O57" s="31" t="e">
        <f t="shared" si="0"/>
        <v>#REF!</v>
      </c>
      <c r="P57" s="31"/>
      <c r="Q57" s="31">
        <v>320.60000000000002</v>
      </c>
      <c r="R57" s="8">
        <v>1</v>
      </c>
      <c r="S57" s="8" t="str">
        <f t="shared" si="1"/>
        <v>TEB1Energia convencionalResidencialResidencialNão se aplicaNão se aplicaNão se aplica</v>
      </c>
      <c r="T57" s="8" t="e">
        <f>VLOOKUP(S57,#REF!,2,0)</f>
        <v>#REF!</v>
      </c>
    </row>
    <row r="58" spans="1:20" ht="11.25" customHeight="1" x14ac:dyDescent="0.25">
      <c r="A58" s="31">
        <v>57</v>
      </c>
      <c r="B58" s="31" t="s">
        <v>447</v>
      </c>
      <c r="C58" s="31" t="s">
        <v>22</v>
      </c>
      <c r="D58" s="31" t="s">
        <v>71</v>
      </c>
      <c r="E58" s="31" t="s">
        <v>24</v>
      </c>
      <c r="F58" s="31" t="s">
        <v>28</v>
      </c>
      <c r="G58" s="31" t="s">
        <v>25</v>
      </c>
      <c r="H58" s="31" t="s">
        <v>25</v>
      </c>
      <c r="I58" s="31" t="s">
        <v>25</v>
      </c>
      <c r="J58" s="31" t="s">
        <v>566</v>
      </c>
      <c r="K58" s="31" t="s">
        <v>565</v>
      </c>
      <c r="L58" s="31" t="s">
        <v>68</v>
      </c>
      <c r="M58" s="31">
        <v>2021</v>
      </c>
      <c r="N58" s="31">
        <v>0</v>
      </c>
      <c r="O58" s="31" t="e">
        <f t="shared" si="0"/>
        <v>#REF!</v>
      </c>
      <c r="P58" s="31"/>
      <c r="Q58" s="31">
        <v>112.21</v>
      </c>
      <c r="R58" s="8">
        <v>1</v>
      </c>
      <c r="S58" s="8" t="str">
        <f t="shared" si="1"/>
        <v>TEB1Energia convencionalResidencialResidencial baixa renda – faixa 01Não se aplicaNão se aplicaNão se aplica</v>
      </c>
      <c r="T58" s="8" t="e">
        <f>VLOOKUP(S58,#REF!,2,0)</f>
        <v>#REF!</v>
      </c>
    </row>
    <row r="59" spans="1:20" ht="11.25" customHeight="1" x14ac:dyDescent="0.25">
      <c r="A59" s="31">
        <v>58</v>
      </c>
      <c r="B59" s="31" t="s">
        <v>447</v>
      </c>
      <c r="C59" s="31" t="s">
        <v>22</v>
      </c>
      <c r="D59" s="31" t="s">
        <v>71</v>
      </c>
      <c r="E59" s="31" t="s">
        <v>24</v>
      </c>
      <c r="F59" s="31" t="s">
        <v>29</v>
      </c>
      <c r="G59" s="31" t="s">
        <v>25</v>
      </c>
      <c r="H59" s="31" t="s">
        <v>25</v>
      </c>
      <c r="I59" s="31" t="s">
        <v>25</v>
      </c>
      <c r="J59" s="31" t="s">
        <v>566</v>
      </c>
      <c r="K59" s="31" t="s">
        <v>565</v>
      </c>
      <c r="L59" s="31" t="s">
        <v>68</v>
      </c>
      <c r="M59" s="31">
        <v>2021</v>
      </c>
      <c r="N59" s="31">
        <v>0</v>
      </c>
      <c r="O59" s="31" t="e">
        <f t="shared" si="0"/>
        <v>#REF!</v>
      </c>
      <c r="P59" s="31"/>
      <c r="Q59" s="31">
        <v>192.36</v>
      </c>
      <c r="R59" s="8">
        <v>1</v>
      </c>
      <c r="S59" s="8" t="str">
        <f t="shared" si="1"/>
        <v>TEB1Energia convencionalResidencialResidencial baixa renda – faixa 02Não se aplicaNão se aplicaNão se aplica</v>
      </c>
      <c r="T59" s="8" t="e">
        <f>VLOOKUP(S59,#REF!,2,0)</f>
        <v>#REF!</v>
      </c>
    </row>
    <row r="60" spans="1:20" ht="11.25" customHeight="1" x14ac:dyDescent="0.25">
      <c r="A60" s="31">
        <v>59</v>
      </c>
      <c r="B60" s="31" t="s">
        <v>447</v>
      </c>
      <c r="C60" s="31" t="s">
        <v>22</v>
      </c>
      <c r="D60" s="31" t="s">
        <v>71</v>
      </c>
      <c r="E60" s="31" t="s">
        <v>24</v>
      </c>
      <c r="F60" s="31" t="s">
        <v>30</v>
      </c>
      <c r="G60" s="31" t="s">
        <v>25</v>
      </c>
      <c r="H60" s="31" t="s">
        <v>25</v>
      </c>
      <c r="I60" s="31" t="s">
        <v>25</v>
      </c>
      <c r="J60" s="31" t="s">
        <v>566</v>
      </c>
      <c r="K60" s="31" t="s">
        <v>565</v>
      </c>
      <c r="L60" s="31" t="s">
        <v>68</v>
      </c>
      <c r="M60" s="31">
        <v>2021</v>
      </c>
      <c r="N60" s="31">
        <v>0</v>
      </c>
      <c r="O60" s="31" t="e">
        <f t="shared" si="0"/>
        <v>#REF!</v>
      </c>
      <c r="P60" s="31"/>
      <c r="Q60" s="31">
        <v>288.54000000000002</v>
      </c>
      <c r="R60" s="8">
        <v>1</v>
      </c>
      <c r="S60" s="8" t="str">
        <f t="shared" si="1"/>
        <v>TEB1Energia convencionalResidencialResidencial baixa renda – faixa 03Não se aplicaNão se aplicaNão se aplica</v>
      </c>
      <c r="T60" s="8" t="e">
        <f>VLOOKUP(S60,#REF!,2,0)</f>
        <v>#REF!</v>
      </c>
    </row>
    <row r="61" spans="1:20" ht="11.25" customHeight="1" x14ac:dyDescent="0.25">
      <c r="A61" s="31">
        <v>60</v>
      </c>
      <c r="B61" s="31" t="s">
        <v>447</v>
      </c>
      <c r="C61" s="31" t="s">
        <v>22</v>
      </c>
      <c r="D61" s="31" t="s">
        <v>71</v>
      </c>
      <c r="E61" s="31" t="s">
        <v>24</v>
      </c>
      <c r="F61" s="31" t="s">
        <v>31</v>
      </c>
      <c r="G61" s="31" t="s">
        <v>25</v>
      </c>
      <c r="H61" s="31" t="s">
        <v>25</v>
      </c>
      <c r="I61" s="31" t="s">
        <v>25</v>
      </c>
      <c r="J61" s="31" t="s">
        <v>566</v>
      </c>
      <c r="K61" s="31" t="s">
        <v>565</v>
      </c>
      <c r="L61" s="31" t="s">
        <v>68</v>
      </c>
      <c r="M61" s="31">
        <v>2021</v>
      </c>
      <c r="N61" s="31">
        <v>0</v>
      </c>
      <c r="O61" s="31" t="e">
        <f t="shared" si="0"/>
        <v>#REF!</v>
      </c>
      <c r="P61" s="31"/>
      <c r="Q61" s="31">
        <v>320.60000000000002</v>
      </c>
      <c r="R61" s="8">
        <v>1</v>
      </c>
      <c r="S61" s="8" t="str">
        <f t="shared" si="1"/>
        <v>TEB1Energia convencionalResidencialResidencial baixa renda – faixa 04Não se aplicaNão se aplicaNão se aplica</v>
      </c>
      <c r="T61" s="8" t="e">
        <f>VLOOKUP(S61,#REF!,2,0)</f>
        <v>#REF!</v>
      </c>
    </row>
    <row r="62" spans="1:20" ht="11.25" customHeight="1" x14ac:dyDescent="0.25">
      <c r="A62" s="31">
        <v>61</v>
      </c>
      <c r="B62" s="31" t="s">
        <v>447</v>
      </c>
      <c r="C62" s="31" t="s">
        <v>22</v>
      </c>
      <c r="D62" s="31" t="s">
        <v>83</v>
      </c>
      <c r="E62" s="31" t="s">
        <v>24</v>
      </c>
      <c r="F62" s="31" t="s">
        <v>24</v>
      </c>
      <c r="G62" s="31" t="s">
        <v>25</v>
      </c>
      <c r="H62" s="31" t="s">
        <v>25</v>
      </c>
      <c r="I62" s="31" t="s">
        <v>25</v>
      </c>
      <c r="J62" s="31" t="s">
        <v>566</v>
      </c>
      <c r="K62" s="31" t="s">
        <v>565</v>
      </c>
      <c r="L62" s="31" t="s">
        <v>68</v>
      </c>
      <c r="M62" s="31">
        <v>2021</v>
      </c>
      <c r="N62" s="31">
        <v>0</v>
      </c>
      <c r="O62" s="31" t="e">
        <f t="shared" si="0"/>
        <v>#REF!</v>
      </c>
      <c r="P62" s="31"/>
      <c r="Q62" s="31">
        <v>320.60000000000002</v>
      </c>
      <c r="R62" s="8">
        <v>1</v>
      </c>
      <c r="S62" s="8" t="str">
        <f t="shared" si="1"/>
        <v>TEB1Energia convencional pré-pagamentoResidencialResidencialNão se aplicaNão se aplicaNão se aplica</v>
      </c>
      <c r="T62" s="8" t="e">
        <f>VLOOKUP(S62,#REF!,2,0)</f>
        <v>#REF!</v>
      </c>
    </row>
    <row r="63" spans="1:20" ht="11.25" customHeight="1" x14ac:dyDescent="0.25">
      <c r="A63" s="31">
        <v>62</v>
      </c>
      <c r="B63" s="31" t="s">
        <v>447</v>
      </c>
      <c r="C63" s="31" t="s">
        <v>22</v>
      </c>
      <c r="D63" s="31" t="s">
        <v>83</v>
      </c>
      <c r="E63" s="31" t="s">
        <v>24</v>
      </c>
      <c r="F63" s="31" t="s">
        <v>28</v>
      </c>
      <c r="G63" s="31" t="s">
        <v>25</v>
      </c>
      <c r="H63" s="31" t="s">
        <v>25</v>
      </c>
      <c r="I63" s="31" t="s">
        <v>25</v>
      </c>
      <c r="J63" s="31" t="s">
        <v>566</v>
      </c>
      <c r="K63" s="31" t="s">
        <v>565</v>
      </c>
      <c r="L63" s="31" t="s">
        <v>68</v>
      </c>
      <c r="M63" s="31">
        <v>2021</v>
      </c>
      <c r="N63" s="31">
        <v>0</v>
      </c>
      <c r="O63" s="31" t="e">
        <f t="shared" si="0"/>
        <v>#REF!</v>
      </c>
      <c r="P63" s="31"/>
      <c r="Q63" s="31">
        <v>112.21</v>
      </c>
      <c r="R63" s="8">
        <v>1</v>
      </c>
      <c r="S63" s="8" t="str">
        <f t="shared" si="1"/>
        <v>TEB1Energia convencional pré-pagamentoResidencialResidencial baixa renda – faixa 01Não se aplicaNão se aplicaNão se aplica</v>
      </c>
      <c r="T63" s="8" t="e">
        <f>VLOOKUP(S63,#REF!,2,0)</f>
        <v>#REF!</v>
      </c>
    </row>
    <row r="64" spans="1:20" ht="11.25" customHeight="1" x14ac:dyDescent="0.25">
      <c r="A64" s="31">
        <v>63</v>
      </c>
      <c r="B64" s="31" t="s">
        <v>447</v>
      </c>
      <c r="C64" s="31" t="s">
        <v>22</v>
      </c>
      <c r="D64" s="31" t="s">
        <v>83</v>
      </c>
      <c r="E64" s="31" t="s">
        <v>24</v>
      </c>
      <c r="F64" s="31" t="s">
        <v>29</v>
      </c>
      <c r="G64" s="31" t="s">
        <v>25</v>
      </c>
      <c r="H64" s="31" t="s">
        <v>25</v>
      </c>
      <c r="I64" s="31" t="s">
        <v>25</v>
      </c>
      <c r="J64" s="31" t="s">
        <v>566</v>
      </c>
      <c r="K64" s="31" t="s">
        <v>565</v>
      </c>
      <c r="L64" s="31" t="s">
        <v>68</v>
      </c>
      <c r="M64" s="31">
        <v>2021</v>
      </c>
      <c r="N64" s="31">
        <v>0</v>
      </c>
      <c r="O64" s="31" t="e">
        <f t="shared" si="0"/>
        <v>#REF!</v>
      </c>
      <c r="P64" s="31"/>
      <c r="Q64" s="31">
        <v>192.36</v>
      </c>
      <c r="R64" s="8">
        <v>1</v>
      </c>
      <c r="S64" s="8" t="str">
        <f t="shared" si="1"/>
        <v>TEB1Energia convencional pré-pagamentoResidencialResidencial baixa renda – faixa 02Não se aplicaNão se aplicaNão se aplica</v>
      </c>
      <c r="T64" s="8" t="e">
        <f>VLOOKUP(S64,#REF!,2,0)</f>
        <v>#REF!</v>
      </c>
    </row>
    <row r="65" spans="1:20" ht="11.25" customHeight="1" x14ac:dyDescent="0.25">
      <c r="A65" s="31">
        <v>64</v>
      </c>
      <c r="B65" s="31" t="s">
        <v>447</v>
      </c>
      <c r="C65" s="31" t="s">
        <v>22</v>
      </c>
      <c r="D65" s="31" t="s">
        <v>83</v>
      </c>
      <c r="E65" s="31" t="s">
        <v>24</v>
      </c>
      <c r="F65" s="31" t="s">
        <v>30</v>
      </c>
      <c r="G65" s="31" t="s">
        <v>25</v>
      </c>
      <c r="H65" s="31" t="s">
        <v>25</v>
      </c>
      <c r="I65" s="31" t="s">
        <v>25</v>
      </c>
      <c r="J65" s="31" t="s">
        <v>566</v>
      </c>
      <c r="K65" s="31" t="s">
        <v>565</v>
      </c>
      <c r="L65" s="31" t="s">
        <v>68</v>
      </c>
      <c r="M65" s="31">
        <v>2021</v>
      </c>
      <c r="N65" s="31">
        <v>0</v>
      </c>
      <c r="O65" s="31" t="e">
        <f t="shared" si="0"/>
        <v>#REF!</v>
      </c>
      <c r="P65" s="31"/>
      <c r="Q65" s="31">
        <v>288.54000000000002</v>
      </c>
      <c r="R65" s="8">
        <v>1</v>
      </c>
      <c r="S65" s="8" t="str">
        <f t="shared" si="1"/>
        <v>TEB1Energia convencional pré-pagamentoResidencialResidencial baixa renda – faixa 03Não se aplicaNão se aplicaNão se aplica</v>
      </c>
      <c r="T65" s="8" t="e">
        <f>VLOOKUP(S65,#REF!,2,0)</f>
        <v>#REF!</v>
      </c>
    </row>
    <row r="66" spans="1:20" ht="11.25" customHeight="1" x14ac:dyDescent="0.25">
      <c r="A66" s="31">
        <v>65</v>
      </c>
      <c r="B66" s="31" t="s">
        <v>447</v>
      </c>
      <c r="C66" s="31" t="s">
        <v>22</v>
      </c>
      <c r="D66" s="31" t="s">
        <v>83</v>
      </c>
      <c r="E66" s="31" t="s">
        <v>24</v>
      </c>
      <c r="F66" s="31" t="s">
        <v>31</v>
      </c>
      <c r="G66" s="31" t="s">
        <v>25</v>
      </c>
      <c r="H66" s="31" t="s">
        <v>25</v>
      </c>
      <c r="I66" s="31" t="s">
        <v>25</v>
      </c>
      <c r="J66" s="31" t="s">
        <v>566</v>
      </c>
      <c r="K66" s="31" t="s">
        <v>565</v>
      </c>
      <c r="L66" s="31" t="s">
        <v>68</v>
      </c>
      <c r="M66" s="31">
        <v>2021</v>
      </c>
      <c r="N66" s="31">
        <v>0</v>
      </c>
      <c r="O66" s="31" t="e">
        <f t="shared" si="0"/>
        <v>#REF!</v>
      </c>
      <c r="P66" s="31"/>
      <c r="Q66" s="31">
        <v>320.60000000000002</v>
      </c>
      <c r="R66" s="8">
        <v>1</v>
      </c>
      <c r="S66" s="8" t="str">
        <f t="shared" si="1"/>
        <v>TEB1Energia convencional pré-pagamentoResidencialResidencial baixa renda – faixa 04Não se aplicaNão se aplicaNão se aplica</v>
      </c>
      <c r="T66" s="8" t="e">
        <f>VLOOKUP(S66,#REF!,2,0)</f>
        <v>#REF!</v>
      </c>
    </row>
    <row r="67" spans="1:20" ht="11.25" customHeight="1" x14ac:dyDescent="0.25">
      <c r="A67" s="31">
        <v>66</v>
      </c>
      <c r="B67" s="31" t="s">
        <v>447</v>
      </c>
      <c r="C67" s="31" t="s">
        <v>41</v>
      </c>
      <c r="D67" s="31" t="s">
        <v>67</v>
      </c>
      <c r="E67" s="31" t="s">
        <v>42</v>
      </c>
      <c r="F67" s="31" t="s">
        <v>25</v>
      </c>
      <c r="G67" s="31" t="s">
        <v>25</v>
      </c>
      <c r="H67" s="31" t="s">
        <v>25</v>
      </c>
      <c r="I67" s="31" t="s">
        <v>36</v>
      </c>
      <c r="J67" s="31" t="s">
        <v>566</v>
      </c>
      <c r="K67" s="31" t="s">
        <v>565</v>
      </c>
      <c r="L67" s="31" t="s">
        <v>68</v>
      </c>
      <c r="M67" s="31">
        <v>2021</v>
      </c>
      <c r="N67" s="31">
        <v>0</v>
      </c>
      <c r="O67" s="31" t="e">
        <f t="shared" ref="O67:O88" si="2">IF(R67=0,Q67,T67)</f>
        <v>#REF!</v>
      </c>
      <c r="P67" s="31"/>
      <c r="Q67" s="31">
        <v>456.23</v>
      </c>
      <c r="R67" s="8">
        <v>1</v>
      </c>
      <c r="S67" s="8" t="str">
        <f t="shared" ref="S67:S89" si="3">B67&amp;C67&amp;D67&amp;E67&amp;F67&amp;G67&amp;H67&amp;I67</f>
        <v>TEB2Energia horáriaRuralNão se aplicaNão se aplicaNão se aplicaPonta</v>
      </c>
      <c r="T67" s="8" t="e">
        <f>VLOOKUP(S67,#REF!,2,0)</f>
        <v>#REF!</v>
      </c>
    </row>
    <row r="68" spans="1:20" ht="11.25" customHeight="1" x14ac:dyDescent="0.25">
      <c r="A68" s="31">
        <v>67</v>
      </c>
      <c r="B68" s="31" t="s">
        <v>447</v>
      </c>
      <c r="C68" s="31" t="s">
        <v>41</v>
      </c>
      <c r="D68" s="31" t="s">
        <v>67</v>
      </c>
      <c r="E68" s="31" t="s">
        <v>42</v>
      </c>
      <c r="F68" s="31" t="s">
        <v>25</v>
      </c>
      <c r="G68" s="31" t="s">
        <v>25</v>
      </c>
      <c r="H68" s="31" t="s">
        <v>25</v>
      </c>
      <c r="I68" s="31" t="s">
        <v>39</v>
      </c>
      <c r="J68" s="31" t="s">
        <v>566</v>
      </c>
      <c r="K68" s="31" t="s">
        <v>565</v>
      </c>
      <c r="L68" s="31" t="s">
        <v>68</v>
      </c>
      <c r="M68" s="31">
        <v>2021</v>
      </c>
      <c r="N68" s="31">
        <v>0</v>
      </c>
      <c r="O68" s="31" t="e">
        <f t="shared" si="2"/>
        <v>#REF!</v>
      </c>
      <c r="P68" s="31"/>
      <c r="Q68" s="31">
        <v>266.3</v>
      </c>
      <c r="R68" s="8">
        <v>1</v>
      </c>
      <c r="S68" s="8" t="str">
        <f t="shared" si="3"/>
        <v>TEB2Energia horáriaRuralNão se aplicaNão se aplicaNão se aplicaIntermediário</v>
      </c>
      <c r="T68" s="8" t="e">
        <f>VLOOKUP(S68,#REF!,2,0)</f>
        <v>#REF!</v>
      </c>
    </row>
    <row r="69" spans="1:20" ht="11.25" customHeight="1" x14ac:dyDescent="0.25">
      <c r="A69" s="31">
        <v>68</v>
      </c>
      <c r="B69" s="31" t="s">
        <v>447</v>
      </c>
      <c r="C69" s="31" t="s">
        <v>41</v>
      </c>
      <c r="D69" s="31" t="s">
        <v>67</v>
      </c>
      <c r="E69" s="31" t="s">
        <v>42</v>
      </c>
      <c r="F69" s="31" t="s">
        <v>25</v>
      </c>
      <c r="G69" s="31" t="s">
        <v>25</v>
      </c>
      <c r="H69" s="31" t="s">
        <v>25</v>
      </c>
      <c r="I69" s="31" t="s">
        <v>37</v>
      </c>
      <c r="J69" s="31" t="s">
        <v>566</v>
      </c>
      <c r="K69" s="31" t="s">
        <v>565</v>
      </c>
      <c r="L69" s="31" t="s">
        <v>68</v>
      </c>
      <c r="M69" s="31">
        <v>2021</v>
      </c>
      <c r="N69" s="31">
        <v>0</v>
      </c>
      <c r="O69" s="31" t="e">
        <f t="shared" si="2"/>
        <v>#REF!</v>
      </c>
      <c r="P69" s="31"/>
      <c r="Q69" s="31">
        <v>266.3</v>
      </c>
      <c r="R69" s="8">
        <v>1</v>
      </c>
      <c r="S69" s="8" t="str">
        <f t="shared" si="3"/>
        <v>TEB2Energia horáriaRuralNão se aplicaNão se aplicaNão se aplicaFora ponta</v>
      </c>
      <c r="T69" s="8" t="e">
        <f>VLOOKUP(S69,#REF!,2,0)</f>
        <v>#REF!</v>
      </c>
    </row>
    <row r="70" spans="1:20" ht="11.25" customHeight="1" x14ac:dyDescent="0.25">
      <c r="A70" s="31">
        <v>69</v>
      </c>
      <c r="B70" s="31" t="s">
        <v>447</v>
      </c>
      <c r="C70" s="31" t="s">
        <v>41</v>
      </c>
      <c r="D70" s="31" t="s">
        <v>71</v>
      </c>
      <c r="E70" s="31" t="s">
        <v>42</v>
      </c>
      <c r="F70" s="31" t="s">
        <v>25</v>
      </c>
      <c r="G70" s="31" t="s">
        <v>25</v>
      </c>
      <c r="H70" s="31" t="s">
        <v>25</v>
      </c>
      <c r="I70" s="31" t="s">
        <v>25</v>
      </c>
      <c r="J70" s="31" t="s">
        <v>566</v>
      </c>
      <c r="K70" s="31" t="s">
        <v>565</v>
      </c>
      <c r="L70" s="31" t="s">
        <v>68</v>
      </c>
      <c r="M70" s="31">
        <v>2021</v>
      </c>
      <c r="N70" s="31">
        <v>0</v>
      </c>
      <c r="O70" s="31" t="e">
        <f t="shared" si="2"/>
        <v>#REF!</v>
      </c>
      <c r="P70" s="31"/>
      <c r="Q70" s="31">
        <v>282.13</v>
      </c>
      <c r="R70" s="8">
        <v>1</v>
      </c>
      <c r="S70" s="8" t="str">
        <f t="shared" si="3"/>
        <v>TEB2Energia convencionalRuralNão se aplicaNão se aplicaNão se aplicaNão se aplica</v>
      </c>
      <c r="T70" s="8" t="e">
        <f>VLOOKUP(S70,#REF!,2,0)</f>
        <v>#REF!</v>
      </c>
    </row>
    <row r="71" spans="1:20" ht="11.25" customHeight="1" x14ac:dyDescent="0.25">
      <c r="A71" s="31">
        <v>70</v>
      </c>
      <c r="B71" s="31" t="s">
        <v>447</v>
      </c>
      <c r="C71" s="31" t="s">
        <v>41</v>
      </c>
      <c r="D71" s="31" t="s">
        <v>67</v>
      </c>
      <c r="E71" s="31" t="s">
        <v>42</v>
      </c>
      <c r="F71" s="31" t="s">
        <v>85</v>
      </c>
      <c r="G71" s="31" t="s">
        <v>25</v>
      </c>
      <c r="H71" s="31" t="s">
        <v>25</v>
      </c>
      <c r="I71" s="31" t="s">
        <v>36</v>
      </c>
      <c r="J71" s="31" t="s">
        <v>566</v>
      </c>
      <c r="K71" s="31" t="s">
        <v>565</v>
      </c>
      <c r="L71" s="31" t="s">
        <v>68</v>
      </c>
      <c r="M71" s="31">
        <v>2021</v>
      </c>
      <c r="N71" s="31">
        <v>0</v>
      </c>
      <c r="O71" s="31" t="e">
        <f t="shared" si="2"/>
        <v>#REF!</v>
      </c>
      <c r="P71" s="31"/>
      <c r="Q71" s="31">
        <v>456.23</v>
      </c>
      <c r="R71" s="8">
        <v>1</v>
      </c>
      <c r="S71" s="8" t="str">
        <f t="shared" si="3"/>
        <v>TEB2Energia horáriaRuralCooperativa de eletrificação ruralNão se aplicaNão se aplicaPonta</v>
      </c>
      <c r="T71" s="8" t="e">
        <f>VLOOKUP(S71,#REF!,2,0)</f>
        <v>#REF!</v>
      </c>
    </row>
    <row r="72" spans="1:20" ht="11.25" customHeight="1" x14ac:dyDescent="0.25">
      <c r="A72" s="31">
        <v>71</v>
      </c>
      <c r="B72" s="31" t="s">
        <v>447</v>
      </c>
      <c r="C72" s="31" t="s">
        <v>41</v>
      </c>
      <c r="D72" s="31" t="s">
        <v>67</v>
      </c>
      <c r="E72" s="31" t="s">
        <v>42</v>
      </c>
      <c r="F72" s="31" t="s">
        <v>85</v>
      </c>
      <c r="G72" s="31" t="s">
        <v>25</v>
      </c>
      <c r="H72" s="31" t="s">
        <v>25</v>
      </c>
      <c r="I72" s="31" t="s">
        <v>39</v>
      </c>
      <c r="J72" s="31" t="s">
        <v>566</v>
      </c>
      <c r="K72" s="31" t="s">
        <v>565</v>
      </c>
      <c r="L72" s="31" t="s">
        <v>68</v>
      </c>
      <c r="M72" s="31">
        <v>2021</v>
      </c>
      <c r="N72" s="31">
        <v>0</v>
      </c>
      <c r="O72" s="31" t="e">
        <f t="shared" si="2"/>
        <v>#REF!</v>
      </c>
      <c r="P72" s="31"/>
      <c r="Q72" s="31">
        <v>266.3</v>
      </c>
      <c r="R72" s="8">
        <v>1</v>
      </c>
      <c r="S72" s="8" t="str">
        <f t="shared" si="3"/>
        <v>TEB2Energia horáriaRuralCooperativa de eletrificação ruralNão se aplicaNão se aplicaIntermediário</v>
      </c>
      <c r="T72" s="8" t="e">
        <f>VLOOKUP(S72,#REF!,2,0)</f>
        <v>#REF!</v>
      </c>
    </row>
    <row r="73" spans="1:20" ht="11.25" customHeight="1" x14ac:dyDescent="0.25">
      <c r="A73" s="31">
        <v>72</v>
      </c>
      <c r="B73" s="31" t="s">
        <v>447</v>
      </c>
      <c r="C73" s="31" t="s">
        <v>41</v>
      </c>
      <c r="D73" s="31" t="s">
        <v>67</v>
      </c>
      <c r="E73" s="31" t="s">
        <v>42</v>
      </c>
      <c r="F73" s="31" t="s">
        <v>85</v>
      </c>
      <c r="G73" s="31" t="s">
        <v>25</v>
      </c>
      <c r="H73" s="31" t="s">
        <v>25</v>
      </c>
      <c r="I73" s="31" t="s">
        <v>37</v>
      </c>
      <c r="J73" s="31" t="s">
        <v>566</v>
      </c>
      <c r="K73" s="31" t="s">
        <v>565</v>
      </c>
      <c r="L73" s="31" t="s">
        <v>68</v>
      </c>
      <c r="M73" s="31">
        <v>2021</v>
      </c>
      <c r="N73" s="31">
        <v>0</v>
      </c>
      <c r="O73" s="31" t="e">
        <f t="shared" si="2"/>
        <v>#REF!</v>
      </c>
      <c r="P73" s="31"/>
      <c r="Q73" s="31">
        <v>266.3</v>
      </c>
      <c r="R73" s="8">
        <v>1</v>
      </c>
      <c r="S73" s="8" t="str">
        <f t="shared" si="3"/>
        <v>TEB2Energia horáriaRuralCooperativa de eletrificação ruralNão se aplicaNão se aplicaFora ponta</v>
      </c>
      <c r="T73" s="8" t="e">
        <f>VLOOKUP(S73,#REF!,2,0)</f>
        <v>#REF!</v>
      </c>
    </row>
    <row r="74" spans="1:20" ht="11.25" customHeight="1" x14ac:dyDescent="0.25">
      <c r="A74" s="31">
        <v>73</v>
      </c>
      <c r="B74" s="31" t="s">
        <v>447</v>
      </c>
      <c r="C74" s="31" t="s">
        <v>41</v>
      </c>
      <c r="D74" s="31" t="s">
        <v>71</v>
      </c>
      <c r="E74" s="31" t="s">
        <v>42</v>
      </c>
      <c r="F74" s="31" t="s">
        <v>85</v>
      </c>
      <c r="G74" s="31" t="s">
        <v>25</v>
      </c>
      <c r="H74" s="31" t="s">
        <v>25</v>
      </c>
      <c r="I74" s="31" t="s">
        <v>25</v>
      </c>
      <c r="J74" s="31" t="s">
        <v>566</v>
      </c>
      <c r="K74" s="31" t="s">
        <v>565</v>
      </c>
      <c r="L74" s="31" t="s">
        <v>68</v>
      </c>
      <c r="M74" s="31">
        <v>2021</v>
      </c>
      <c r="N74" s="31">
        <v>0</v>
      </c>
      <c r="O74" s="31" t="e">
        <f t="shared" si="2"/>
        <v>#REF!</v>
      </c>
      <c r="P74" s="31"/>
      <c r="Q74" s="31">
        <v>282.13</v>
      </c>
      <c r="R74" s="8">
        <v>1</v>
      </c>
      <c r="S74" s="8" t="str">
        <f t="shared" si="3"/>
        <v>TEB2Energia convencionalRuralCooperativa de eletrificação ruralNão se aplicaNão se aplicaNão se aplica</v>
      </c>
      <c r="T74" s="8" t="e">
        <f>VLOOKUP(S74,#REF!,2,0)</f>
        <v>#REF!</v>
      </c>
    </row>
    <row r="75" spans="1:20" ht="11.25" customHeight="1" x14ac:dyDescent="0.25">
      <c r="A75" s="31">
        <v>74</v>
      </c>
      <c r="B75" s="31" t="s">
        <v>447</v>
      </c>
      <c r="C75" s="31" t="s">
        <v>41</v>
      </c>
      <c r="D75" s="31" t="s">
        <v>67</v>
      </c>
      <c r="E75" s="31" t="s">
        <v>42</v>
      </c>
      <c r="F75" s="31" t="s">
        <v>86</v>
      </c>
      <c r="G75" s="31" t="s">
        <v>25</v>
      </c>
      <c r="H75" s="31" t="s">
        <v>25</v>
      </c>
      <c r="I75" s="31" t="s">
        <v>36</v>
      </c>
      <c r="J75" s="31" t="s">
        <v>566</v>
      </c>
      <c r="K75" s="31" t="s">
        <v>565</v>
      </c>
      <c r="L75" s="31" t="s">
        <v>68</v>
      </c>
      <c r="M75" s="31">
        <v>2021</v>
      </c>
      <c r="N75" s="31">
        <v>0</v>
      </c>
      <c r="O75" s="31" t="e">
        <f t="shared" si="2"/>
        <v>#REF!</v>
      </c>
      <c r="P75" s="31"/>
      <c r="Q75" s="31">
        <v>435.49</v>
      </c>
      <c r="R75" s="8">
        <v>1</v>
      </c>
      <c r="S75" s="8" t="str">
        <f t="shared" si="3"/>
        <v>TEB2Energia horáriaRuralServiço público de irrigação ruralNão se aplicaNão se aplicaPonta</v>
      </c>
      <c r="T75" s="8" t="e">
        <f>VLOOKUP(S75,#REF!,2,0)</f>
        <v>#REF!</v>
      </c>
    </row>
    <row r="76" spans="1:20" ht="11.25" customHeight="1" x14ac:dyDescent="0.25">
      <c r="A76" s="31">
        <v>75</v>
      </c>
      <c r="B76" s="31" t="s">
        <v>447</v>
      </c>
      <c r="C76" s="31" t="s">
        <v>41</v>
      </c>
      <c r="D76" s="31" t="s">
        <v>67</v>
      </c>
      <c r="E76" s="31" t="s">
        <v>42</v>
      </c>
      <c r="F76" s="31" t="s">
        <v>86</v>
      </c>
      <c r="G76" s="31" t="s">
        <v>25</v>
      </c>
      <c r="H76" s="31" t="s">
        <v>25</v>
      </c>
      <c r="I76" s="31" t="s">
        <v>39</v>
      </c>
      <c r="J76" s="31" t="s">
        <v>566</v>
      </c>
      <c r="K76" s="31" t="s">
        <v>565</v>
      </c>
      <c r="L76" s="31" t="s">
        <v>68</v>
      </c>
      <c r="M76" s="31">
        <v>2021</v>
      </c>
      <c r="N76" s="31">
        <v>0</v>
      </c>
      <c r="O76" s="31" t="e">
        <f t="shared" si="2"/>
        <v>#REF!</v>
      </c>
      <c r="P76" s="31"/>
      <c r="Q76" s="31">
        <v>254.2</v>
      </c>
      <c r="R76" s="8">
        <v>1</v>
      </c>
      <c r="S76" s="8" t="str">
        <f t="shared" si="3"/>
        <v>TEB2Energia horáriaRuralServiço público de irrigação ruralNão se aplicaNão se aplicaIntermediário</v>
      </c>
      <c r="T76" s="8" t="e">
        <f>VLOOKUP(S76,#REF!,2,0)</f>
        <v>#REF!</v>
      </c>
    </row>
    <row r="77" spans="1:20" ht="11.25" customHeight="1" x14ac:dyDescent="0.25">
      <c r="A77" s="31">
        <v>76</v>
      </c>
      <c r="B77" s="31" t="s">
        <v>447</v>
      </c>
      <c r="C77" s="31" t="s">
        <v>41</v>
      </c>
      <c r="D77" s="31" t="s">
        <v>67</v>
      </c>
      <c r="E77" s="31" t="s">
        <v>42</v>
      </c>
      <c r="F77" s="31" t="s">
        <v>86</v>
      </c>
      <c r="G77" s="31" t="s">
        <v>25</v>
      </c>
      <c r="H77" s="31" t="s">
        <v>25</v>
      </c>
      <c r="I77" s="31" t="s">
        <v>37</v>
      </c>
      <c r="J77" s="31" t="s">
        <v>566</v>
      </c>
      <c r="K77" s="31" t="s">
        <v>565</v>
      </c>
      <c r="L77" s="31" t="s">
        <v>68</v>
      </c>
      <c r="M77" s="31">
        <v>2021</v>
      </c>
      <c r="N77" s="31">
        <v>0</v>
      </c>
      <c r="O77" s="31" t="e">
        <f t="shared" si="2"/>
        <v>#REF!</v>
      </c>
      <c r="P77" s="31"/>
      <c r="Q77" s="31">
        <v>254.2</v>
      </c>
      <c r="R77" s="8">
        <v>1</v>
      </c>
      <c r="S77" s="8" t="str">
        <f t="shared" si="3"/>
        <v>TEB2Energia horáriaRuralServiço público de irrigação ruralNão se aplicaNão se aplicaFora ponta</v>
      </c>
      <c r="T77" s="8" t="e">
        <f>VLOOKUP(S77,#REF!,2,0)</f>
        <v>#REF!</v>
      </c>
    </row>
    <row r="78" spans="1:20" ht="11.25" customHeight="1" x14ac:dyDescent="0.25">
      <c r="A78" s="31">
        <v>77</v>
      </c>
      <c r="B78" s="31" t="s">
        <v>447</v>
      </c>
      <c r="C78" s="31" t="s">
        <v>41</v>
      </c>
      <c r="D78" s="31" t="s">
        <v>71</v>
      </c>
      <c r="E78" s="31" t="s">
        <v>42</v>
      </c>
      <c r="F78" s="31" t="s">
        <v>86</v>
      </c>
      <c r="G78" s="31" t="s">
        <v>25</v>
      </c>
      <c r="H78" s="31" t="s">
        <v>25</v>
      </c>
      <c r="I78" s="31" t="s">
        <v>25</v>
      </c>
      <c r="J78" s="31" t="s">
        <v>566</v>
      </c>
      <c r="K78" s="31" t="s">
        <v>565</v>
      </c>
      <c r="L78" s="31" t="s">
        <v>68</v>
      </c>
      <c r="M78" s="31">
        <v>2021</v>
      </c>
      <c r="N78" s="31">
        <v>0</v>
      </c>
      <c r="O78" s="31" t="e">
        <f t="shared" si="2"/>
        <v>#REF!</v>
      </c>
      <c r="P78" s="31"/>
      <c r="Q78" s="31">
        <v>269.3</v>
      </c>
      <c r="R78" s="8">
        <v>1</v>
      </c>
      <c r="S78" s="8" t="str">
        <f t="shared" si="3"/>
        <v>TEB2Energia convencionalRuralServiço público de irrigação ruralNão se aplicaNão se aplicaNão se aplica</v>
      </c>
      <c r="T78" s="8" t="e">
        <f>VLOOKUP(S78,#REF!,2,0)</f>
        <v>#REF!</v>
      </c>
    </row>
    <row r="79" spans="1:20" ht="11.25" customHeight="1" x14ac:dyDescent="0.25">
      <c r="A79" s="31">
        <v>78</v>
      </c>
      <c r="B79" s="31" t="s">
        <v>447</v>
      </c>
      <c r="C79" s="31" t="s">
        <v>41</v>
      </c>
      <c r="D79" s="31" t="s">
        <v>83</v>
      </c>
      <c r="E79" s="31" t="s">
        <v>42</v>
      </c>
      <c r="F79" s="31" t="s">
        <v>25</v>
      </c>
      <c r="G79" s="31" t="s">
        <v>25</v>
      </c>
      <c r="H79" s="31" t="s">
        <v>25</v>
      </c>
      <c r="I79" s="31" t="s">
        <v>25</v>
      </c>
      <c r="J79" s="31" t="s">
        <v>566</v>
      </c>
      <c r="K79" s="31" t="s">
        <v>565</v>
      </c>
      <c r="L79" s="31" t="s">
        <v>68</v>
      </c>
      <c r="M79" s="31">
        <v>2021</v>
      </c>
      <c r="N79" s="31">
        <v>0</v>
      </c>
      <c r="O79" s="31" t="e">
        <f t="shared" si="2"/>
        <v>#REF!</v>
      </c>
      <c r="P79" s="31"/>
      <c r="Q79" s="31">
        <v>282.13</v>
      </c>
      <c r="R79" s="8">
        <v>1</v>
      </c>
      <c r="S79" s="8" t="str">
        <f t="shared" si="3"/>
        <v>TEB2Energia convencional pré-pagamentoRuralNão se aplicaNão se aplicaNão se aplicaNão se aplica</v>
      </c>
      <c r="T79" s="8" t="e">
        <f>VLOOKUP(S79,#REF!,2,0)</f>
        <v>#REF!</v>
      </c>
    </row>
    <row r="80" spans="1:20" ht="11.25" customHeight="1" x14ac:dyDescent="0.25">
      <c r="A80" s="31">
        <v>79</v>
      </c>
      <c r="B80" s="31" t="s">
        <v>447</v>
      </c>
      <c r="C80" s="31" t="s">
        <v>41</v>
      </c>
      <c r="D80" s="31" t="s">
        <v>83</v>
      </c>
      <c r="E80" s="31" t="s">
        <v>42</v>
      </c>
      <c r="F80" s="31" t="s">
        <v>85</v>
      </c>
      <c r="G80" s="31" t="s">
        <v>25</v>
      </c>
      <c r="H80" s="31" t="s">
        <v>25</v>
      </c>
      <c r="I80" s="31" t="s">
        <v>25</v>
      </c>
      <c r="J80" s="31" t="s">
        <v>566</v>
      </c>
      <c r="K80" s="31" t="s">
        <v>565</v>
      </c>
      <c r="L80" s="31" t="s">
        <v>68</v>
      </c>
      <c r="M80" s="31">
        <v>2021</v>
      </c>
      <c r="N80" s="31">
        <v>0</v>
      </c>
      <c r="O80" s="31" t="e">
        <f t="shared" si="2"/>
        <v>#REF!</v>
      </c>
      <c r="P80" s="31"/>
      <c r="Q80" s="31">
        <v>282.13</v>
      </c>
      <c r="R80" s="8">
        <v>1</v>
      </c>
      <c r="S80" s="8" t="str">
        <f t="shared" si="3"/>
        <v>TEB2Energia convencional pré-pagamentoRuralCooperativa de eletrificação ruralNão se aplicaNão se aplicaNão se aplica</v>
      </c>
      <c r="T80" s="8" t="e">
        <f>VLOOKUP(S80,#REF!,2,0)</f>
        <v>#REF!</v>
      </c>
    </row>
    <row r="81" spans="1:20" ht="11.25" customHeight="1" x14ac:dyDescent="0.25">
      <c r="A81" s="31">
        <v>80</v>
      </c>
      <c r="B81" s="31" t="s">
        <v>447</v>
      </c>
      <c r="C81" s="31" t="s">
        <v>41</v>
      </c>
      <c r="D81" s="31" t="s">
        <v>83</v>
      </c>
      <c r="E81" s="31" t="s">
        <v>42</v>
      </c>
      <c r="F81" s="31" t="s">
        <v>86</v>
      </c>
      <c r="G81" s="31" t="s">
        <v>25</v>
      </c>
      <c r="H81" s="31" t="s">
        <v>25</v>
      </c>
      <c r="I81" s="31" t="s">
        <v>25</v>
      </c>
      <c r="J81" s="31" t="s">
        <v>566</v>
      </c>
      <c r="K81" s="31" t="s">
        <v>565</v>
      </c>
      <c r="L81" s="31" t="s">
        <v>68</v>
      </c>
      <c r="M81" s="31">
        <v>2021</v>
      </c>
      <c r="N81" s="31">
        <v>0</v>
      </c>
      <c r="O81" s="31" t="e">
        <f t="shared" si="2"/>
        <v>#REF!</v>
      </c>
      <c r="P81" s="31"/>
      <c r="Q81" s="31">
        <v>269.3</v>
      </c>
      <c r="R81" s="8">
        <v>1</v>
      </c>
      <c r="S81" s="8" t="str">
        <f t="shared" si="3"/>
        <v>TEB2Energia convencional pré-pagamentoRuralServiço público de irrigação ruralNão se aplicaNão se aplicaNão se aplica</v>
      </c>
      <c r="T81" s="8" t="e">
        <f>VLOOKUP(S81,#REF!,2,0)</f>
        <v>#REF!</v>
      </c>
    </row>
    <row r="82" spans="1:20" ht="11.25" customHeight="1" x14ac:dyDescent="0.25">
      <c r="A82" s="31">
        <v>81</v>
      </c>
      <c r="B82" s="31" t="s">
        <v>447</v>
      </c>
      <c r="C82" s="31" t="s">
        <v>32</v>
      </c>
      <c r="D82" s="31" t="s">
        <v>67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36</v>
      </c>
      <c r="J82" s="31" t="s">
        <v>566</v>
      </c>
      <c r="K82" s="31" t="s">
        <v>565</v>
      </c>
      <c r="L82" s="31" t="s">
        <v>68</v>
      </c>
      <c r="M82" s="31">
        <v>2021</v>
      </c>
      <c r="N82" s="31">
        <v>0</v>
      </c>
      <c r="O82" s="31" t="e">
        <f t="shared" si="2"/>
        <v>#REF!</v>
      </c>
      <c r="P82" s="31"/>
      <c r="Q82" s="31">
        <v>518.44000000000005</v>
      </c>
      <c r="R82" s="8">
        <v>1</v>
      </c>
      <c r="S82" s="8" t="str">
        <f t="shared" si="3"/>
        <v>TEB3Energia horáriaNão se aplicaNão se aplicaNão se aplicaNão se aplicaPonta</v>
      </c>
      <c r="T82" s="8" t="e">
        <f>VLOOKUP(S82,#REF!,2,0)</f>
        <v>#REF!</v>
      </c>
    </row>
    <row r="83" spans="1:20" ht="11.25" customHeight="1" x14ac:dyDescent="0.25">
      <c r="A83" s="31">
        <v>82</v>
      </c>
      <c r="B83" s="31" t="s">
        <v>447</v>
      </c>
      <c r="C83" s="31" t="s">
        <v>32</v>
      </c>
      <c r="D83" s="31" t="s">
        <v>67</v>
      </c>
      <c r="E83" s="31" t="s">
        <v>25</v>
      </c>
      <c r="F83" s="31" t="s">
        <v>25</v>
      </c>
      <c r="G83" s="31" t="s">
        <v>25</v>
      </c>
      <c r="H83" s="31" t="s">
        <v>25</v>
      </c>
      <c r="I83" s="31" t="s">
        <v>39</v>
      </c>
      <c r="J83" s="31" t="s">
        <v>566</v>
      </c>
      <c r="K83" s="31" t="s">
        <v>565</v>
      </c>
      <c r="L83" s="31" t="s">
        <v>68</v>
      </c>
      <c r="M83" s="31">
        <v>2021</v>
      </c>
      <c r="N83" s="31">
        <v>0</v>
      </c>
      <c r="O83" s="31" t="e">
        <f t="shared" si="2"/>
        <v>#REF!</v>
      </c>
      <c r="P83" s="31"/>
      <c r="Q83" s="31">
        <v>302.62</v>
      </c>
      <c r="R83" s="8">
        <v>1</v>
      </c>
      <c r="S83" s="8" t="str">
        <f t="shared" si="3"/>
        <v>TEB3Energia horáriaNão se aplicaNão se aplicaNão se aplicaNão se aplicaIntermediário</v>
      </c>
      <c r="T83" s="8" t="e">
        <f>VLOOKUP(S83,#REF!,2,0)</f>
        <v>#REF!</v>
      </c>
    </row>
    <row r="84" spans="1:20" ht="11.25" customHeight="1" x14ac:dyDescent="0.25">
      <c r="A84" s="31">
        <v>83</v>
      </c>
      <c r="B84" s="31" t="s">
        <v>447</v>
      </c>
      <c r="C84" s="31" t="s">
        <v>32</v>
      </c>
      <c r="D84" s="31" t="s">
        <v>67</v>
      </c>
      <c r="E84" s="31" t="s">
        <v>25</v>
      </c>
      <c r="F84" s="31" t="s">
        <v>25</v>
      </c>
      <c r="G84" s="31" t="s">
        <v>25</v>
      </c>
      <c r="H84" s="31" t="s">
        <v>25</v>
      </c>
      <c r="I84" s="31" t="s">
        <v>37</v>
      </c>
      <c r="J84" s="31" t="s">
        <v>566</v>
      </c>
      <c r="K84" s="31" t="s">
        <v>565</v>
      </c>
      <c r="L84" s="31" t="s">
        <v>68</v>
      </c>
      <c r="M84" s="31">
        <v>2021</v>
      </c>
      <c r="N84" s="31">
        <v>0</v>
      </c>
      <c r="O84" s="31" t="e">
        <f t="shared" si="2"/>
        <v>#REF!</v>
      </c>
      <c r="P84" s="31"/>
      <c r="Q84" s="31">
        <v>302.62</v>
      </c>
      <c r="R84" s="8">
        <v>1</v>
      </c>
      <c r="S84" s="8" t="str">
        <f t="shared" si="3"/>
        <v>TEB3Energia horáriaNão se aplicaNão se aplicaNão se aplicaNão se aplicaFora ponta</v>
      </c>
      <c r="T84" s="8" t="e">
        <f>VLOOKUP(S84,#REF!,2,0)</f>
        <v>#REF!</v>
      </c>
    </row>
    <row r="85" spans="1:20" ht="11.25" customHeight="1" x14ac:dyDescent="0.25">
      <c r="A85" s="31">
        <v>84</v>
      </c>
      <c r="B85" s="31" t="s">
        <v>447</v>
      </c>
      <c r="C85" s="31" t="s">
        <v>32</v>
      </c>
      <c r="D85" s="31" t="s">
        <v>71</v>
      </c>
      <c r="E85" s="31" t="s">
        <v>25</v>
      </c>
      <c r="F85" s="31" t="s">
        <v>25</v>
      </c>
      <c r="G85" s="31" t="s">
        <v>25</v>
      </c>
      <c r="H85" s="31" t="s">
        <v>25</v>
      </c>
      <c r="I85" s="31" t="s">
        <v>25</v>
      </c>
      <c r="J85" s="31" t="s">
        <v>566</v>
      </c>
      <c r="K85" s="31" t="s">
        <v>565</v>
      </c>
      <c r="L85" s="31" t="s">
        <v>68</v>
      </c>
      <c r="M85" s="31">
        <v>2021</v>
      </c>
      <c r="N85" s="31">
        <v>0</v>
      </c>
      <c r="O85" s="31" t="e">
        <f t="shared" si="2"/>
        <v>#REF!</v>
      </c>
      <c r="P85" s="31"/>
      <c r="Q85" s="31">
        <v>320.60000000000002</v>
      </c>
      <c r="R85" s="8">
        <v>1</v>
      </c>
      <c r="S85" s="8" t="str">
        <f t="shared" si="3"/>
        <v>TEB3Energia convencionalNão se aplicaNão se aplicaNão se aplicaNão se aplicaNão se aplica</v>
      </c>
      <c r="T85" s="8" t="e">
        <f>VLOOKUP(S85,#REF!,2,0)</f>
        <v>#REF!</v>
      </c>
    </row>
    <row r="86" spans="1:20" ht="11.25" customHeight="1" x14ac:dyDescent="0.25">
      <c r="A86" s="31">
        <v>85</v>
      </c>
      <c r="B86" s="31" t="s">
        <v>447</v>
      </c>
      <c r="C86" s="31" t="s">
        <v>32</v>
      </c>
      <c r="D86" s="31" t="s">
        <v>83</v>
      </c>
      <c r="E86" s="31" t="s">
        <v>25</v>
      </c>
      <c r="F86" s="31" t="s">
        <v>25</v>
      </c>
      <c r="G86" s="31" t="s">
        <v>25</v>
      </c>
      <c r="H86" s="31" t="s">
        <v>25</v>
      </c>
      <c r="I86" s="31" t="s">
        <v>25</v>
      </c>
      <c r="J86" s="31" t="s">
        <v>566</v>
      </c>
      <c r="K86" s="31" t="s">
        <v>565</v>
      </c>
      <c r="L86" s="31" t="s">
        <v>68</v>
      </c>
      <c r="M86" s="31">
        <v>2021</v>
      </c>
      <c r="N86" s="31">
        <v>0</v>
      </c>
      <c r="O86" s="31" t="e">
        <f t="shared" si="2"/>
        <v>#REF!</v>
      </c>
      <c r="P86" s="31"/>
      <c r="Q86" s="31">
        <v>320.60000000000002</v>
      </c>
      <c r="R86" s="8">
        <v>1</v>
      </c>
      <c r="S86" s="8" t="str">
        <f t="shared" si="3"/>
        <v>TEB3Energia convencional pré-pagamentoNão se aplicaNão se aplicaNão se aplicaNão se aplicaNão se aplica</v>
      </c>
      <c r="T86" s="8" t="e">
        <f>VLOOKUP(S86,#REF!,2,0)</f>
        <v>#REF!</v>
      </c>
    </row>
    <row r="87" spans="1:20" ht="11.25" customHeight="1" x14ac:dyDescent="0.25">
      <c r="A87" s="31">
        <v>86</v>
      </c>
      <c r="B87" s="31" t="s">
        <v>447</v>
      </c>
      <c r="C87" s="31" t="s">
        <v>44</v>
      </c>
      <c r="D87" s="31" t="s">
        <v>71</v>
      </c>
      <c r="E87" s="31" t="s">
        <v>45</v>
      </c>
      <c r="F87" s="31" t="s">
        <v>46</v>
      </c>
      <c r="G87" s="31" t="s">
        <v>25</v>
      </c>
      <c r="H87" s="31" t="s">
        <v>25</v>
      </c>
      <c r="I87" s="31" t="s">
        <v>25</v>
      </c>
      <c r="J87" s="31" t="s">
        <v>566</v>
      </c>
      <c r="K87" s="31" t="s">
        <v>565</v>
      </c>
      <c r="L87" s="31" t="s">
        <v>68</v>
      </c>
      <c r="M87" s="31">
        <v>2021</v>
      </c>
      <c r="N87" s="31">
        <v>0</v>
      </c>
      <c r="O87" s="31" t="e">
        <f t="shared" si="2"/>
        <v>#REF!</v>
      </c>
      <c r="P87" s="31"/>
      <c r="Q87" s="31">
        <v>176.33</v>
      </c>
      <c r="R87" s="8">
        <v>1</v>
      </c>
      <c r="S87" s="8" t="str">
        <f t="shared" si="3"/>
        <v>TEB4Energia convencionalIluminação públicaIluminação pública – B4aNão se aplicaNão se aplicaNão se aplica</v>
      </c>
      <c r="T87" s="8" t="e">
        <f>VLOOKUP(S87,#REF!,2,0)</f>
        <v>#REF!</v>
      </c>
    </row>
    <row r="88" spans="1:20" ht="11.25" customHeight="1" x14ac:dyDescent="0.25">
      <c r="A88" s="31">
        <v>87</v>
      </c>
      <c r="B88" s="31" t="s">
        <v>447</v>
      </c>
      <c r="C88" s="31" t="s">
        <v>44</v>
      </c>
      <c r="D88" s="31" t="s">
        <v>71</v>
      </c>
      <c r="E88" s="31" t="s">
        <v>45</v>
      </c>
      <c r="F88" s="31" t="s">
        <v>87</v>
      </c>
      <c r="G88" s="31" t="s">
        <v>25</v>
      </c>
      <c r="H88" s="31" t="s">
        <v>25</v>
      </c>
      <c r="I88" s="31" t="s">
        <v>25</v>
      </c>
      <c r="J88" s="31" t="s">
        <v>566</v>
      </c>
      <c r="K88" s="31" t="s">
        <v>565</v>
      </c>
      <c r="L88" s="31" t="s">
        <v>68</v>
      </c>
      <c r="M88" s="31">
        <v>2021</v>
      </c>
      <c r="N88" s="31">
        <v>0</v>
      </c>
      <c r="O88" s="31" t="e">
        <f t="shared" si="2"/>
        <v>#REF!</v>
      </c>
      <c r="P88" s="31"/>
      <c r="Q88" s="31">
        <v>192.36</v>
      </c>
      <c r="R88" s="8">
        <v>1</v>
      </c>
      <c r="S88" s="8" t="str">
        <f t="shared" si="3"/>
        <v>TEB4Energia convencionalIluminação públicaIluminação pública – B4bNão se aplicaNão se aplicaNão se aplica</v>
      </c>
      <c r="T88" s="8" t="e">
        <f>VLOOKUP(S88,#REF!,2,0)</f>
        <v>#REF!</v>
      </c>
    </row>
    <row r="89" spans="1:20" x14ac:dyDescent="0.25">
      <c r="S89" s="8" t="str">
        <f t="shared" si="3"/>
        <v/>
      </c>
    </row>
  </sheetData>
  <autoFilter ref="A1:AX89" xr:uid="{0BAFA3DC-D9E8-4474-8BDC-49D16FC09CE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1B0B-B6AA-46DC-8BC0-94E10486BD0C}">
  <sheetPr codeName="Planilha5"/>
  <dimension ref="A1:AD49"/>
  <sheetViews>
    <sheetView showGridLines="0" workbookViewId="0">
      <selection sqref="A1:W49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44409</v>
      </c>
      <c r="J1" s="11">
        <v>44440</v>
      </c>
      <c r="K1" s="11">
        <v>44470</v>
      </c>
      <c r="L1" s="11">
        <v>44501</v>
      </c>
      <c r="M1" s="11">
        <v>44531</v>
      </c>
      <c r="N1" s="11">
        <v>44562</v>
      </c>
      <c r="O1" s="11">
        <v>44593</v>
      </c>
      <c r="P1" s="11">
        <v>44621</v>
      </c>
      <c r="Q1" s="11">
        <v>44652</v>
      </c>
      <c r="R1" s="11">
        <v>44682</v>
      </c>
      <c r="S1" s="11">
        <v>44713</v>
      </c>
      <c r="T1" s="11">
        <v>44743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24" t="s">
        <v>34</v>
      </c>
      <c r="B2" s="124" t="s">
        <v>73</v>
      </c>
      <c r="C2" s="124" t="s">
        <v>25</v>
      </c>
      <c r="D2" s="124" t="s">
        <v>25</v>
      </c>
      <c r="E2" s="124" t="s">
        <v>25</v>
      </c>
      <c r="F2" s="124" t="s">
        <v>25</v>
      </c>
      <c r="G2" s="13" t="s">
        <v>75</v>
      </c>
      <c r="H2" s="13" t="s">
        <v>74</v>
      </c>
      <c r="I2" s="13">
        <f>SUMIF(Mercado_Receita!$S$2:$S$379,"44409A4AzulNão se aplicaNão se aplicaNão se aplicaNão se aplicaPonta",Mercado_Receita!$J$2:$J$379)+SUMIF(Mercado_Receita!$S$2:$S$379,"44409A4AzulNão se aplicaNão se aplicaAPENão se aplicaPonta",Mercado_Receita!$J$2:$J$379)</f>
        <v>0</v>
      </c>
      <c r="J2" s="13">
        <f>SUMIF(Mercado_Receita!$S$2:$S$379,"44440A4AzulNão se aplicaNão se aplicaNão se aplicaNão se aplicaPonta",Mercado_Receita!$J$2:$J$379)+SUMIF(Mercado_Receita!$S$2:$S$379,"44440A4AzulNão se aplicaNão se aplicaAPENão se aplicaPonta",Mercado_Receita!$J$2:$J$379)</f>
        <v>0</v>
      </c>
      <c r="K2" s="13">
        <f>SUMIF(Mercado_Receita!$S$2:$S$379,"44470A4AzulNão se aplicaNão se aplicaNão se aplicaNão se aplicaPonta",Mercado_Receita!$J$2:$J$379)+SUMIF(Mercado_Receita!$S$2:$S$379,"44470A4AzulNão se aplicaNão se aplicaAPENão se aplicaPonta",Mercado_Receita!$J$2:$J$379)</f>
        <v>0</v>
      </c>
      <c r="L2" s="13">
        <f>SUMIF(Mercado_Receita!$S$2:$S$379,"44501A4AzulNão se aplicaNão se aplicaNão se aplicaNão se aplicaPonta",Mercado_Receita!$J$2:$J$379)+SUMIF(Mercado_Receita!$S$2:$S$379,"44501A4AzulNão se aplicaNão se aplicaAPENão se aplicaPonta",Mercado_Receita!$J$2:$J$379)</f>
        <v>0</v>
      </c>
      <c r="M2" s="13">
        <f>SUMIF(Mercado_Receita!$S$2:$S$379,"44531A4AzulNão se aplicaNão se aplicaNão se aplicaNão se aplicaPonta",Mercado_Receita!$J$2:$J$379)+SUMIF(Mercado_Receita!$S$2:$S$379,"44531A4AzulNão se aplicaNão se aplicaAPENão se aplicaPonta",Mercado_Receita!$J$2:$J$379)</f>
        <v>0</v>
      </c>
      <c r="N2" s="13">
        <f>SUMIF(Mercado_Receita!$S$2:$S$379,"44562A4AzulNão se aplicaNão se aplicaNão se aplicaNão se aplicaPonta",Mercado_Receita!$J$2:$J$379)+SUMIF(Mercado_Receita!$S$2:$S$379,"44562A4AzulNão se aplicaNão se aplicaAPENão se aplicaPonta",Mercado_Receita!$J$2:$J$379)</f>
        <v>0</v>
      </c>
      <c r="O2" s="13">
        <f>SUMIF(Mercado_Receita!$S$2:$S$379,"44593A4AzulNão se aplicaNão se aplicaNão se aplicaNão se aplicaPonta",Mercado_Receita!$J$2:$J$379)+SUMIF(Mercado_Receita!$S$2:$S$379,"44593A4AzulNão se aplicaNão se aplicaAPENão se aplicaPonta",Mercado_Receita!$J$2:$J$379)</f>
        <v>0</v>
      </c>
      <c r="P2" s="13">
        <f>SUMIF(Mercado_Receita!$S$2:$S$379,"44621A4AzulNão se aplicaNão se aplicaNão se aplicaNão se aplicaPonta",Mercado_Receita!$J$2:$J$379)+SUMIF(Mercado_Receita!$S$2:$S$379,"44621A4AzulNão se aplicaNão se aplicaAPENão se aplicaPonta",Mercado_Receita!$J$2:$J$379)</f>
        <v>0</v>
      </c>
      <c r="Q2" s="13">
        <f>SUMIF(Mercado_Receita!$S$2:$S$379,"44652A4AzulNão se aplicaNão se aplicaNão se aplicaNão se aplicaPonta",Mercado_Receita!$J$2:$J$379)+SUMIF(Mercado_Receita!$S$2:$S$379,"44652A4AzulNão se aplicaNão se aplicaAPENão se aplicaPonta",Mercado_Receita!$J$2:$J$379)</f>
        <v>0</v>
      </c>
      <c r="R2" s="13">
        <f>SUMIF(Mercado_Receita!$S$2:$S$379,"44682A4AzulNão se aplicaNão se aplicaNão se aplicaNão se aplicaPonta",Mercado_Receita!$J$2:$J$379)+SUMIF(Mercado_Receita!$S$2:$S$379,"44682A4AzulNão se aplicaNão se aplicaAPENão se aplicaPonta",Mercado_Receita!$J$2:$J$379)</f>
        <v>0</v>
      </c>
      <c r="S2" s="13">
        <f>SUMIF(Mercado_Receita!$S$2:$S$379,"44713A4AzulNão se aplicaNão se aplicaNão se aplicaNão se aplicaPonta",Mercado_Receita!$J$2:$J$379)+SUMIF(Mercado_Receita!$S$2:$S$379,"44713A4AzulNão se aplicaNão se aplicaAPENão se aplicaPonta",Mercado_Receita!$J$2:$J$379)</f>
        <v>0</v>
      </c>
      <c r="T2" s="13">
        <f>SUMIF(Mercado_Receita!$S$2:$S$379,"44743A4AzulNão se aplicaNão se aplicaNão se aplicaNão se aplicaPonta",Mercado_Receita!$J$2:$J$379)+SUMIF(Mercado_Receita!$S$2:$S$379,"44743A4AzulNão se aplicaNão se aplicaAPENão se aplicaPonta",Mercado_Receita!$J$2:$J$379)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125"/>
      <c r="B3" s="125"/>
      <c r="C3" s="125"/>
      <c r="D3" s="125"/>
      <c r="E3" s="125"/>
      <c r="F3" s="125"/>
      <c r="G3" s="13" t="s">
        <v>76</v>
      </c>
      <c r="H3" s="13" t="s">
        <v>74</v>
      </c>
      <c r="I3" s="13">
        <f>SUMIF(Mercado_Receita!$S$2:$S$379,"44409A4AzulNão se aplicaNão se aplicaNão se aplicaNão se aplicaFora ponta",Mercado_Receita!$J$2:$J$379)+SUMIF(Mercado_Receita!$S$2:$S$379,"44409A4AzulNão se aplicaNão se aplicaAPENão se aplicaFora ponta",Mercado_Receita!$J$2:$J$379)</f>
        <v>0</v>
      </c>
      <c r="J3" s="13">
        <f>SUMIF(Mercado_Receita!$S$2:$S$379,"44440A4AzulNão se aplicaNão se aplicaNão se aplicaNão se aplicaFora ponta",Mercado_Receita!$J$2:$J$379)+SUMIF(Mercado_Receita!$S$2:$S$379,"44440A4AzulNão se aplicaNão se aplicaAPENão se aplicaFora ponta",Mercado_Receita!$J$2:$J$379)</f>
        <v>0</v>
      </c>
      <c r="K3" s="13">
        <f>SUMIF(Mercado_Receita!$S$2:$S$379,"44470A4AzulNão se aplicaNão se aplicaNão se aplicaNão se aplicaFora ponta",Mercado_Receita!$J$2:$J$379)+SUMIF(Mercado_Receita!$S$2:$S$379,"44470A4AzulNão se aplicaNão se aplicaAPENão se aplicaFora ponta",Mercado_Receita!$J$2:$J$379)</f>
        <v>0</v>
      </c>
      <c r="L3" s="13">
        <f>SUMIF(Mercado_Receita!$S$2:$S$379,"44501A4AzulNão se aplicaNão se aplicaNão se aplicaNão se aplicaFora ponta",Mercado_Receita!$J$2:$J$379)+SUMIF(Mercado_Receita!$S$2:$S$379,"44501A4AzulNão se aplicaNão se aplicaAPENão se aplicaFora ponta",Mercado_Receita!$J$2:$J$379)</f>
        <v>0</v>
      </c>
      <c r="M3" s="13">
        <f>SUMIF(Mercado_Receita!$S$2:$S$379,"44531A4AzulNão se aplicaNão se aplicaNão se aplicaNão se aplicaFora ponta",Mercado_Receita!$J$2:$J$379)+SUMIF(Mercado_Receita!$S$2:$S$379,"44531A4AzulNão se aplicaNão se aplicaAPENão se aplicaFora ponta",Mercado_Receita!$J$2:$J$379)</f>
        <v>0</v>
      </c>
      <c r="N3" s="13">
        <f>SUMIF(Mercado_Receita!$S$2:$S$379,"44562A4AzulNão se aplicaNão se aplicaNão se aplicaNão se aplicaFora ponta",Mercado_Receita!$J$2:$J$379)+SUMIF(Mercado_Receita!$S$2:$S$379,"44562A4AzulNão se aplicaNão se aplicaAPENão se aplicaFora ponta",Mercado_Receita!$J$2:$J$379)</f>
        <v>0</v>
      </c>
      <c r="O3" s="13">
        <f>SUMIF(Mercado_Receita!$S$2:$S$379,"44593A4AzulNão se aplicaNão se aplicaNão se aplicaNão se aplicaFora ponta",Mercado_Receita!$J$2:$J$379)+SUMIF(Mercado_Receita!$S$2:$S$379,"44593A4AzulNão se aplicaNão se aplicaAPENão se aplicaFora ponta",Mercado_Receita!$J$2:$J$379)</f>
        <v>0</v>
      </c>
      <c r="P3" s="13">
        <f>SUMIF(Mercado_Receita!$S$2:$S$379,"44621A4AzulNão se aplicaNão se aplicaNão se aplicaNão se aplicaFora ponta",Mercado_Receita!$J$2:$J$379)+SUMIF(Mercado_Receita!$S$2:$S$379,"44621A4AzulNão se aplicaNão se aplicaAPENão se aplicaFora ponta",Mercado_Receita!$J$2:$J$379)</f>
        <v>0</v>
      </c>
      <c r="Q3" s="13">
        <f>SUMIF(Mercado_Receita!$S$2:$S$379,"44652A4AzulNão se aplicaNão se aplicaNão se aplicaNão se aplicaFora ponta",Mercado_Receita!$J$2:$J$379)+SUMIF(Mercado_Receita!$S$2:$S$379,"44652A4AzulNão se aplicaNão se aplicaAPENão se aplicaFora ponta",Mercado_Receita!$J$2:$J$379)</f>
        <v>0</v>
      </c>
      <c r="R3" s="13">
        <f>SUMIF(Mercado_Receita!$S$2:$S$379,"44682A4AzulNão se aplicaNão se aplicaNão se aplicaNão se aplicaFora ponta",Mercado_Receita!$J$2:$J$379)+SUMIF(Mercado_Receita!$S$2:$S$379,"44682A4AzulNão se aplicaNão se aplicaAPENão se aplicaFora ponta",Mercado_Receita!$J$2:$J$379)</f>
        <v>0</v>
      </c>
      <c r="S3" s="13">
        <f>SUMIF(Mercado_Receita!$S$2:$S$379,"44713A4AzulNão se aplicaNão se aplicaNão se aplicaNão se aplicaFora ponta",Mercado_Receita!$J$2:$J$379)+SUMIF(Mercado_Receita!$S$2:$S$379,"44713A4AzulNão se aplicaNão se aplicaAPENão se aplicaFora ponta",Mercado_Receita!$J$2:$J$379)</f>
        <v>0</v>
      </c>
      <c r="T3" s="13">
        <f>SUMIF(Mercado_Receita!$S$2:$S$379,"44743A4AzulNão se aplicaNão se aplicaNão se aplicaNão se aplicaFora ponta",Mercado_Receita!$J$2:$J$379)+SUMIF(Mercado_Receita!$S$2:$S$379,"44743A4AzulNão se aplicaNão se aplicaAPENão se aplicaFora ponta",Mercado_Receita!$J$2:$J$379)</f>
        <v>0</v>
      </c>
      <c r="U3" s="13">
        <f t="shared" si="0"/>
        <v>0</v>
      </c>
      <c r="V3" s="13"/>
      <c r="W3" s="13"/>
    </row>
    <row r="4" spans="1:30" ht="11.25" customHeight="1" x14ac:dyDescent="0.25">
      <c r="A4" s="125"/>
      <c r="B4" s="125"/>
      <c r="C4" s="125"/>
      <c r="D4" s="125"/>
      <c r="E4" s="125"/>
      <c r="F4" s="125"/>
      <c r="G4" s="13" t="s">
        <v>72</v>
      </c>
      <c r="H4" s="13" t="s">
        <v>68</v>
      </c>
      <c r="I4" s="13">
        <f>SUMIF(Mercado_Receita!$S$2:$S$379,"44409A4AzulNão se aplicaNão se aplicaNão se aplicaNão se aplicaPonta",Mercado_Receita!$L$2:$L$379)+SUMIF(Mercado_Receita!$S$2:$S$379,"44409A4AzulNão se aplicaNão se aplicaNão se aplicaNão se aplicaFora ponta",Mercado_Receita!$L$2:$L$379)+SUMIF(Mercado_Receita!$S$2:$S$379,"44409A4AzulNão se aplicaNão se aplicaNão se aplicaNão se aplicaIntermediário",Mercado_Receita!$L$2:$L$379)+SUMIF(Mercado_Receita!$S$2:$S$379,"44409A4AzulNão se aplicaNão se aplicaNão se aplicaNão se aplicaNão se aplica",Mercado_Receita!$L$2:$L$379)</f>
        <v>0</v>
      </c>
      <c r="J4" s="13">
        <f>SUMIF(Mercado_Receita!$S$2:$S$379,"44440A4AzulNão se aplicaNão se aplicaNão se aplicaNão se aplicaPonta",Mercado_Receita!$L$2:$L$379)+SUMIF(Mercado_Receita!$S$2:$S$379,"44440A4AzulNão se aplicaNão se aplicaNão se aplicaNão se aplicaFora ponta",Mercado_Receita!$L$2:$L$379)+SUMIF(Mercado_Receita!$S$2:$S$379,"44440A4AzulNão se aplicaNão se aplicaNão se aplicaNão se aplicaIntermediário",Mercado_Receita!$L$2:$L$379)+SUMIF(Mercado_Receita!$S$2:$S$379,"44440A4AzulNão se aplicaNão se aplicaNão se aplicaNão se aplicaNão se aplica",Mercado_Receita!$L$2:$L$379)</f>
        <v>0</v>
      </c>
      <c r="K4" s="13">
        <f>SUMIF(Mercado_Receita!$S$2:$S$379,"44470A4AzulNão se aplicaNão se aplicaNão se aplicaNão se aplicaPonta",Mercado_Receita!$L$2:$L$379)+SUMIF(Mercado_Receita!$S$2:$S$379,"44470A4AzulNão se aplicaNão se aplicaNão se aplicaNão se aplicaFora ponta",Mercado_Receita!$L$2:$L$379)+SUMIF(Mercado_Receita!$S$2:$S$379,"44470A4AzulNão se aplicaNão se aplicaNão se aplicaNão se aplicaIntermediário",Mercado_Receita!$L$2:$L$379)+SUMIF(Mercado_Receita!$S$2:$S$379,"44470A4AzulNão se aplicaNão se aplicaNão se aplicaNão se aplicaNão se aplica",Mercado_Receita!$L$2:$L$379)</f>
        <v>0</v>
      </c>
      <c r="L4" s="13">
        <f>SUMIF(Mercado_Receita!$S$2:$S$379,"44501A4AzulNão se aplicaNão se aplicaNão se aplicaNão se aplicaPonta",Mercado_Receita!$L$2:$L$379)+SUMIF(Mercado_Receita!$S$2:$S$379,"44501A4AzulNão se aplicaNão se aplicaNão se aplicaNão se aplicaFora ponta",Mercado_Receita!$L$2:$L$379)+SUMIF(Mercado_Receita!$S$2:$S$379,"44501A4AzulNão se aplicaNão se aplicaNão se aplicaNão se aplicaIntermediário",Mercado_Receita!$L$2:$L$379)+SUMIF(Mercado_Receita!$S$2:$S$379,"44501A4AzulNão se aplicaNão se aplicaNão se aplicaNão se aplicaNão se aplica",Mercado_Receita!$L$2:$L$379)</f>
        <v>0</v>
      </c>
      <c r="M4" s="13">
        <f>SUMIF(Mercado_Receita!$S$2:$S$379,"44531A4AzulNão se aplicaNão se aplicaNão se aplicaNão se aplicaPonta",Mercado_Receita!$L$2:$L$379)+SUMIF(Mercado_Receita!$S$2:$S$379,"44531A4AzulNão se aplicaNão se aplicaNão se aplicaNão se aplicaFora ponta",Mercado_Receita!$L$2:$L$379)+SUMIF(Mercado_Receita!$S$2:$S$379,"44531A4AzulNão se aplicaNão se aplicaNão se aplicaNão se aplicaIntermediário",Mercado_Receita!$L$2:$L$379)+SUMIF(Mercado_Receita!$S$2:$S$379,"44531A4AzulNão se aplicaNão se aplicaNão se aplicaNão se aplicaNão se aplica",Mercado_Receita!$L$2:$L$379)</f>
        <v>0</v>
      </c>
      <c r="N4" s="13">
        <f>SUMIF(Mercado_Receita!$S$2:$S$379,"44562A4AzulNão se aplicaNão se aplicaNão se aplicaNão se aplicaPonta",Mercado_Receita!$L$2:$L$379)+SUMIF(Mercado_Receita!$S$2:$S$379,"44562A4AzulNão se aplicaNão se aplicaNão se aplicaNão se aplicaFora ponta",Mercado_Receita!$L$2:$L$379)+SUMIF(Mercado_Receita!$S$2:$S$379,"44562A4AzulNão se aplicaNão se aplicaNão se aplicaNão se aplicaIntermediário",Mercado_Receita!$L$2:$L$379)+SUMIF(Mercado_Receita!$S$2:$S$379,"44562A4AzulNão se aplicaNão se aplicaNão se aplicaNão se aplicaNão se aplica",Mercado_Receita!$L$2:$L$379)</f>
        <v>0</v>
      </c>
      <c r="O4" s="13">
        <f>SUMIF(Mercado_Receita!$S$2:$S$379,"44593A4AzulNão se aplicaNão se aplicaNão se aplicaNão se aplicaPonta",Mercado_Receita!$L$2:$L$379)+SUMIF(Mercado_Receita!$S$2:$S$379,"44593A4AzulNão se aplicaNão se aplicaNão se aplicaNão se aplicaFora ponta",Mercado_Receita!$L$2:$L$379)+SUMIF(Mercado_Receita!$S$2:$S$379,"44593A4AzulNão se aplicaNão se aplicaNão se aplicaNão se aplicaIntermediário",Mercado_Receita!$L$2:$L$379)+SUMIF(Mercado_Receita!$S$2:$S$379,"44593A4AzulNão se aplicaNão se aplicaNão se aplicaNão se aplicaNão se aplica",Mercado_Receita!$L$2:$L$379)</f>
        <v>0</v>
      </c>
      <c r="P4" s="13">
        <f>SUMIF(Mercado_Receita!$S$2:$S$379,"44621A4AzulNão se aplicaNão se aplicaNão se aplicaNão se aplicaPonta",Mercado_Receita!$L$2:$L$379)+SUMIF(Mercado_Receita!$S$2:$S$379,"44621A4AzulNão se aplicaNão se aplicaNão se aplicaNão se aplicaFora ponta",Mercado_Receita!$L$2:$L$379)+SUMIF(Mercado_Receita!$S$2:$S$379,"44621A4AzulNão se aplicaNão se aplicaNão se aplicaNão se aplicaIntermediário",Mercado_Receita!$L$2:$L$379)+SUMIF(Mercado_Receita!$S$2:$S$379,"44621A4AzulNão se aplicaNão se aplicaNão se aplicaNão se aplicaNão se aplica",Mercado_Receita!$L$2:$L$379)</f>
        <v>0</v>
      </c>
      <c r="Q4" s="13">
        <f>SUMIF(Mercado_Receita!$S$2:$S$379,"44652A4AzulNão se aplicaNão se aplicaNão se aplicaNão se aplicaPonta",Mercado_Receita!$L$2:$L$379)+SUMIF(Mercado_Receita!$S$2:$S$379,"44652A4AzulNão se aplicaNão se aplicaNão se aplicaNão se aplicaFora ponta",Mercado_Receita!$L$2:$L$379)+SUMIF(Mercado_Receita!$S$2:$S$379,"44652A4AzulNão se aplicaNão se aplicaNão se aplicaNão se aplicaIntermediário",Mercado_Receita!$L$2:$L$379)+SUMIF(Mercado_Receita!$S$2:$S$379,"44652A4AzulNão se aplicaNão se aplicaNão se aplicaNão se aplicaNão se aplica",Mercado_Receita!$L$2:$L$379)</f>
        <v>0</v>
      </c>
      <c r="R4" s="13">
        <f>SUMIF(Mercado_Receita!$S$2:$S$379,"44682A4AzulNão se aplicaNão se aplicaNão se aplicaNão se aplicaPonta",Mercado_Receita!$L$2:$L$379)+SUMIF(Mercado_Receita!$S$2:$S$379,"44682A4AzulNão se aplicaNão se aplicaNão se aplicaNão se aplicaFora ponta",Mercado_Receita!$L$2:$L$379)+SUMIF(Mercado_Receita!$S$2:$S$379,"44682A4AzulNão se aplicaNão se aplicaNão se aplicaNão se aplicaIntermediário",Mercado_Receita!$L$2:$L$379)+SUMIF(Mercado_Receita!$S$2:$S$379,"44682A4AzulNão se aplicaNão se aplicaNão se aplicaNão se aplicaNão se aplica",Mercado_Receita!$L$2:$L$379)</f>
        <v>0</v>
      </c>
      <c r="S4" s="13">
        <f>SUMIF(Mercado_Receita!$S$2:$S$379,"44713A4AzulNão se aplicaNão se aplicaNão se aplicaNão se aplicaPonta",Mercado_Receita!$L$2:$L$379)+SUMIF(Mercado_Receita!$S$2:$S$379,"44713A4AzulNão se aplicaNão se aplicaNão se aplicaNão se aplicaFora ponta",Mercado_Receita!$L$2:$L$379)+SUMIF(Mercado_Receita!$S$2:$S$379,"44713A4AzulNão se aplicaNão se aplicaNão se aplicaNão se aplicaIntermediário",Mercado_Receita!$L$2:$L$379)+SUMIF(Mercado_Receita!$S$2:$S$379,"44713A4AzulNão se aplicaNão se aplicaNão se aplicaNão se aplicaNão se aplica",Mercado_Receita!$L$2:$L$379)</f>
        <v>0</v>
      </c>
      <c r="T4" s="13">
        <f>SUMIF(Mercado_Receita!$S$2:$S$379,"44743A4AzulNão se aplicaNão se aplicaNão se aplicaNão se aplicaPonta",Mercado_Receita!$L$2:$L$379)+SUMIF(Mercado_Receita!$S$2:$S$379,"44743A4AzulNão se aplicaNão se aplicaNão se aplicaNão se aplicaFora ponta",Mercado_Receita!$L$2:$L$379)+SUMIF(Mercado_Receita!$S$2:$S$379,"44743A4AzulNão se aplicaNão se aplicaNão se aplicaNão se aplicaIntermediário",Mercado_Receita!$L$2:$L$379)+SUMIF(Mercado_Receita!$S$2:$S$379,"44743A4AzulNão se aplicaNão se aplicaNão se aplicaNão se aplicaNão se aplica",Mercado_Receita!$L$2:$L$379)</f>
        <v>0</v>
      </c>
      <c r="U4" s="13">
        <f t="shared" si="0"/>
        <v>0</v>
      </c>
      <c r="V4" s="13"/>
      <c r="W4" s="13"/>
    </row>
    <row r="5" spans="1:30" ht="11.25" customHeight="1" x14ac:dyDescent="0.25">
      <c r="A5" s="125"/>
      <c r="B5" s="125"/>
      <c r="C5" s="125"/>
      <c r="D5" s="125"/>
      <c r="E5" s="12" t="s">
        <v>77</v>
      </c>
      <c r="F5" s="12" t="s">
        <v>25</v>
      </c>
      <c r="G5" s="13" t="s">
        <v>72</v>
      </c>
      <c r="H5" s="13" t="s">
        <v>68</v>
      </c>
      <c r="I5" s="13">
        <f>SUMIF(Mercado_Receita!$S$2:$S$379,"44409A4AzulNão se aplicaNão se aplicaAPENão se aplicaPonta",Mercado_Receita!$L$2:$L$379)+SUMIF(Mercado_Receita!$S$2:$S$379,"44409A4AzulNão se aplicaNão se aplicaAPENão se aplicaFora ponta",Mercado_Receita!$L$2:$L$379)+SUMIF(Mercado_Receita!$S$2:$S$379,"44409A4AzulNão se aplicaNão se aplicaAPENão se aplicaIntermediário",Mercado_Receita!$L$2:$L$379)+SUMIF(Mercado_Receita!$S$2:$S$379,"44409A4AzulNão se aplicaNão se aplicaAPENão se aplicaNão se aplica",Mercado_Receita!$L$2:$L$379)</f>
        <v>0</v>
      </c>
      <c r="J5" s="13">
        <f>SUMIF(Mercado_Receita!$S$2:$S$379,"44440A4AzulNão se aplicaNão se aplicaAPENão se aplicaPonta",Mercado_Receita!$L$2:$L$379)+SUMIF(Mercado_Receita!$S$2:$S$379,"44440A4AzulNão se aplicaNão se aplicaAPENão se aplicaFora ponta",Mercado_Receita!$L$2:$L$379)+SUMIF(Mercado_Receita!$S$2:$S$379,"44440A4AzulNão se aplicaNão se aplicaAPENão se aplicaIntermediário",Mercado_Receita!$L$2:$L$379)+SUMIF(Mercado_Receita!$S$2:$S$379,"44440A4AzulNão se aplicaNão se aplicaAPENão se aplicaNão se aplica",Mercado_Receita!$L$2:$L$379)</f>
        <v>0</v>
      </c>
      <c r="K5" s="13">
        <f>SUMIF(Mercado_Receita!$S$2:$S$379,"44470A4AzulNão se aplicaNão se aplicaAPENão se aplicaPonta",Mercado_Receita!$L$2:$L$379)+SUMIF(Mercado_Receita!$S$2:$S$379,"44470A4AzulNão se aplicaNão se aplicaAPENão se aplicaFora ponta",Mercado_Receita!$L$2:$L$379)+SUMIF(Mercado_Receita!$S$2:$S$379,"44470A4AzulNão se aplicaNão se aplicaAPENão se aplicaIntermediário",Mercado_Receita!$L$2:$L$379)+SUMIF(Mercado_Receita!$S$2:$S$379,"44470A4AzulNão se aplicaNão se aplicaAPENão se aplicaNão se aplica",Mercado_Receita!$L$2:$L$379)</f>
        <v>0</v>
      </c>
      <c r="L5" s="13">
        <f>SUMIF(Mercado_Receita!$S$2:$S$379,"44501A4AzulNão se aplicaNão se aplicaAPENão se aplicaPonta",Mercado_Receita!$L$2:$L$379)+SUMIF(Mercado_Receita!$S$2:$S$379,"44501A4AzulNão se aplicaNão se aplicaAPENão se aplicaFora ponta",Mercado_Receita!$L$2:$L$379)+SUMIF(Mercado_Receita!$S$2:$S$379,"44501A4AzulNão se aplicaNão se aplicaAPENão se aplicaIntermediário",Mercado_Receita!$L$2:$L$379)+SUMIF(Mercado_Receita!$S$2:$S$379,"44501A4AzulNão se aplicaNão se aplicaAPENão se aplicaNão se aplica",Mercado_Receita!$L$2:$L$379)</f>
        <v>0</v>
      </c>
      <c r="M5" s="13">
        <f>SUMIF(Mercado_Receita!$S$2:$S$379,"44531A4AzulNão se aplicaNão se aplicaAPENão se aplicaPonta",Mercado_Receita!$L$2:$L$379)+SUMIF(Mercado_Receita!$S$2:$S$379,"44531A4AzulNão se aplicaNão se aplicaAPENão se aplicaFora ponta",Mercado_Receita!$L$2:$L$379)+SUMIF(Mercado_Receita!$S$2:$S$379,"44531A4AzulNão se aplicaNão se aplicaAPENão se aplicaIntermediário",Mercado_Receita!$L$2:$L$379)+SUMIF(Mercado_Receita!$S$2:$S$379,"44531A4AzulNão se aplicaNão se aplicaAPENão se aplicaNão se aplica",Mercado_Receita!$L$2:$L$379)</f>
        <v>0</v>
      </c>
      <c r="N5" s="13">
        <f>SUMIF(Mercado_Receita!$S$2:$S$379,"44562A4AzulNão se aplicaNão se aplicaAPENão se aplicaPonta",Mercado_Receita!$L$2:$L$379)+SUMIF(Mercado_Receita!$S$2:$S$379,"44562A4AzulNão se aplicaNão se aplicaAPENão se aplicaFora ponta",Mercado_Receita!$L$2:$L$379)+SUMIF(Mercado_Receita!$S$2:$S$379,"44562A4AzulNão se aplicaNão se aplicaAPENão se aplicaIntermediário",Mercado_Receita!$L$2:$L$379)+SUMIF(Mercado_Receita!$S$2:$S$379,"44562A4AzulNão se aplicaNão se aplicaAPENão se aplicaNão se aplica",Mercado_Receita!$L$2:$L$379)</f>
        <v>0</v>
      </c>
      <c r="O5" s="13">
        <f>SUMIF(Mercado_Receita!$S$2:$S$379,"44593A4AzulNão se aplicaNão se aplicaAPENão se aplicaPonta",Mercado_Receita!$L$2:$L$379)+SUMIF(Mercado_Receita!$S$2:$S$379,"44593A4AzulNão se aplicaNão se aplicaAPENão se aplicaFora ponta",Mercado_Receita!$L$2:$L$379)+SUMIF(Mercado_Receita!$S$2:$S$379,"44593A4AzulNão se aplicaNão se aplicaAPENão se aplicaIntermediário",Mercado_Receita!$L$2:$L$379)+SUMIF(Mercado_Receita!$S$2:$S$379,"44593A4AzulNão se aplicaNão se aplicaAPENão se aplicaNão se aplica",Mercado_Receita!$L$2:$L$379)</f>
        <v>0</v>
      </c>
      <c r="P5" s="13">
        <f>SUMIF(Mercado_Receita!$S$2:$S$379,"44621A4AzulNão se aplicaNão se aplicaAPENão se aplicaPonta",Mercado_Receita!$L$2:$L$379)+SUMIF(Mercado_Receita!$S$2:$S$379,"44621A4AzulNão se aplicaNão se aplicaAPENão se aplicaFora ponta",Mercado_Receita!$L$2:$L$379)+SUMIF(Mercado_Receita!$S$2:$S$379,"44621A4AzulNão se aplicaNão se aplicaAPENão se aplicaIntermediário",Mercado_Receita!$L$2:$L$379)+SUMIF(Mercado_Receita!$S$2:$S$379,"44621A4AzulNão se aplicaNão se aplicaAPENão se aplicaNão se aplica",Mercado_Receita!$L$2:$L$379)</f>
        <v>0</v>
      </c>
      <c r="Q5" s="13">
        <f>SUMIF(Mercado_Receita!$S$2:$S$379,"44652A4AzulNão se aplicaNão se aplicaAPENão se aplicaPonta",Mercado_Receita!$L$2:$L$379)+SUMIF(Mercado_Receita!$S$2:$S$379,"44652A4AzulNão se aplicaNão se aplicaAPENão se aplicaFora ponta",Mercado_Receita!$L$2:$L$379)+SUMIF(Mercado_Receita!$S$2:$S$379,"44652A4AzulNão se aplicaNão se aplicaAPENão se aplicaIntermediário",Mercado_Receita!$L$2:$L$379)+SUMIF(Mercado_Receita!$S$2:$S$379,"44652A4AzulNão se aplicaNão se aplicaAPENão se aplicaNão se aplica",Mercado_Receita!$L$2:$L$379)</f>
        <v>0</v>
      </c>
      <c r="R5" s="13">
        <f>SUMIF(Mercado_Receita!$S$2:$S$379,"44682A4AzulNão se aplicaNão se aplicaAPENão se aplicaPonta",Mercado_Receita!$L$2:$L$379)+SUMIF(Mercado_Receita!$S$2:$S$379,"44682A4AzulNão se aplicaNão se aplicaAPENão se aplicaFora ponta",Mercado_Receita!$L$2:$L$379)+SUMIF(Mercado_Receita!$S$2:$S$379,"44682A4AzulNão se aplicaNão se aplicaAPENão se aplicaIntermediário",Mercado_Receita!$L$2:$L$379)+SUMIF(Mercado_Receita!$S$2:$S$379,"44682A4AzulNão se aplicaNão se aplicaAPENão se aplicaNão se aplica",Mercado_Receita!$L$2:$L$379)</f>
        <v>0</v>
      </c>
      <c r="S5" s="13">
        <f>SUMIF(Mercado_Receita!$S$2:$S$379,"44713A4AzulNão se aplicaNão se aplicaAPENão se aplicaPonta",Mercado_Receita!$L$2:$L$379)+SUMIF(Mercado_Receita!$S$2:$S$379,"44713A4AzulNão se aplicaNão se aplicaAPENão se aplicaFora ponta",Mercado_Receita!$L$2:$L$379)+SUMIF(Mercado_Receita!$S$2:$S$379,"44713A4AzulNão se aplicaNão se aplicaAPENão se aplicaIntermediário",Mercado_Receita!$L$2:$L$379)+SUMIF(Mercado_Receita!$S$2:$S$379,"44713A4AzulNão se aplicaNão se aplicaAPENão se aplicaNão se aplica",Mercado_Receita!$L$2:$L$379)</f>
        <v>0</v>
      </c>
      <c r="T5" s="13">
        <f>SUMIF(Mercado_Receita!$S$2:$S$379,"44743A4AzulNão se aplicaNão se aplicaAPENão se aplicaPonta",Mercado_Receita!$L$2:$L$379)+SUMIF(Mercado_Receita!$S$2:$S$379,"44743A4AzulNão se aplicaNão se aplicaAPENão se aplicaFora ponta",Mercado_Receita!$L$2:$L$379)+SUMIF(Mercado_Receita!$S$2:$S$379,"44743A4AzulNão se aplicaNão se aplicaAPENão se aplicaIntermediário",Mercado_Receita!$L$2:$L$379)+SUMIF(Mercado_Receita!$S$2:$S$379,"44743A4AzulNão se aplicaNão se aplicaAPENão se aplicaNão se aplica",Mercado_Receita!$L$2:$L$379)</f>
        <v>0</v>
      </c>
      <c r="U5" s="13">
        <f t="shared" si="0"/>
        <v>0</v>
      </c>
      <c r="V5" s="13"/>
      <c r="W5" s="13"/>
    </row>
    <row r="6" spans="1:30" ht="11.25" customHeight="1" x14ac:dyDescent="0.25">
      <c r="A6" s="125"/>
      <c r="B6" s="12" t="s">
        <v>78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74</v>
      </c>
      <c r="I6" s="13">
        <f>SUMIF(Mercado_Receita!$S$2:$S$379,"44409A4GeraçãoNão se aplicaNão se aplicaNão se aplicaNão se aplicaNão se aplica",Mercado_Receita!$J$2:$J$379)+SUMIF(Mercado_Receita!$S$2:$S$379,"44409A4GeraçãoNão se aplicaNão se aplicaAPENão se aplicaNão se aplica",Mercado_Receita!$J$2:$J$379)</f>
        <v>0</v>
      </c>
      <c r="J6" s="13">
        <f>SUMIF(Mercado_Receita!$S$2:$S$379,"44440A4GeraçãoNão se aplicaNão se aplicaNão se aplicaNão se aplicaNão se aplica",Mercado_Receita!$J$2:$J$379)+SUMIF(Mercado_Receita!$S$2:$S$379,"44440A4GeraçãoNão se aplicaNão se aplicaAPENão se aplicaNão se aplica",Mercado_Receita!$J$2:$J$379)</f>
        <v>0</v>
      </c>
      <c r="K6" s="13">
        <f>SUMIF(Mercado_Receita!$S$2:$S$379,"44470A4GeraçãoNão se aplicaNão se aplicaNão se aplicaNão se aplicaNão se aplica",Mercado_Receita!$J$2:$J$379)+SUMIF(Mercado_Receita!$S$2:$S$379,"44470A4GeraçãoNão se aplicaNão se aplicaAPENão se aplicaNão se aplica",Mercado_Receita!$J$2:$J$379)</f>
        <v>0</v>
      </c>
      <c r="L6" s="13">
        <f>SUMIF(Mercado_Receita!$S$2:$S$379,"44501A4GeraçãoNão se aplicaNão se aplicaNão se aplicaNão se aplicaNão se aplica",Mercado_Receita!$J$2:$J$379)+SUMIF(Mercado_Receita!$S$2:$S$379,"44501A4GeraçãoNão se aplicaNão se aplicaAPENão se aplicaNão se aplica",Mercado_Receita!$J$2:$J$379)</f>
        <v>0</v>
      </c>
      <c r="M6" s="13">
        <f>SUMIF(Mercado_Receita!$S$2:$S$379,"44531A4GeraçãoNão se aplicaNão se aplicaNão se aplicaNão se aplicaNão se aplica",Mercado_Receita!$J$2:$J$379)+SUMIF(Mercado_Receita!$S$2:$S$379,"44531A4GeraçãoNão se aplicaNão se aplicaAPENão se aplicaNão se aplica",Mercado_Receita!$J$2:$J$379)</f>
        <v>0</v>
      </c>
      <c r="N6" s="13">
        <f>SUMIF(Mercado_Receita!$S$2:$S$379,"44562A4GeraçãoNão se aplicaNão se aplicaNão se aplicaNão se aplicaNão se aplica",Mercado_Receita!$J$2:$J$379)+SUMIF(Mercado_Receita!$S$2:$S$379,"44562A4GeraçãoNão se aplicaNão se aplicaAPENão se aplicaNão se aplica",Mercado_Receita!$J$2:$J$379)</f>
        <v>0</v>
      </c>
      <c r="O6" s="13">
        <f>SUMIF(Mercado_Receita!$S$2:$S$379,"44593A4GeraçãoNão se aplicaNão se aplicaNão se aplicaNão se aplicaNão se aplica",Mercado_Receita!$J$2:$J$379)+SUMIF(Mercado_Receita!$S$2:$S$379,"44593A4GeraçãoNão se aplicaNão se aplicaAPENão se aplicaNão se aplica",Mercado_Receita!$J$2:$J$379)</f>
        <v>0</v>
      </c>
      <c r="P6" s="13">
        <f>SUMIF(Mercado_Receita!$S$2:$S$379,"44621A4GeraçãoNão se aplicaNão se aplicaNão se aplicaNão se aplicaNão se aplica",Mercado_Receita!$J$2:$J$379)+SUMIF(Mercado_Receita!$S$2:$S$379,"44621A4GeraçãoNão se aplicaNão se aplicaAPENão se aplicaNão se aplica",Mercado_Receita!$J$2:$J$379)</f>
        <v>0</v>
      </c>
      <c r="Q6" s="13">
        <f>SUMIF(Mercado_Receita!$S$2:$S$379,"44652A4GeraçãoNão se aplicaNão se aplicaNão se aplicaNão se aplicaNão se aplica",Mercado_Receita!$J$2:$J$379)+SUMIF(Mercado_Receita!$S$2:$S$379,"44652A4GeraçãoNão se aplicaNão se aplicaAPENão se aplicaNão se aplica",Mercado_Receita!$J$2:$J$379)</f>
        <v>0</v>
      </c>
      <c r="R6" s="13">
        <f>SUMIF(Mercado_Receita!$S$2:$S$379,"44682A4GeraçãoNão se aplicaNão se aplicaNão se aplicaNão se aplicaNão se aplica",Mercado_Receita!$J$2:$J$379)+SUMIF(Mercado_Receita!$S$2:$S$379,"44682A4GeraçãoNão se aplicaNão se aplicaAPENão se aplicaNão se aplica",Mercado_Receita!$J$2:$J$379)</f>
        <v>0</v>
      </c>
      <c r="S6" s="13">
        <f>SUMIF(Mercado_Receita!$S$2:$S$379,"44713A4GeraçãoNão se aplicaNão se aplicaNão se aplicaNão se aplicaNão se aplica",Mercado_Receita!$J$2:$J$379)+SUMIF(Mercado_Receita!$S$2:$S$379,"44713A4GeraçãoNão se aplicaNão se aplicaAPENão se aplicaNão se aplica",Mercado_Receita!$J$2:$J$379)</f>
        <v>0</v>
      </c>
      <c r="T6" s="13">
        <f>SUMIF(Mercado_Receita!$S$2:$S$379,"44743A4GeraçãoNão se aplicaNão se aplicaNão se aplicaNão se aplicaNão se aplica",Mercado_Receita!$J$2:$J$379)+SUMIF(Mercado_Receita!$S$2:$S$379,"44743A4GeraçãoNão se aplicaNão se aplicaAPENão se aplicaNão se aplica",Mercado_Receita!$J$2:$J$379)</f>
        <v>0</v>
      </c>
      <c r="U6" s="13">
        <f t="shared" si="0"/>
        <v>0</v>
      </c>
      <c r="V6" s="13"/>
      <c r="W6" s="13"/>
    </row>
    <row r="7" spans="1:30" ht="11.25" customHeight="1" x14ac:dyDescent="0.25">
      <c r="A7" s="125"/>
      <c r="B7" s="124" t="s">
        <v>35</v>
      </c>
      <c r="C7" s="124" t="s">
        <v>25</v>
      </c>
      <c r="D7" s="124" t="s">
        <v>25</v>
      </c>
      <c r="E7" s="124" t="s">
        <v>25</v>
      </c>
      <c r="F7" s="124" t="s">
        <v>25</v>
      </c>
      <c r="G7" s="13" t="s">
        <v>9</v>
      </c>
      <c r="H7" s="13" t="s">
        <v>74</v>
      </c>
      <c r="I7" s="13">
        <f>SUMIF(Mercado_Receita!$S$2:$S$379,"44409A4VerdeNão se aplicaNão se aplicaNão se aplicaNão se aplicaNão se aplica",Mercado_Receita!$J$2:$J$379)+SUMIF(Mercado_Receita!$S$2:$S$379,"44409A4VerdeNão se aplicaNão se aplicaAPENão se aplicaNão se aplica",Mercado_Receita!$J$2:$J$379)</f>
        <v>2627</v>
      </c>
      <c r="J7" s="13">
        <f>SUMIF(Mercado_Receita!$S$2:$S$379,"44440A4VerdeNão se aplicaNão se aplicaNão se aplicaNão se aplicaNão se aplica",Mercado_Receita!$J$2:$J$379)+SUMIF(Mercado_Receita!$S$2:$S$379,"44440A4VerdeNão se aplicaNão se aplicaAPENão se aplicaNão se aplica",Mercado_Receita!$J$2:$J$379)</f>
        <v>2651</v>
      </c>
      <c r="K7" s="13">
        <f>SUMIF(Mercado_Receita!$S$2:$S$379,"44470A4VerdeNão se aplicaNão se aplicaNão se aplicaNão se aplicaNão se aplica",Mercado_Receita!$J$2:$J$379)+SUMIF(Mercado_Receita!$S$2:$S$379,"44470A4VerdeNão se aplicaNão se aplicaAPENão se aplicaNão se aplica",Mercado_Receita!$J$2:$J$379)</f>
        <v>2435</v>
      </c>
      <c r="L7" s="13">
        <f>SUMIF(Mercado_Receita!$S$2:$S$379,"44501A4VerdeNão se aplicaNão se aplicaNão se aplicaNão se aplicaNão se aplica",Mercado_Receita!$J$2:$J$379)+SUMIF(Mercado_Receita!$S$2:$S$379,"44501A4VerdeNão se aplicaNão se aplicaAPENão se aplicaNão se aplica",Mercado_Receita!$J$2:$J$379)</f>
        <v>2591</v>
      </c>
      <c r="M7" s="13">
        <f>SUMIF(Mercado_Receita!$S$2:$S$379,"44531A4VerdeNão se aplicaNão se aplicaNão se aplicaNão se aplicaNão se aplica",Mercado_Receita!$J$2:$J$379)+SUMIF(Mercado_Receita!$S$2:$S$379,"44531A4VerdeNão se aplicaNão se aplicaAPENão se aplicaNão se aplica",Mercado_Receita!$J$2:$J$379)</f>
        <v>2801</v>
      </c>
      <c r="N7" s="13">
        <f>SUMIF(Mercado_Receita!$S$2:$S$379,"44562A4VerdeNão se aplicaNão se aplicaNão se aplicaNão se aplicaNão se aplica",Mercado_Receita!$J$2:$J$379)+SUMIF(Mercado_Receita!$S$2:$S$379,"44562A4VerdeNão se aplicaNão se aplicaAPENão se aplicaNão se aplica",Mercado_Receita!$J$2:$J$379)</f>
        <v>2547</v>
      </c>
      <c r="O7" s="13">
        <f>SUMIF(Mercado_Receita!$S$2:$S$379,"44593A4VerdeNão se aplicaNão se aplicaNão se aplicaNão se aplicaNão se aplica",Mercado_Receita!$J$2:$J$379)+SUMIF(Mercado_Receita!$S$2:$S$379,"44593A4VerdeNão se aplicaNão se aplicaAPENão se aplicaNão se aplica",Mercado_Receita!$J$2:$J$379)</f>
        <v>2622</v>
      </c>
      <c r="P7" s="13">
        <f>SUMIF(Mercado_Receita!$S$2:$S$379,"44621A4VerdeNão se aplicaNão se aplicaNão se aplicaNão se aplicaNão se aplica",Mercado_Receita!$J$2:$J$379)+SUMIF(Mercado_Receita!$S$2:$S$379,"44621A4VerdeNão se aplicaNão se aplicaAPENão se aplicaNão se aplica",Mercado_Receita!$J$2:$J$379)</f>
        <v>2666</v>
      </c>
      <c r="Q7" s="13">
        <f>SUMIF(Mercado_Receita!$S$2:$S$379,"44652A4VerdeNão se aplicaNão se aplicaNão se aplicaNão se aplicaNão se aplica",Mercado_Receita!$J$2:$J$379)+SUMIF(Mercado_Receita!$S$2:$S$379,"44652A4VerdeNão se aplicaNão se aplicaAPENão se aplicaNão se aplica",Mercado_Receita!$J$2:$J$379)</f>
        <v>2637</v>
      </c>
      <c r="R7" s="13">
        <f>SUMIF(Mercado_Receita!$S$2:$S$379,"44682A4VerdeNão se aplicaNão se aplicaNão se aplicaNão se aplicaNão se aplica",Mercado_Receita!$J$2:$J$379)+SUMIF(Mercado_Receita!$S$2:$S$379,"44682A4VerdeNão se aplicaNão se aplicaAPENão se aplicaNão se aplica",Mercado_Receita!$J$2:$J$379)</f>
        <v>2646</v>
      </c>
      <c r="S7" s="13">
        <f>SUMIF(Mercado_Receita!$S$2:$S$379,"44713A4VerdeNão se aplicaNão se aplicaNão se aplicaNão se aplicaNão se aplica",Mercado_Receita!$J$2:$J$379)+SUMIF(Mercado_Receita!$S$2:$S$379,"44713A4VerdeNão se aplicaNão se aplicaAPENão se aplicaNão se aplica",Mercado_Receita!$J$2:$J$379)</f>
        <v>2652</v>
      </c>
      <c r="T7" s="13">
        <f>SUMIF(Mercado_Receita!$S$2:$S$379,"44743A4VerdeNão se aplicaNão se aplicaNão se aplicaNão se aplicaNão se aplica",Mercado_Receita!$J$2:$J$379)+SUMIF(Mercado_Receita!$S$2:$S$379,"44743A4VerdeNão se aplicaNão se aplicaAPENão se aplicaNão se aplica",Mercado_Receita!$J$2:$J$379)</f>
        <v>2642</v>
      </c>
      <c r="U7" s="13">
        <f t="shared" si="0"/>
        <v>31517</v>
      </c>
      <c r="V7" s="13"/>
      <c r="W7" s="13"/>
    </row>
    <row r="8" spans="1:30" ht="11.25" customHeight="1" x14ac:dyDescent="0.25">
      <c r="A8" s="125"/>
      <c r="B8" s="125"/>
      <c r="C8" s="125"/>
      <c r="D8" s="125"/>
      <c r="E8" s="125"/>
      <c r="F8" s="125"/>
      <c r="G8" s="13" t="s">
        <v>69</v>
      </c>
      <c r="H8" s="13" t="s">
        <v>68</v>
      </c>
      <c r="I8" s="13">
        <f>SUMIF(Mercado_Receita!$S$2:$S$379,"44409A4VerdeNão se aplicaNão se aplicaNão se aplicaNão se aplicaPonta",Mercado_Receita!$L$2:$L$379)</f>
        <v>49.842999999999996</v>
      </c>
      <c r="J8" s="13">
        <f>SUMIF(Mercado_Receita!$S$2:$S$379,"44440A4VerdeNão se aplicaNão se aplicaNão se aplicaNão se aplicaPonta",Mercado_Receita!$L$2:$L$379)</f>
        <v>45.826000000000008</v>
      </c>
      <c r="K8" s="13">
        <f>SUMIF(Mercado_Receita!$S$2:$S$379,"44470A4VerdeNão se aplicaNão se aplicaNão se aplicaNão se aplicaPonta",Mercado_Receita!$L$2:$L$379)</f>
        <v>45.078000000000003</v>
      </c>
      <c r="L8" s="13">
        <f>SUMIF(Mercado_Receita!$S$2:$S$379,"44501A4VerdeNão se aplicaNão se aplicaNão se aplicaNão se aplicaPonta",Mercado_Receita!$L$2:$L$379)</f>
        <v>55.972999999999999</v>
      </c>
      <c r="M8" s="13">
        <f>SUMIF(Mercado_Receita!$S$2:$S$379,"44531A4VerdeNão se aplicaNão se aplicaNão se aplicaNão se aplicaPonta",Mercado_Receita!$L$2:$L$379)</f>
        <v>58.456000000000003</v>
      </c>
      <c r="N8" s="13">
        <f>SUMIF(Mercado_Receita!$S$2:$S$379,"44562A4VerdeNão se aplicaNão se aplicaNão se aplicaNão se aplicaPonta",Mercado_Receita!$L$2:$L$379)</f>
        <v>56.25</v>
      </c>
      <c r="O8" s="13">
        <f>SUMIF(Mercado_Receita!$S$2:$S$379,"44593A4VerdeNão se aplicaNão se aplicaNão se aplicaNão se aplicaPonta",Mercado_Receita!$L$2:$L$379)</f>
        <v>55.844999999999992</v>
      </c>
      <c r="P8" s="13">
        <f>SUMIF(Mercado_Receita!$S$2:$S$379,"44621A4VerdeNão se aplicaNão se aplicaNão se aplicaNão se aplicaPonta",Mercado_Receita!$L$2:$L$379)</f>
        <v>63.164999999999999</v>
      </c>
      <c r="Q8" s="13">
        <f>SUMIF(Mercado_Receita!$S$2:$S$379,"44652A4VerdeNão se aplicaNão se aplicaNão se aplicaNão se aplicaPonta",Mercado_Receita!$L$2:$L$379)</f>
        <v>50.439</v>
      </c>
      <c r="R8" s="13">
        <f>SUMIF(Mercado_Receita!$S$2:$S$379,"44682A4VerdeNão se aplicaNão se aplicaNão se aplicaNão se aplicaPonta",Mercado_Receita!$L$2:$L$379)</f>
        <v>54.792000000000002</v>
      </c>
      <c r="S8" s="13">
        <f>SUMIF(Mercado_Receita!$S$2:$S$379,"44713A4VerdeNão se aplicaNão se aplicaNão se aplicaNão se aplicaPonta",Mercado_Receita!$L$2:$L$379)</f>
        <v>55.567</v>
      </c>
      <c r="T8" s="13">
        <f>SUMIF(Mercado_Receita!$S$2:$S$379,"44743A4VerdeNão se aplicaNão se aplicaNão se aplicaNão se aplicaPonta",Mercado_Receita!$L$2:$L$379)</f>
        <v>53.719000000000001</v>
      </c>
      <c r="U8" s="13">
        <f t="shared" si="0"/>
        <v>644.95300000000009</v>
      </c>
      <c r="V8" s="13"/>
      <c r="W8" s="13"/>
    </row>
    <row r="9" spans="1:30" ht="11.25" customHeight="1" x14ac:dyDescent="0.25">
      <c r="A9" s="125"/>
      <c r="B9" s="125"/>
      <c r="C9" s="125"/>
      <c r="D9" s="125"/>
      <c r="E9" s="125"/>
      <c r="F9" s="125"/>
      <c r="G9" s="13" t="s">
        <v>70</v>
      </c>
      <c r="H9" s="13" t="s">
        <v>68</v>
      </c>
      <c r="I9" s="13">
        <f>SUMIF(Mercado_Receita!$S$2:$S$379,"44409A4VerdeNão se aplicaNão se aplicaNão se aplicaNão se aplicaFora ponta",Mercado_Receita!$L$2:$L$379)</f>
        <v>621.69200000000001</v>
      </c>
      <c r="J9" s="13">
        <f>SUMIF(Mercado_Receita!$S$2:$S$379,"44440A4VerdeNão se aplicaNão se aplicaNão se aplicaNão se aplicaFora ponta",Mercado_Receita!$L$2:$L$379)</f>
        <v>589.67200000000003</v>
      </c>
      <c r="K9" s="13">
        <f>SUMIF(Mercado_Receita!$S$2:$S$379,"44470A4VerdeNão se aplicaNão se aplicaNão se aplicaNão se aplicaFora ponta",Mercado_Receita!$L$2:$L$379)</f>
        <v>617.12199999999996</v>
      </c>
      <c r="L9" s="13">
        <f>SUMIF(Mercado_Receita!$S$2:$S$379,"44501A4VerdeNão se aplicaNão se aplicaNão se aplicaNão se aplicaFora ponta",Mercado_Receita!$L$2:$L$379)</f>
        <v>742.34999999999991</v>
      </c>
      <c r="M9" s="13">
        <f>SUMIF(Mercado_Receita!$S$2:$S$379,"44531A4VerdeNão se aplicaNão se aplicaNão se aplicaNão se aplicaFora ponta",Mercado_Receita!$L$2:$L$379)</f>
        <v>689.32600000000002</v>
      </c>
      <c r="N9" s="13">
        <f>SUMIF(Mercado_Receita!$S$2:$S$379,"44562A4VerdeNão se aplicaNão se aplicaNão se aplicaNão se aplicaFora ponta",Mercado_Receita!$L$2:$L$379)</f>
        <v>661.89800000000002</v>
      </c>
      <c r="O9" s="13">
        <f>SUMIF(Mercado_Receita!$S$2:$S$379,"44593A4VerdeNão se aplicaNão se aplicaNão se aplicaNão se aplicaFora ponta",Mercado_Receita!$L$2:$L$379)</f>
        <v>669.16599999999994</v>
      </c>
      <c r="P9" s="13">
        <f>SUMIF(Mercado_Receita!$S$2:$S$379,"44621A4VerdeNão se aplicaNão se aplicaNão se aplicaNão se aplicaFora ponta",Mercado_Receita!$L$2:$L$379)</f>
        <v>746.87400000000002</v>
      </c>
      <c r="Q9" s="13">
        <f>SUMIF(Mercado_Receita!$S$2:$S$379,"44652A4VerdeNão se aplicaNão se aplicaNão se aplicaNão se aplicaFora ponta",Mercado_Receita!$L$2:$L$379)</f>
        <v>644.68600000000004</v>
      </c>
      <c r="R9" s="13">
        <f>SUMIF(Mercado_Receita!$S$2:$S$379,"44682A4VerdeNão se aplicaNão se aplicaNão se aplicaNão se aplicaFora ponta",Mercado_Receita!$L$2:$L$379)</f>
        <v>684.80300000000011</v>
      </c>
      <c r="S9" s="13">
        <f>SUMIF(Mercado_Receita!$S$2:$S$379,"44713A4VerdeNão se aplicaNão se aplicaNão se aplicaNão se aplicaFora ponta",Mercado_Receita!$L$2:$L$379)</f>
        <v>678.7</v>
      </c>
      <c r="T9" s="13">
        <f>SUMIF(Mercado_Receita!$S$2:$S$379,"44743A4VerdeNão se aplicaNão se aplicaNão se aplicaNão se aplicaFora ponta",Mercado_Receita!$L$2:$L$379)</f>
        <v>690.15899999999999</v>
      </c>
      <c r="U9" s="13">
        <f t="shared" si="0"/>
        <v>8036.4479999999985</v>
      </c>
      <c r="V9" s="13"/>
      <c r="W9" s="13"/>
    </row>
    <row r="10" spans="1:30" ht="11.25" customHeight="1" x14ac:dyDescent="0.25">
      <c r="A10" s="125"/>
      <c r="B10" s="125"/>
      <c r="C10" s="125"/>
      <c r="D10" s="125"/>
      <c r="E10" s="124" t="s">
        <v>77</v>
      </c>
      <c r="F10" s="124" t="s">
        <v>25</v>
      </c>
      <c r="G10" s="13" t="s">
        <v>69</v>
      </c>
      <c r="H10" s="13" t="s">
        <v>68</v>
      </c>
      <c r="I10" s="13">
        <f>SUMIF(Mercado_Receita!$S$2:$S$379,"44409A4VerdeNão se aplicaNão se aplicaAPENão se aplicaPonta",Mercado_Receita!$L$2:$L$379)</f>
        <v>0</v>
      </c>
      <c r="J10" s="13">
        <f>SUMIF(Mercado_Receita!$S$2:$S$379,"44440A4VerdeNão se aplicaNão se aplicaAPENão se aplicaPonta",Mercado_Receita!$L$2:$L$379)</f>
        <v>0</v>
      </c>
      <c r="K10" s="13">
        <f>SUMIF(Mercado_Receita!$S$2:$S$379,"44470A4VerdeNão se aplicaNão se aplicaAPENão se aplicaPonta",Mercado_Receita!$L$2:$L$379)</f>
        <v>0</v>
      </c>
      <c r="L10" s="13">
        <f>SUMIF(Mercado_Receita!$S$2:$S$379,"44501A4VerdeNão se aplicaNão se aplicaAPENão se aplicaPonta",Mercado_Receita!$L$2:$L$379)</f>
        <v>0</v>
      </c>
      <c r="M10" s="13">
        <f>SUMIF(Mercado_Receita!$S$2:$S$379,"44531A4VerdeNão se aplicaNão se aplicaAPENão se aplicaPonta",Mercado_Receita!$L$2:$L$379)</f>
        <v>0</v>
      </c>
      <c r="N10" s="13">
        <f>SUMIF(Mercado_Receita!$S$2:$S$379,"44562A4VerdeNão se aplicaNão se aplicaAPENão se aplicaPonta",Mercado_Receita!$L$2:$L$379)</f>
        <v>0</v>
      </c>
      <c r="O10" s="13">
        <f>SUMIF(Mercado_Receita!$S$2:$S$379,"44593A4VerdeNão se aplicaNão se aplicaAPENão se aplicaPonta",Mercado_Receita!$L$2:$L$379)</f>
        <v>0</v>
      </c>
      <c r="P10" s="13">
        <f>SUMIF(Mercado_Receita!$S$2:$S$379,"44621A4VerdeNão se aplicaNão se aplicaAPENão se aplicaPonta",Mercado_Receita!$L$2:$L$379)</f>
        <v>0</v>
      </c>
      <c r="Q10" s="13">
        <f>SUMIF(Mercado_Receita!$S$2:$S$379,"44652A4VerdeNão se aplicaNão se aplicaAPENão se aplicaPonta",Mercado_Receita!$L$2:$L$379)</f>
        <v>0</v>
      </c>
      <c r="R10" s="13">
        <f>SUMIF(Mercado_Receita!$S$2:$S$379,"44682A4VerdeNão se aplicaNão se aplicaAPENão se aplicaPonta",Mercado_Receita!$L$2:$L$379)</f>
        <v>0</v>
      </c>
      <c r="S10" s="13">
        <f>SUMIF(Mercado_Receita!$S$2:$S$379,"44713A4VerdeNão se aplicaNão se aplicaAPENão se aplicaPonta",Mercado_Receita!$L$2:$L$379)</f>
        <v>0</v>
      </c>
      <c r="T10" s="13">
        <f>SUMIF(Mercado_Receita!$S$2:$S$379,"44743A4VerdeNão se aplicaNão se aplicaAPENão se aplicaPonta",Mercado_Receita!$L$2:$L$379)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125"/>
      <c r="B11" s="125"/>
      <c r="C11" s="125"/>
      <c r="D11" s="125"/>
      <c r="E11" s="125"/>
      <c r="F11" s="125"/>
      <c r="G11" s="13" t="s">
        <v>70</v>
      </c>
      <c r="H11" s="13" t="s">
        <v>68</v>
      </c>
      <c r="I11" s="13">
        <f>SUMIF(Mercado_Receita!$S$2:$S$379,"44409A4VerdeNão se aplicaNão se aplicaAPENão se aplicaFora ponta",Mercado_Receita!$L$2:$L$379)</f>
        <v>0</v>
      </c>
      <c r="J11" s="13">
        <f>SUMIF(Mercado_Receita!$S$2:$S$379,"44440A4VerdeNão se aplicaNão se aplicaAPENão se aplicaFora ponta",Mercado_Receita!$L$2:$L$379)</f>
        <v>0</v>
      </c>
      <c r="K11" s="13">
        <f>SUMIF(Mercado_Receita!$S$2:$S$379,"44470A4VerdeNão se aplicaNão se aplicaAPENão se aplicaFora ponta",Mercado_Receita!$L$2:$L$379)</f>
        <v>0</v>
      </c>
      <c r="L11" s="13">
        <f>SUMIF(Mercado_Receita!$S$2:$S$379,"44501A4VerdeNão se aplicaNão se aplicaAPENão se aplicaFora ponta",Mercado_Receita!$L$2:$L$379)</f>
        <v>0</v>
      </c>
      <c r="M11" s="13">
        <f>SUMIF(Mercado_Receita!$S$2:$S$379,"44531A4VerdeNão se aplicaNão se aplicaAPENão se aplicaFora ponta",Mercado_Receita!$L$2:$L$379)</f>
        <v>0</v>
      </c>
      <c r="N11" s="13">
        <f>SUMIF(Mercado_Receita!$S$2:$S$379,"44562A4VerdeNão se aplicaNão se aplicaAPENão se aplicaFora ponta",Mercado_Receita!$L$2:$L$379)</f>
        <v>0</v>
      </c>
      <c r="O11" s="13">
        <f>SUMIF(Mercado_Receita!$S$2:$S$379,"44593A4VerdeNão se aplicaNão se aplicaAPENão se aplicaFora ponta",Mercado_Receita!$L$2:$L$379)</f>
        <v>0</v>
      </c>
      <c r="P11" s="13">
        <f>SUMIF(Mercado_Receita!$S$2:$S$379,"44621A4VerdeNão se aplicaNão se aplicaAPENão se aplicaFora ponta",Mercado_Receita!$L$2:$L$379)</f>
        <v>0</v>
      </c>
      <c r="Q11" s="13">
        <f>SUMIF(Mercado_Receita!$S$2:$S$379,"44652A4VerdeNão se aplicaNão se aplicaAPENão se aplicaFora ponta",Mercado_Receita!$L$2:$L$379)</f>
        <v>0</v>
      </c>
      <c r="R11" s="13">
        <f>SUMIF(Mercado_Receita!$S$2:$S$379,"44682A4VerdeNão se aplicaNão se aplicaAPENão se aplicaFora ponta",Mercado_Receita!$L$2:$L$379)</f>
        <v>0</v>
      </c>
      <c r="S11" s="13">
        <f>SUMIF(Mercado_Receita!$S$2:$S$379,"44713A4VerdeNão se aplicaNão se aplicaAPENão se aplicaFora ponta",Mercado_Receita!$L$2:$L$379)</f>
        <v>0</v>
      </c>
      <c r="T11" s="13">
        <f>SUMIF(Mercado_Receita!$S$2:$S$379,"44743A4VerdeNão se aplicaNão se aplicaAPENão se aplicaFora ponta",Mercado_Receita!$L$2:$L$379)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124" t="s">
        <v>79</v>
      </c>
      <c r="B12" s="124" t="s">
        <v>78</v>
      </c>
      <c r="C12" s="124" t="s">
        <v>25</v>
      </c>
      <c r="D12" s="124" t="s">
        <v>25</v>
      </c>
      <c r="E12" s="12" t="s">
        <v>80</v>
      </c>
      <c r="F12" s="12" t="s">
        <v>25</v>
      </c>
      <c r="G12" s="13" t="s">
        <v>9</v>
      </c>
      <c r="H12" s="13" t="s">
        <v>74</v>
      </c>
      <c r="I12" s="13">
        <f>SUMIF(Mercado_Receita!$S$2:$S$379,"44409BGeraçãoNão se aplicaNão se aplicaTIPO 01Não se aplicaNão se aplica",Mercado_Receita!$J$2:$J$379)+SUMIF(Mercado_Receita!$S$2:$S$379,"44409BGeraçãoNão se aplicaNão se aplicaAPENão se aplicaNão se aplica",Mercado_Receita!$J$2:$J$379)</f>
        <v>0</v>
      </c>
      <c r="J12" s="13">
        <f>SUMIF(Mercado_Receita!$S$2:$S$379,"44440BGeraçãoNão se aplicaNão se aplicaTIPO 01Não se aplicaNão se aplica",Mercado_Receita!$J$2:$J$379)+SUMIF(Mercado_Receita!$S$2:$S$379,"44440BGeraçãoNão se aplicaNão se aplicaAPENão se aplicaNão se aplica",Mercado_Receita!$J$2:$J$379)</f>
        <v>0</v>
      </c>
      <c r="K12" s="13">
        <f>SUMIF(Mercado_Receita!$S$2:$S$379,"44470BGeraçãoNão se aplicaNão se aplicaTIPO 01Não se aplicaNão se aplica",Mercado_Receita!$J$2:$J$379)+SUMIF(Mercado_Receita!$S$2:$S$379,"44470BGeraçãoNão se aplicaNão se aplicaAPENão se aplicaNão se aplica",Mercado_Receita!$J$2:$J$379)</f>
        <v>0</v>
      </c>
      <c r="L12" s="13">
        <f>SUMIF(Mercado_Receita!$S$2:$S$379,"44501BGeraçãoNão se aplicaNão se aplicaTIPO 01Não se aplicaNão se aplica",Mercado_Receita!$J$2:$J$379)+SUMIF(Mercado_Receita!$S$2:$S$379,"44501BGeraçãoNão se aplicaNão se aplicaAPENão se aplicaNão se aplica",Mercado_Receita!$J$2:$J$379)</f>
        <v>0</v>
      </c>
      <c r="M12" s="13">
        <f>SUMIF(Mercado_Receita!$S$2:$S$379,"44531BGeraçãoNão se aplicaNão se aplicaTIPO 01Não se aplicaNão se aplica",Mercado_Receita!$J$2:$J$379)+SUMIF(Mercado_Receita!$S$2:$S$379,"44531BGeraçãoNão se aplicaNão se aplicaAPENão se aplicaNão se aplica",Mercado_Receita!$J$2:$J$379)</f>
        <v>0</v>
      </c>
      <c r="N12" s="13">
        <f>SUMIF(Mercado_Receita!$S$2:$S$379,"44562BGeraçãoNão se aplicaNão se aplicaTIPO 01Não se aplicaNão se aplica",Mercado_Receita!$J$2:$J$379)+SUMIF(Mercado_Receita!$S$2:$S$379,"44562BGeraçãoNão se aplicaNão se aplicaAPENão se aplicaNão se aplica",Mercado_Receita!$J$2:$J$379)</f>
        <v>0</v>
      </c>
      <c r="O12" s="13">
        <f>SUMIF(Mercado_Receita!$S$2:$S$379,"44593BGeraçãoNão se aplicaNão se aplicaTIPO 01Não se aplicaNão se aplica",Mercado_Receita!$J$2:$J$379)+SUMIF(Mercado_Receita!$S$2:$S$379,"44593BGeraçãoNão se aplicaNão se aplicaAPENão se aplicaNão se aplica",Mercado_Receita!$J$2:$J$379)</f>
        <v>0</v>
      </c>
      <c r="P12" s="13">
        <f>SUMIF(Mercado_Receita!$S$2:$S$379,"44621BGeraçãoNão se aplicaNão se aplicaTIPO 01Não se aplicaNão se aplica",Mercado_Receita!$J$2:$J$379)+SUMIF(Mercado_Receita!$S$2:$S$379,"44621BGeraçãoNão se aplicaNão se aplicaAPENão se aplicaNão se aplica",Mercado_Receita!$J$2:$J$379)</f>
        <v>0</v>
      </c>
      <c r="Q12" s="13">
        <f>SUMIF(Mercado_Receita!$S$2:$S$379,"44652BGeraçãoNão se aplicaNão se aplicaTIPO 01Não se aplicaNão se aplica",Mercado_Receita!$J$2:$J$379)+SUMIF(Mercado_Receita!$S$2:$S$379,"44652BGeraçãoNão se aplicaNão se aplicaAPENão se aplicaNão se aplica",Mercado_Receita!$J$2:$J$379)</f>
        <v>0</v>
      </c>
      <c r="R12" s="13">
        <f>SUMIF(Mercado_Receita!$S$2:$S$379,"44682BGeraçãoNão se aplicaNão se aplicaTIPO 01Não se aplicaNão se aplica",Mercado_Receita!$J$2:$J$379)+SUMIF(Mercado_Receita!$S$2:$S$379,"44682BGeraçãoNão se aplicaNão se aplicaAPENão se aplicaNão se aplica",Mercado_Receita!$J$2:$J$379)</f>
        <v>0</v>
      </c>
      <c r="S12" s="13">
        <f>SUMIF(Mercado_Receita!$S$2:$S$379,"44713BGeraçãoNão se aplicaNão se aplicaTIPO 01Não se aplicaNão se aplica",Mercado_Receita!$J$2:$J$379)+SUMIF(Mercado_Receita!$S$2:$S$379,"44713BGeraçãoNão se aplicaNão se aplicaAPENão se aplicaNão se aplica",Mercado_Receita!$J$2:$J$379)</f>
        <v>0</v>
      </c>
      <c r="T12" s="13">
        <f>SUMIF(Mercado_Receita!$S$2:$S$379,"44743BGeraçãoNão se aplicaNão se aplicaTIPO 01Não se aplicaNão se aplica",Mercado_Receita!$J$2:$J$379)+SUMIF(Mercado_Receita!$S$2:$S$379,"44743BGeraçãoNão se aplicaNão se aplicaAPENão se aplicaNão se aplica",Mercado_Receita!$J$2:$J$379)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125"/>
      <c r="B13" s="125"/>
      <c r="C13" s="125"/>
      <c r="D13" s="125"/>
      <c r="E13" s="12" t="s">
        <v>81</v>
      </c>
      <c r="F13" s="12" t="s">
        <v>25</v>
      </c>
      <c r="G13" s="13" t="s">
        <v>9</v>
      </c>
      <c r="H13" s="13" t="s">
        <v>74</v>
      </c>
      <c r="I13" s="13">
        <f>SUMIF(Mercado_Receita!$S$2:$S$379,"44409BGeraçãoNão se aplicaNão se aplicaTIPO 02Não se aplicaNão se aplica",Mercado_Receita!$J$2:$J$379)+SUMIF(Mercado_Receita!$S$2:$S$379,"44409BGeraçãoNão se aplicaNão se aplicaAPENão se aplicaNão se aplica",Mercado_Receita!$J$2:$J$379)</f>
        <v>0</v>
      </c>
      <c r="J13" s="13">
        <f>SUMIF(Mercado_Receita!$S$2:$S$379,"44440BGeraçãoNão se aplicaNão se aplicaTIPO 02Não se aplicaNão se aplica",Mercado_Receita!$J$2:$J$379)+SUMIF(Mercado_Receita!$S$2:$S$379,"44440BGeraçãoNão se aplicaNão se aplicaAPENão se aplicaNão se aplica",Mercado_Receita!$J$2:$J$379)</f>
        <v>0</v>
      </c>
      <c r="K13" s="13">
        <f>SUMIF(Mercado_Receita!$S$2:$S$379,"44470BGeraçãoNão se aplicaNão se aplicaTIPO 02Não se aplicaNão se aplica",Mercado_Receita!$J$2:$J$379)+SUMIF(Mercado_Receita!$S$2:$S$379,"44470BGeraçãoNão se aplicaNão se aplicaAPENão se aplicaNão se aplica",Mercado_Receita!$J$2:$J$379)</f>
        <v>0</v>
      </c>
      <c r="L13" s="13">
        <f>SUMIF(Mercado_Receita!$S$2:$S$379,"44501BGeraçãoNão se aplicaNão se aplicaTIPO 02Não se aplicaNão se aplica",Mercado_Receita!$J$2:$J$379)+SUMIF(Mercado_Receita!$S$2:$S$379,"44501BGeraçãoNão se aplicaNão se aplicaAPENão se aplicaNão se aplica",Mercado_Receita!$J$2:$J$379)</f>
        <v>0</v>
      </c>
      <c r="M13" s="13">
        <f>SUMIF(Mercado_Receita!$S$2:$S$379,"44531BGeraçãoNão se aplicaNão se aplicaTIPO 02Não se aplicaNão se aplica",Mercado_Receita!$J$2:$J$379)+SUMIF(Mercado_Receita!$S$2:$S$379,"44531BGeraçãoNão se aplicaNão se aplicaAPENão se aplicaNão se aplica",Mercado_Receita!$J$2:$J$379)</f>
        <v>0</v>
      </c>
      <c r="N13" s="13">
        <f>SUMIF(Mercado_Receita!$S$2:$S$379,"44562BGeraçãoNão se aplicaNão se aplicaTIPO 02Não se aplicaNão se aplica",Mercado_Receita!$J$2:$J$379)+SUMIF(Mercado_Receita!$S$2:$S$379,"44562BGeraçãoNão se aplicaNão se aplicaAPENão se aplicaNão se aplica",Mercado_Receita!$J$2:$J$379)</f>
        <v>0</v>
      </c>
      <c r="O13" s="13">
        <f>SUMIF(Mercado_Receita!$S$2:$S$379,"44593BGeraçãoNão se aplicaNão se aplicaTIPO 02Não se aplicaNão se aplica",Mercado_Receita!$J$2:$J$379)+SUMIF(Mercado_Receita!$S$2:$S$379,"44593BGeraçãoNão se aplicaNão se aplicaAPENão se aplicaNão se aplica",Mercado_Receita!$J$2:$J$379)</f>
        <v>0</v>
      </c>
      <c r="P13" s="13">
        <f>SUMIF(Mercado_Receita!$S$2:$S$379,"44621BGeraçãoNão se aplicaNão se aplicaTIPO 02Não se aplicaNão se aplica",Mercado_Receita!$J$2:$J$379)+SUMIF(Mercado_Receita!$S$2:$S$379,"44621BGeraçãoNão se aplicaNão se aplicaAPENão se aplicaNão se aplica",Mercado_Receita!$J$2:$J$379)</f>
        <v>0</v>
      </c>
      <c r="Q13" s="13">
        <f>SUMIF(Mercado_Receita!$S$2:$S$379,"44652BGeraçãoNão se aplicaNão se aplicaTIPO 02Não se aplicaNão se aplica",Mercado_Receita!$J$2:$J$379)+SUMIF(Mercado_Receita!$S$2:$S$379,"44652BGeraçãoNão se aplicaNão se aplicaAPENão se aplicaNão se aplica",Mercado_Receita!$J$2:$J$379)</f>
        <v>0</v>
      </c>
      <c r="R13" s="13">
        <f>SUMIF(Mercado_Receita!$S$2:$S$379,"44682BGeraçãoNão se aplicaNão se aplicaTIPO 02Não se aplicaNão se aplica",Mercado_Receita!$J$2:$J$379)+SUMIF(Mercado_Receita!$S$2:$S$379,"44682BGeraçãoNão se aplicaNão se aplicaAPENão se aplicaNão se aplica",Mercado_Receita!$J$2:$J$379)</f>
        <v>0</v>
      </c>
      <c r="S13" s="13">
        <f>SUMIF(Mercado_Receita!$S$2:$S$379,"44713BGeraçãoNão se aplicaNão se aplicaTIPO 02Não se aplicaNão se aplica",Mercado_Receita!$J$2:$J$379)+SUMIF(Mercado_Receita!$S$2:$S$379,"44713BGeraçãoNão se aplicaNão se aplicaAPENão se aplicaNão se aplica",Mercado_Receita!$J$2:$J$379)</f>
        <v>0</v>
      </c>
      <c r="T13" s="13">
        <f>SUMIF(Mercado_Receita!$S$2:$S$379,"44743BGeraçãoNão se aplicaNão se aplicaTIPO 02Não se aplicaNão se aplica",Mercado_Receita!$J$2:$J$379)+SUMIF(Mercado_Receita!$S$2:$S$379,"44743BGeraçãoNão se aplicaNão se aplicaAPENão se aplicaNão se aplica",Mercado_Receita!$J$2:$J$379)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124" t="s">
        <v>22</v>
      </c>
      <c r="B14" s="124" t="s">
        <v>38</v>
      </c>
      <c r="C14" s="124" t="s">
        <v>24</v>
      </c>
      <c r="D14" s="124" t="s">
        <v>24</v>
      </c>
      <c r="E14" s="124" t="s">
        <v>25</v>
      </c>
      <c r="F14" s="124" t="s">
        <v>25</v>
      </c>
      <c r="G14" s="13" t="s">
        <v>69</v>
      </c>
      <c r="H14" s="13" t="s">
        <v>68</v>
      </c>
      <c r="I14" s="13">
        <f>SUMIF(Mercado_Receita!$S$2:$S$379,"44409B1BrancaResidencialResidencialNão se aplicaNão se aplicaPonta",Mercado_Receita!$L$2:$L$379)</f>
        <v>0</v>
      </c>
      <c r="J14" s="13">
        <f>SUMIF(Mercado_Receita!$S$2:$S$379,"44440B1BrancaResidencialResidencialNão se aplicaNão se aplicaPonta",Mercado_Receita!$L$2:$L$379)</f>
        <v>0</v>
      </c>
      <c r="K14" s="13">
        <f>SUMIF(Mercado_Receita!$S$2:$S$379,"44470B1BrancaResidencialResidencialNão se aplicaNão se aplicaPonta",Mercado_Receita!$L$2:$L$379)</f>
        <v>0</v>
      </c>
      <c r="L14" s="13">
        <f>SUMIF(Mercado_Receita!$S$2:$S$379,"44501B1BrancaResidencialResidencialNão se aplicaNão se aplicaPonta",Mercado_Receita!$L$2:$L$379)</f>
        <v>0</v>
      </c>
      <c r="M14" s="13">
        <f>SUMIF(Mercado_Receita!$S$2:$S$379,"44531B1BrancaResidencialResidencialNão se aplicaNão se aplicaPonta",Mercado_Receita!$L$2:$L$379)</f>
        <v>0</v>
      </c>
      <c r="N14" s="13">
        <f>SUMIF(Mercado_Receita!$S$2:$S$379,"44562B1BrancaResidencialResidencialNão se aplicaNão se aplicaPonta",Mercado_Receita!$L$2:$L$379)</f>
        <v>0</v>
      </c>
      <c r="O14" s="13">
        <f>SUMIF(Mercado_Receita!$S$2:$S$379,"44593B1BrancaResidencialResidencialNão se aplicaNão se aplicaPonta",Mercado_Receita!$L$2:$L$379)</f>
        <v>0</v>
      </c>
      <c r="P14" s="13">
        <f>SUMIF(Mercado_Receita!$S$2:$S$379,"44621B1BrancaResidencialResidencialNão se aplicaNão se aplicaPonta",Mercado_Receita!$L$2:$L$379)</f>
        <v>0</v>
      </c>
      <c r="Q14" s="13">
        <f>SUMIF(Mercado_Receita!$S$2:$S$379,"44652B1BrancaResidencialResidencialNão se aplicaNão se aplicaPonta",Mercado_Receita!$L$2:$L$379)</f>
        <v>0</v>
      </c>
      <c r="R14" s="13">
        <f>SUMIF(Mercado_Receita!$S$2:$S$379,"44682B1BrancaResidencialResidencialNão se aplicaNão se aplicaPonta",Mercado_Receita!$L$2:$L$379)</f>
        <v>0</v>
      </c>
      <c r="S14" s="13">
        <f>SUMIF(Mercado_Receita!$S$2:$S$379,"44713B1BrancaResidencialResidencialNão se aplicaNão se aplicaPonta",Mercado_Receita!$L$2:$L$379)</f>
        <v>0</v>
      </c>
      <c r="T14" s="13">
        <f>SUMIF(Mercado_Receita!$S$2:$S$379,"44743B1BrancaResidencialResidencialNão se aplicaNão se aplicaPonta",Mercado_Receita!$L$2:$L$379)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125"/>
      <c r="B15" s="125"/>
      <c r="C15" s="125"/>
      <c r="D15" s="125"/>
      <c r="E15" s="125"/>
      <c r="F15" s="125"/>
      <c r="G15" s="13" t="s">
        <v>82</v>
      </c>
      <c r="H15" s="13" t="s">
        <v>68</v>
      </c>
      <c r="I15" s="13">
        <f>SUMIF(Mercado_Receita!$S$2:$S$379,"44409B1BrancaResidencialResidencialNão se aplicaNão se aplicaIntermediário",Mercado_Receita!$L$2:$L$379)</f>
        <v>0</v>
      </c>
      <c r="J15" s="13">
        <f>SUMIF(Mercado_Receita!$S$2:$S$379,"44440B1BrancaResidencialResidencialNão se aplicaNão se aplicaIntermediário",Mercado_Receita!$L$2:$L$379)</f>
        <v>0</v>
      </c>
      <c r="K15" s="13">
        <f>SUMIF(Mercado_Receita!$S$2:$S$379,"44470B1BrancaResidencialResidencialNão se aplicaNão se aplicaIntermediário",Mercado_Receita!$L$2:$L$379)</f>
        <v>0</v>
      </c>
      <c r="L15" s="13">
        <f>SUMIF(Mercado_Receita!$S$2:$S$379,"44501B1BrancaResidencialResidencialNão se aplicaNão se aplicaIntermediário",Mercado_Receita!$L$2:$L$379)</f>
        <v>0</v>
      </c>
      <c r="M15" s="13">
        <f>SUMIF(Mercado_Receita!$S$2:$S$379,"44531B1BrancaResidencialResidencialNão se aplicaNão se aplicaIntermediário",Mercado_Receita!$L$2:$L$379)</f>
        <v>0</v>
      </c>
      <c r="N15" s="13">
        <f>SUMIF(Mercado_Receita!$S$2:$S$379,"44562B1BrancaResidencialResidencialNão se aplicaNão se aplicaIntermediário",Mercado_Receita!$L$2:$L$379)</f>
        <v>0</v>
      </c>
      <c r="O15" s="13">
        <f>SUMIF(Mercado_Receita!$S$2:$S$379,"44593B1BrancaResidencialResidencialNão se aplicaNão se aplicaIntermediário",Mercado_Receita!$L$2:$L$379)</f>
        <v>0</v>
      </c>
      <c r="P15" s="13">
        <f>SUMIF(Mercado_Receita!$S$2:$S$379,"44621B1BrancaResidencialResidencialNão se aplicaNão se aplicaIntermediário",Mercado_Receita!$L$2:$L$379)</f>
        <v>0</v>
      </c>
      <c r="Q15" s="13">
        <f>SUMIF(Mercado_Receita!$S$2:$S$379,"44652B1BrancaResidencialResidencialNão se aplicaNão se aplicaIntermediário",Mercado_Receita!$L$2:$L$379)</f>
        <v>0</v>
      </c>
      <c r="R15" s="13">
        <f>SUMIF(Mercado_Receita!$S$2:$S$379,"44682B1BrancaResidencialResidencialNão se aplicaNão se aplicaIntermediário",Mercado_Receita!$L$2:$L$379)</f>
        <v>0</v>
      </c>
      <c r="S15" s="13">
        <f>SUMIF(Mercado_Receita!$S$2:$S$379,"44713B1BrancaResidencialResidencialNão se aplicaNão se aplicaIntermediário",Mercado_Receita!$L$2:$L$379)</f>
        <v>0</v>
      </c>
      <c r="T15" s="13">
        <f>SUMIF(Mercado_Receita!$S$2:$S$379,"44743B1BrancaResidencialResidencialNão se aplicaNão se aplicaIntermediário",Mercado_Receita!$L$2:$L$379)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125"/>
      <c r="B16" s="125"/>
      <c r="C16" s="125"/>
      <c r="D16" s="125"/>
      <c r="E16" s="125"/>
      <c r="F16" s="125"/>
      <c r="G16" s="13" t="s">
        <v>70</v>
      </c>
      <c r="H16" s="13" t="s">
        <v>68</v>
      </c>
      <c r="I16" s="13">
        <f>SUMIF(Mercado_Receita!$S$2:$S$379,"44409B1BrancaResidencialResidencialNão se aplicaNão se aplicaFora ponta",Mercado_Receita!$L$2:$L$379)</f>
        <v>0</v>
      </c>
      <c r="J16" s="13">
        <f>SUMIF(Mercado_Receita!$S$2:$S$379,"44440B1BrancaResidencialResidencialNão se aplicaNão se aplicaFora ponta",Mercado_Receita!$L$2:$L$379)</f>
        <v>0</v>
      </c>
      <c r="K16" s="13">
        <f>SUMIF(Mercado_Receita!$S$2:$S$379,"44470B1BrancaResidencialResidencialNão se aplicaNão se aplicaFora ponta",Mercado_Receita!$L$2:$L$379)</f>
        <v>0</v>
      </c>
      <c r="L16" s="13">
        <f>SUMIF(Mercado_Receita!$S$2:$S$379,"44501B1BrancaResidencialResidencialNão se aplicaNão se aplicaFora ponta",Mercado_Receita!$L$2:$L$379)</f>
        <v>0</v>
      </c>
      <c r="M16" s="13">
        <f>SUMIF(Mercado_Receita!$S$2:$S$379,"44531B1BrancaResidencialResidencialNão se aplicaNão se aplicaFora ponta",Mercado_Receita!$L$2:$L$379)</f>
        <v>0</v>
      </c>
      <c r="N16" s="13">
        <f>SUMIF(Mercado_Receita!$S$2:$S$379,"44562B1BrancaResidencialResidencialNão se aplicaNão se aplicaFora ponta",Mercado_Receita!$L$2:$L$379)</f>
        <v>0</v>
      </c>
      <c r="O16" s="13">
        <f>SUMIF(Mercado_Receita!$S$2:$S$379,"44593B1BrancaResidencialResidencialNão se aplicaNão se aplicaFora ponta",Mercado_Receita!$L$2:$L$379)</f>
        <v>0</v>
      </c>
      <c r="P16" s="13">
        <f>SUMIF(Mercado_Receita!$S$2:$S$379,"44621B1BrancaResidencialResidencialNão se aplicaNão se aplicaFora ponta",Mercado_Receita!$L$2:$L$379)</f>
        <v>0</v>
      </c>
      <c r="Q16" s="13">
        <f>SUMIF(Mercado_Receita!$S$2:$S$379,"44652B1BrancaResidencialResidencialNão se aplicaNão se aplicaFora ponta",Mercado_Receita!$L$2:$L$379)</f>
        <v>0</v>
      </c>
      <c r="R16" s="13">
        <f>SUMIF(Mercado_Receita!$S$2:$S$379,"44682B1BrancaResidencialResidencialNão se aplicaNão se aplicaFora ponta",Mercado_Receita!$L$2:$L$379)</f>
        <v>0</v>
      </c>
      <c r="S16" s="13">
        <f>SUMIF(Mercado_Receita!$S$2:$S$379,"44713B1BrancaResidencialResidencialNão se aplicaNão se aplicaFora ponta",Mercado_Receita!$L$2:$L$379)</f>
        <v>0</v>
      </c>
      <c r="T16" s="13">
        <f>SUMIF(Mercado_Receita!$S$2:$S$379,"44743B1BrancaResidencialResidencialNão se aplicaNão se aplicaFora ponta",Mercado_Receita!$L$2:$L$379)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125"/>
      <c r="B17" s="124" t="s">
        <v>23</v>
      </c>
      <c r="C17" s="124" t="s">
        <v>24</v>
      </c>
      <c r="D17" s="12" t="s">
        <v>24</v>
      </c>
      <c r="E17" s="12" t="s">
        <v>25</v>
      </c>
      <c r="F17" s="12" t="s">
        <v>25</v>
      </c>
      <c r="G17" s="13" t="s">
        <v>72</v>
      </c>
      <c r="H17" s="13" t="s">
        <v>68</v>
      </c>
      <c r="I17" s="13">
        <f>SUMIF(Mercado_Receita!$S$2:$S$379,"44409B1ConvencionalResidencialResidencialNão se aplicaNão se aplicaPonta",Mercado_Receita!$L$2:$L$379)+SUMIF(Mercado_Receita!$S$2:$S$379,"44409B1ConvencionalResidencialResidencialNão se aplicaNão se aplicaFora ponta",Mercado_Receita!$L$2:$L$379)+SUMIF(Mercado_Receita!$S$2:$S$379,"44409B1ConvencionalResidencialResidencialNão se aplicaNão se aplicaIntermediário",Mercado_Receita!$L$2:$L$379)+SUMIF(Mercado_Receita!$S$2:$S$379,"44409B1ConvencionalResidencialResidencialNão se aplicaNão se aplicaNão se aplica",Mercado_Receita!$L$2:$L$379)</f>
        <v>545.02800000000002</v>
      </c>
      <c r="J17" s="13">
        <f>SUMIF(Mercado_Receita!$S$2:$S$379,"44440B1ConvencionalResidencialResidencialNão se aplicaNão se aplicaPonta",Mercado_Receita!$L$2:$L$379)+SUMIF(Mercado_Receita!$S$2:$S$379,"44440B1ConvencionalResidencialResidencialNão se aplicaNão se aplicaFora ponta",Mercado_Receita!$L$2:$L$379)+SUMIF(Mercado_Receita!$S$2:$S$379,"44440B1ConvencionalResidencialResidencialNão se aplicaNão se aplicaIntermediário",Mercado_Receita!$L$2:$L$379)+SUMIF(Mercado_Receita!$S$2:$S$379,"44440B1ConvencionalResidencialResidencialNão se aplicaNão se aplicaNão se aplica",Mercado_Receita!$L$2:$L$379)</f>
        <v>505.18699999999995</v>
      </c>
      <c r="K17" s="13">
        <f>SUMIF(Mercado_Receita!$S$2:$S$379,"44470B1ConvencionalResidencialResidencialNão se aplicaNão se aplicaPonta",Mercado_Receita!$L$2:$L$379)+SUMIF(Mercado_Receita!$S$2:$S$379,"44470B1ConvencionalResidencialResidencialNão se aplicaNão se aplicaFora ponta",Mercado_Receita!$L$2:$L$379)+SUMIF(Mercado_Receita!$S$2:$S$379,"44470B1ConvencionalResidencialResidencialNão se aplicaNão se aplicaIntermediário",Mercado_Receita!$L$2:$L$379)+SUMIF(Mercado_Receita!$S$2:$S$379,"44470B1ConvencionalResidencialResidencialNão se aplicaNão se aplicaNão se aplica",Mercado_Receita!$L$2:$L$379)</f>
        <v>565.274</v>
      </c>
      <c r="L17" s="13">
        <f>SUMIF(Mercado_Receita!$S$2:$S$379,"44501B1ConvencionalResidencialResidencialNão se aplicaNão se aplicaPonta",Mercado_Receita!$L$2:$L$379)+SUMIF(Mercado_Receita!$S$2:$S$379,"44501B1ConvencionalResidencialResidencialNão se aplicaNão se aplicaFora ponta",Mercado_Receita!$L$2:$L$379)+SUMIF(Mercado_Receita!$S$2:$S$379,"44501B1ConvencionalResidencialResidencialNão se aplicaNão se aplicaIntermediário",Mercado_Receita!$L$2:$L$379)+SUMIF(Mercado_Receita!$S$2:$S$379,"44501B1ConvencionalResidencialResidencialNão se aplicaNão se aplicaNão se aplica",Mercado_Receita!$L$2:$L$379)</f>
        <v>561.39800000000002</v>
      </c>
      <c r="M17" s="13">
        <f>SUMIF(Mercado_Receita!$S$2:$S$379,"44531B1ConvencionalResidencialResidencialNão se aplicaNão se aplicaPonta",Mercado_Receita!$L$2:$L$379)+SUMIF(Mercado_Receita!$S$2:$S$379,"44531B1ConvencionalResidencialResidencialNão se aplicaNão se aplicaFora ponta",Mercado_Receita!$L$2:$L$379)+SUMIF(Mercado_Receita!$S$2:$S$379,"44531B1ConvencionalResidencialResidencialNão se aplicaNão se aplicaIntermediário",Mercado_Receita!$L$2:$L$379)+SUMIF(Mercado_Receita!$S$2:$S$379,"44531B1ConvencionalResidencialResidencialNão se aplicaNão se aplicaNão se aplica",Mercado_Receita!$L$2:$L$379)</f>
        <v>532.19000000000005</v>
      </c>
      <c r="N17" s="13">
        <f>SUMIF(Mercado_Receita!$S$2:$S$379,"44562B1ConvencionalResidencialResidencialNão se aplicaNão se aplicaPonta",Mercado_Receita!$L$2:$L$379)+SUMIF(Mercado_Receita!$S$2:$S$379,"44562B1ConvencionalResidencialResidencialNão se aplicaNão se aplicaFora ponta",Mercado_Receita!$L$2:$L$379)+SUMIF(Mercado_Receita!$S$2:$S$379,"44562B1ConvencionalResidencialResidencialNão se aplicaNão se aplicaIntermediário",Mercado_Receita!$L$2:$L$379)+SUMIF(Mercado_Receita!$S$2:$S$379,"44562B1ConvencionalResidencialResidencialNão se aplicaNão se aplicaNão se aplica",Mercado_Receita!$L$2:$L$379)</f>
        <v>514.07400000000007</v>
      </c>
      <c r="O17" s="13">
        <f>SUMIF(Mercado_Receita!$S$2:$S$379,"44593B1ConvencionalResidencialResidencialNão se aplicaNão se aplicaPonta",Mercado_Receita!$L$2:$L$379)+SUMIF(Mercado_Receita!$S$2:$S$379,"44593B1ConvencionalResidencialResidencialNão se aplicaNão se aplicaFora ponta",Mercado_Receita!$L$2:$L$379)+SUMIF(Mercado_Receita!$S$2:$S$379,"44593B1ConvencionalResidencialResidencialNão se aplicaNão se aplicaIntermediário",Mercado_Receita!$L$2:$L$379)+SUMIF(Mercado_Receita!$S$2:$S$379,"44593B1ConvencionalResidencialResidencialNão se aplicaNão se aplicaNão se aplica",Mercado_Receita!$L$2:$L$379)</f>
        <v>687.62099999999998</v>
      </c>
      <c r="P17" s="13">
        <f>SUMIF(Mercado_Receita!$S$2:$S$379,"44621B1ConvencionalResidencialResidencialNão se aplicaNão se aplicaPonta",Mercado_Receita!$L$2:$L$379)+SUMIF(Mercado_Receita!$S$2:$S$379,"44621B1ConvencionalResidencialResidencialNão se aplicaNão se aplicaFora ponta",Mercado_Receita!$L$2:$L$379)+SUMIF(Mercado_Receita!$S$2:$S$379,"44621B1ConvencionalResidencialResidencialNão se aplicaNão se aplicaIntermediário",Mercado_Receita!$L$2:$L$379)+SUMIF(Mercado_Receita!$S$2:$S$379,"44621B1ConvencionalResidencialResidencialNão se aplicaNão se aplicaNão se aplica",Mercado_Receita!$L$2:$L$379)</f>
        <v>547.61400000000003</v>
      </c>
      <c r="Q17" s="13">
        <f>SUMIF(Mercado_Receita!$S$2:$S$379,"44652B1ConvencionalResidencialResidencialNão se aplicaNão se aplicaPonta",Mercado_Receita!$L$2:$L$379)+SUMIF(Mercado_Receita!$S$2:$S$379,"44652B1ConvencionalResidencialResidencialNão se aplicaNão se aplicaFora ponta",Mercado_Receita!$L$2:$L$379)+SUMIF(Mercado_Receita!$S$2:$S$379,"44652B1ConvencionalResidencialResidencialNão se aplicaNão se aplicaIntermediário",Mercado_Receita!$L$2:$L$379)+SUMIF(Mercado_Receita!$S$2:$S$379,"44652B1ConvencionalResidencialResidencialNão se aplicaNão se aplicaNão se aplica",Mercado_Receita!$L$2:$L$379)</f>
        <v>593.69499999999994</v>
      </c>
      <c r="R17" s="13">
        <f>SUMIF(Mercado_Receita!$S$2:$S$379,"44682B1ConvencionalResidencialResidencialNão se aplicaNão se aplicaPonta",Mercado_Receita!$L$2:$L$379)+SUMIF(Mercado_Receita!$S$2:$S$379,"44682B1ConvencionalResidencialResidencialNão se aplicaNão se aplicaFora ponta",Mercado_Receita!$L$2:$L$379)+SUMIF(Mercado_Receita!$S$2:$S$379,"44682B1ConvencionalResidencialResidencialNão se aplicaNão se aplicaIntermediário",Mercado_Receita!$L$2:$L$379)+SUMIF(Mercado_Receita!$S$2:$S$379,"44682B1ConvencionalResidencialResidencialNão se aplicaNão se aplicaNão se aplica",Mercado_Receita!$L$2:$L$379)</f>
        <v>527.87799999999993</v>
      </c>
      <c r="S17" s="13">
        <f>SUMIF(Mercado_Receita!$S$2:$S$379,"44713B1ConvencionalResidencialResidencialNão se aplicaNão se aplicaPonta",Mercado_Receita!$L$2:$L$379)+SUMIF(Mercado_Receita!$S$2:$S$379,"44713B1ConvencionalResidencialResidencialNão se aplicaNão se aplicaFora ponta",Mercado_Receita!$L$2:$L$379)+SUMIF(Mercado_Receita!$S$2:$S$379,"44713B1ConvencionalResidencialResidencialNão se aplicaNão se aplicaIntermediário",Mercado_Receita!$L$2:$L$379)+SUMIF(Mercado_Receita!$S$2:$S$379,"44713B1ConvencionalResidencialResidencialNão se aplicaNão se aplicaNão se aplica",Mercado_Receita!$L$2:$L$379)</f>
        <v>509.25799999999998</v>
      </c>
      <c r="T17" s="13">
        <f>SUMIF(Mercado_Receita!$S$2:$S$379,"44743B1ConvencionalResidencialResidencialNão se aplicaNão se aplicaPonta",Mercado_Receita!$L$2:$L$379)+SUMIF(Mercado_Receita!$S$2:$S$379,"44743B1ConvencionalResidencialResidencialNão se aplicaNão se aplicaFora ponta",Mercado_Receita!$L$2:$L$379)+SUMIF(Mercado_Receita!$S$2:$S$379,"44743B1ConvencionalResidencialResidencialNão se aplicaNão se aplicaIntermediário",Mercado_Receita!$L$2:$L$379)+SUMIF(Mercado_Receita!$S$2:$S$379,"44743B1ConvencionalResidencialResidencialNão se aplicaNão se aplicaNão se aplica",Mercado_Receita!$L$2:$L$379)</f>
        <v>580.80700000000002</v>
      </c>
      <c r="U17" s="13">
        <f t="shared" si="0"/>
        <v>6670.0239999999994</v>
      </c>
      <c r="V17" s="13"/>
      <c r="W17" s="13"/>
    </row>
    <row r="18" spans="1:23" ht="11.25" customHeight="1" x14ac:dyDescent="0.25">
      <c r="A18" s="125"/>
      <c r="B18" s="125"/>
      <c r="C18" s="125"/>
      <c r="D18" s="12" t="s">
        <v>28</v>
      </c>
      <c r="E18" s="12" t="s">
        <v>25</v>
      </c>
      <c r="F18" s="12" t="s">
        <v>25</v>
      </c>
      <c r="G18" s="13" t="s">
        <v>72</v>
      </c>
      <c r="H18" s="13" t="s">
        <v>68</v>
      </c>
      <c r="I18" s="13">
        <f>SUMIF(Mercado_Receita!$S$2:$S$379,"44409B1ConvencionalResidencialResidencial baixa renda – faixa 01Não se aplicaNão se aplicaPonta",Mercado_Receita!$L$2:$L$379)+SUMIF(Mercado_Receita!$S$2:$S$379,"44409B1ConvencionalResidencialResidencial baixa renda – faixa 01Não se aplicaNão se aplicaFora ponta",Mercado_Receita!$L$2:$L$379)+SUMIF(Mercado_Receita!$S$2:$S$379,"44409B1ConvencionalResidencialResidencial baixa renda – faixa 01Não se aplicaNão se aplicaIntermediário",Mercado_Receita!$L$2:$L$379)+SUMIF(Mercado_Receita!$S$2:$S$379,"44409B1ConvencionalResidencialResidencial baixa renda – faixa 01Não se aplicaNão se aplicaNão se aplica",Mercado_Receita!$L$2:$L$379)</f>
        <v>10.5</v>
      </c>
      <c r="J18" s="13">
        <f>SUMIF(Mercado_Receita!$S$2:$S$379,"44440B1ConvencionalResidencialResidencial baixa renda – faixa 01Não se aplicaNão se aplicaPonta",Mercado_Receita!$L$2:$L$379)+SUMIF(Mercado_Receita!$S$2:$S$379,"44440B1ConvencionalResidencialResidencial baixa renda – faixa 01Não se aplicaNão se aplicaFora ponta",Mercado_Receita!$L$2:$L$379)+SUMIF(Mercado_Receita!$S$2:$S$379,"44440B1ConvencionalResidencialResidencial baixa renda – faixa 01Não se aplicaNão se aplicaIntermediário",Mercado_Receita!$L$2:$L$379)+SUMIF(Mercado_Receita!$S$2:$S$379,"44440B1ConvencionalResidencialResidencial baixa renda – faixa 01Não se aplicaNão se aplicaNão se aplica",Mercado_Receita!$L$2:$L$379)</f>
        <v>10.35</v>
      </c>
      <c r="K18" s="13">
        <f>SUMIF(Mercado_Receita!$S$2:$S$379,"44470B1ConvencionalResidencialResidencial baixa renda – faixa 01Não se aplicaNão se aplicaPonta",Mercado_Receita!$L$2:$L$379)+SUMIF(Mercado_Receita!$S$2:$S$379,"44470B1ConvencionalResidencialResidencial baixa renda – faixa 01Não se aplicaNão se aplicaFora ponta",Mercado_Receita!$L$2:$L$379)+SUMIF(Mercado_Receita!$S$2:$S$379,"44470B1ConvencionalResidencialResidencial baixa renda – faixa 01Não se aplicaNão se aplicaIntermediário",Mercado_Receita!$L$2:$L$379)+SUMIF(Mercado_Receita!$S$2:$S$379,"44470B1ConvencionalResidencialResidencial baixa renda – faixa 01Não se aplicaNão se aplicaNão se aplica",Mercado_Receita!$L$2:$L$379)</f>
        <v>10.38</v>
      </c>
      <c r="L18" s="13">
        <f>SUMIF(Mercado_Receita!$S$2:$S$379,"44501B1ConvencionalResidencialResidencial baixa renda – faixa 01Não se aplicaNão se aplicaPonta",Mercado_Receita!$L$2:$L$379)+SUMIF(Mercado_Receita!$S$2:$S$379,"44501B1ConvencionalResidencialResidencial baixa renda – faixa 01Não se aplicaNão se aplicaFora ponta",Mercado_Receita!$L$2:$L$379)+SUMIF(Mercado_Receita!$S$2:$S$379,"44501B1ConvencionalResidencialResidencial baixa renda – faixa 01Não se aplicaNão se aplicaIntermediário",Mercado_Receita!$L$2:$L$379)+SUMIF(Mercado_Receita!$S$2:$S$379,"44501B1ConvencionalResidencialResidencial baixa renda – faixa 01Não se aplicaNão se aplicaNão se aplica",Mercado_Receita!$L$2:$L$379)</f>
        <v>10.59</v>
      </c>
      <c r="M18" s="13">
        <f>SUMIF(Mercado_Receita!$S$2:$S$379,"44531B1ConvencionalResidencialResidencial baixa renda – faixa 01Não se aplicaNão se aplicaPonta",Mercado_Receita!$L$2:$L$379)+SUMIF(Mercado_Receita!$S$2:$S$379,"44531B1ConvencionalResidencialResidencial baixa renda – faixa 01Não se aplicaNão se aplicaFora ponta",Mercado_Receita!$L$2:$L$379)+SUMIF(Mercado_Receita!$S$2:$S$379,"44531B1ConvencionalResidencialResidencial baixa renda – faixa 01Não se aplicaNão se aplicaIntermediário",Mercado_Receita!$L$2:$L$379)+SUMIF(Mercado_Receita!$S$2:$S$379,"44531B1ConvencionalResidencialResidencial baixa renda – faixa 01Não se aplicaNão se aplicaNão se aplica",Mercado_Receita!$L$2:$L$379)</f>
        <v>10.74</v>
      </c>
      <c r="N18" s="13">
        <f>SUMIF(Mercado_Receita!$S$2:$S$379,"44562B1ConvencionalResidencialResidencial baixa renda – faixa 01Não se aplicaNão se aplicaPonta",Mercado_Receita!$L$2:$L$379)+SUMIF(Mercado_Receita!$S$2:$S$379,"44562B1ConvencionalResidencialResidencial baixa renda – faixa 01Não se aplicaNão se aplicaFora ponta",Mercado_Receita!$L$2:$L$379)+SUMIF(Mercado_Receita!$S$2:$S$379,"44562B1ConvencionalResidencialResidencial baixa renda – faixa 01Não se aplicaNão se aplicaIntermediário",Mercado_Receita!$L$2:$L$379)+SUMIF(Mercado_Receita!$S$2:$S$379,"44562B1ConvencionalResidencialResidencial baixa renda – faixa 01Não se aplicaNão se aplicaNão se aplica",Mercado_Receita!$L$2:$L$379)</f>
        <v>10.8</v>
      </c>
      <c r="O18" s="13">
        <f>SUMIF(Mercado_Receita!$S$2:$S$379,"44593B1ConvencionalResidencialResidencial baixa renda – faixa 01Não se aplicaNão se aplicaPonta",Mercado_Receita!$L$2:$L$379)+SUMIF(Mercado_Receita!$S$2:$S$379,"44593B1ConvencionalResidencialResidencial baixa renda – faixa 01Não se aplicaNão se aplicaFora ponta",Mercado_Receita!$L$2:$L$379)+SUMIF(Mercado_Receita!$S$2:$S$379,"44593B1ConvencionalResidencialResidencial baixa renda – faixa 01Não se aplicaNão se aplicaIntermediário",Mercado_Receita!$L$2:$L$379)+SUMIF(Mercado_Receita!$S$2:$S$379,"44593B1ConvencionalResidencialResidencial baixa renda – faixa 01Não se aplicaNão se aplicaNão se aplica",Mercado_Receita!$L$2:$L$379)</f>
        <v>10.8</v>
      </c>
      <c r="P18" s="13">
        <f>SUMIF(Mercado_Receita!$S$2:$S$379,"44621B1ConvencionalResidencialResidencial baixa renda – faixa 01Não se aplicaNão se aplicaPonta",Mercado_Receita!$L$2:$L$379)+SUMIF(Mercado_Receita!$S$2:$S$379,"44621B1ConvencionalResidencialResidencial baixa renda – faixa 01Não se aplicaNão se aplicaFora ponta",Mercado_Receita!$L$2:$L$379)+SUMIF(Mercado_Receita!$S$2:$S$379,"44621B1ConvencionalResidencialResidencial baixa renda – faixa 01Não se aplicaNão se aplicaIntermediário",Mercado_Receita!$L$2:$L$379)+SUMIF(Mercado_Receita!$S$2:$S$379,"44621B1ConvencionalResidencialResidencial baixa renda – faixa 01Não se aplicaNão se aplicaNão se aplica",Mercado_Receita!$L$2:$L$379)</f>
        <v>10.92</v>
      </c>
      <c r="Q18" s="13">
        <f>SUMIF(Mercado_Receita!$S$2:$S$379,"44652B1ConvencionalResidencialResidencial baixa renda – faixa 01Não se aplicaNão se aplicaPonta",Mercado_Receita!$L$2:$L$379)+SUMIF(Mercado_Receita!$S$2:$S$379,"44652B1ConvencionalResidencialResidencial baixa renda – faixa 01Não se aplicaNão se aplicaFora ponta",Mercado_Receita!$L$2:$L$379)+SUMIF(Mercado_Receita!$S$2:$S$379,"44652B1ConvencionalResidencialResidencial baixa renda – faixa 01Não se aplicaNão se aplicaIntermediário",Mercado_Receita!$L$2:$L$379)+SUMIF(Mercado_Receita!$S$2:$S$379,"44652B1ConvencionalResidencialResidencial baixa renda – faixa 01Não se aplicaNão se aplicaNão se aplica",Mercado_Receita!$L$2:$L$379)</f>
        <v>11.13</v>
      </c>
      <c r="R18" s="13">
        <f>SUMIF(Mercado_Receita!$S$2:$S$379,"44682B1ConvencionalResidencialResidencial baixa renda – faixa 01Não se aplicaNão se aplicaPonta",Mercado_Receita!$L$2:$L$379)+SUMIF(Mercado_Receita!$S$2:$S$379,"44682B1ConvencionalResidencialResidencial baixa renda – faixa 01Não se aplicaNão se aplicaFora ponta",Mercado_Receita!$L$2:$L$379)+SUMIF(Mercado_Receita!$S$2:$S$379,"44682B1ConvencionalResidencialResidencial baixa renda – faixa 01Não se aplicaNão se aplicaIntermediário",Mercado_Receita!$L$2:$L$379)+SUMIF(Mercado_Receita!$S$2:$S$379,"44682B1ConvencionalResidencialResidencial baixa renda – faixa 01Não se aplicaNão se aplicaNão se aplica",Mercado_Receita!$L$2:$L$379)</f>
        <v>11.34</v>
      </c>
      <c r="S18" s="13">
        <f>SUMIF(Mercado_Receita!$S$2:$S$379,"44713B1ConvencionalResidencialResidencial baixa renda – faixa 01Não se aplicaNão se aplicaPonta",Mercado_Receita!$L$2:$L$379)+SUMIF(Mercado_Receita!$S$2:$S$379,"44713B1ConvencionalResidencialResidencial baixa renda – faixa 01Não se aplicaNão se aplicaFora ponta",Mercado_Receita!$L$2:$L$379)+SUMIF(Mercado_Receita!$S$2:$S$379,"44713B1ConvencionalResidencialResidencial baixa renda – faixa 01Não se aplicaNão se aplicaIntermediário",Mercado_Receita!$L$2:$L$379)+SUMIF(Mercado_Receita!$S$2:$S$379,"44713B1ConvencionalResidencialResidencial baixa renda – faixa 01Não se aplicaNão se aplicaNão se aplica",Mercado_Receita!$L$2:$L$379)</f>
        <v>9.99</v>
      </c>
      <c r="T18" s="13">
        <f>SUMIF(Mercado_Receita!$S$2:$S$379,"44743B1ConvencionalResidencialResidencial baixa renda – faixa 01Não se aplicaNão se aplicaPonta",Mercado_Receita!$L$2:$L$379)+SUMIF(Mercado_Receita!$S$2:$S$379,"44743B1ConvencionalResidencialResidencial baixa renda – faixa 01Não se aplicaNão se aplicaFora ponta",Mercado_Receita!$L$2:$L$379)+SUMIF(Mercado_Receita!$S$2:$S$379,"44743B1ConvencionalResidencialResidencial baixa renda – faixa 01Não se aplicaNão se aplicaIntermediário",Mercado_Receita!$L$2:$L$379)+SUMIF(Mercado_Receita!$S$2:$S$379,"44743B1ConvencionalResidencialResidencial baixa renda – faixa 01Não se aplicaNão se aplicaNão se aplica",Mercado_Receita!$L$2:$L$379)</f>
        <v>9.8699999999999992</v>
      </c>
      <c r="U18" s="13">
        <f t="shared" si="0"/>
        <v>127.41000000000001</v>
      </c>
      <c r="V18" s="13"/>
      <c r="W18" s="13"/>
    </row>
    <row r="19" spans="1:23" ht="11.25" customHeight="1" x14ac:dyDescent="0.25">
      <c r="A19" s="125"/>
      <c r="B19" s="125"/>
      <c r="C19" s="125"/>
      <c r="D19" s="12" t="s">
        <v>29</v>
      </c>
      <c r="E19" s="12" t="s">
        <v>25</v>
      </c>
      <c r="F19" s="12" t="s">
        <v>25</v>
      </c>
      <c r="G19" s="13" t="s">
        <v>72</v>
      </c>
      <c r="H19" s="13" t="s">
        <v>68</v>
      </c>
      <c r="I19" s="13">
        <f>SUMIF(Mercado_Receita!$S$2:$S$379,"44409B1ConvencionalResidencialResidencial baixa renda – faixa 02Não se aplicaNão se aplicaPonta",Mercado_Receita!$L$2:$L$379)+SUMIF(Mercado_Receita!$S$2:$S$379,"44409B1ConvencionalResidencialResidencial baixa renda – faixa 02Não se aplicaNão se aplicaFora ponta",Mercado_Receita!$L$2:$L$379)+SUMIF(Mercado_Receita!$S$2:$S$379,"44409B1ConvencionalResidencialResidencial baixa renda – faixa 02Não se aplicaNão se aplicaIntermediário",Mercado_Receita!$L$2:$L$379)+SUMIF(Mercado_Receita!$S$2:$S$379,"44409B1ConvencionalResidencialResidencial baixa renda – faixa 02Não se aplicaNão se aplicaNão se aplica",Mercado_Receita!$L$2:$L$379)</f>
        <v>21.623999999999999</v>
      </c>
      <c r="J19" s="13">
        <f>SUMIF(Mercado_Receita!$S$2:$S$379,"44440B1ConvencionalResidencialResidencial baixa renda – faixa 02Não se aplicaNão se aplicaPonta",Mercado_Receita!$L$2:$L$379)+SUMIF(Mercado_Receita!$S$2:$S$379,"44440B1ConvencionalResidencialResidencial baixa renda – faixa 02Não se aplicaNão se aplicaFora ponta",Mercado_Receita!$L$2:$L$379)+SUMIF(Mercado_Receita!$S$2:$S$379,"44440B1ConvencionalResidencialResidencial baixa renda – faixa 02Não se aplicaNão se aplicaIntermediário",Mercado_Receita!$L$2:$L$379)+SUMIF(Mercado_Receita!$S$2:$S$379,"44440B1ConvencionalResidencialResidencial baixa renda – faixa 02Não se aplicaNão se aplicaNão se aplica",Mercado_Receita!$L$2:$L$379)</f>
        <v>21.747</v>
      </c>
      <c r="K19" s="13">
        <f>SUMIF(Mercado_Receita!$S$2:$S$379,"44470B1ConvencionalResidencialResidencial baixa renda – faixa 02Não se aplicaNão se aplicaPonta",Mercado_Receita!$L$2:$L$379)+SUMIF(Mercado_Receita!$S$2:$S$379,"44470B1ConvencionalResidencialResidencial baixa renda – faixa 02Não se aplicaNão se aplicaFora ponta",Mercado_Receita!$L$2:$L$379)+SUMIF(Mercado_Receita!$S$2:$S$379,"44470B1ConvencionalResidencialResidencial baixa renda – faixa 02Não se aplicaNão se aplicaIntermediário",Mercado_Receita!$L$2:$L$379)+SUMIF(Mercado_Receita!$S$2:$S$379,"44470B1ConvencionalResidencialResidencial baixa renda – faixa 02Não se aplicaNão se aplicaNão se aplica",Mercado_Receita!$L$2:$L$379)</f>
        <v>22.292000000000002</v>
      </c>
      <c r="L19" s="13">
        <f>SUMIF(Mercado_Receita!$S$2:$S$379,"44501B1ConvencionalResidencialResidencial baixa renda – faixa 02Não se aplicaNão se aplicaPonta",Mercado_Receita!$L$2:$L$379)+SUMIF(Mercado_Receita!$S$2:$S$379,"44501B1ConvencionalResidencialResidencial baixa renda – faixa 02Não se aplicaNão se aplicaFora ponta",Mercado_Receita!$L$2:$L$379)+SUMIF(Mercado_Receita!$S$2:$S$379,"44501B1ConvencionalResidencialResidencial baixa renda – faixa 02Não se aplicaNão se aplicaIntermediário",Mercado_Receita!$L$2:$L$379)+SUMIF(Mercado_Receita!$S$2:$S$379,"44501B1ConvencionalResidencialResidencial baixa renda – faixa 02Não se aplicaNão se aplicaNão se aplica",Mercado_Receita!$L$2:$L$379)</f>
        <v>22.673999999999999</v>
      </c>
      <c r="M19" s="13">
        <f>SUMIF(Mercado_Receita!$S$2:$S$379,"44531B1ConvencionalResidencialResidencial baixa renda – faixa 02Não se aplicaNão se aplicaPonta",Mercado_Receita!$L$2:$L$379)+SUMIF(Mercado_Receita!$S$2:$S$379,"44531B1ConvencionalResidencialResidencial baixa renda – faixa 02Não se aplicaNão se aplicaFora ponta",Mercado_Receita!$L$2:$L$379)+SUMIF(Mercado_Receita!$S$2:$S$379,"44531B1ConvencionalResidencialResidencial baixa renda – faixa 02Não se aplicaNão se aplicaIntermediário",Mercado_Receita!$L$2:$L$379)+SUMIF(Mercado_Receita!$S$2:$S$379,"44531B1ConvencionalResidencialResidencial baixa renda – faixa 02Não se aplicaNão se aplicaNão se aplica",Mercado_Receita!$L$2:$L$379)</f>
        <v>23.405999999999999</v>
      </c>
      <c r="N19" s="13">
        <f>SUMIF(Mercado_Receita!$S$2:$S$379,"44562B1ConvencionalResidencialResidencial baixa renda – faixa 02Não se aplicaNão se aplicaPonta",Mercado_Receita!$L$2:$L$379)+SUMIF(Mercado_Receita!$S$2:$S$379,"44562B1ConvencionalResidencialResidencial baixa renda – faixa 02Não se aplicaNão se aplicaFora ponta",Mercado_Receita!$L$2:$L$379)+SUMIF(Mercado_Receita!$S$2:$S$379,"44562B1ConvencionalResidencialResidencial baixa renda – faixa 02Não se aplicaNão se aplicaIntermediário",Mercado_Receita!$L$2:$L$379)+SUMIF(Mercado_Receita!$S$2:$S$379,"44562B1ConvencionalResidencialResidencial baixa renda – faixa 02Não se aplicaNão se aplicaNão se aplica",Mercado_Receita!$L$2:$L$379)</f>
        <v>23.407</v>
      </c>
      <c r="O19" s="13">
        <f>SUMIF(Mercado_Receita!$S$2:$S$379,"44593B1ConvencionalResidencialResidencial baixa renda – faixa 02Não se aplicaNão se aplicaPonta",Mercado_Receita!$L$2:$L$379)+SUMIF(Mercado_Receita!$S$2:$S$379,"44593B1ConvencionalResidencialResidencial baixa renda – faixa 02Não se aplicaNão se aplicaFora ponta",Mercado_Receita!$L$2:$L$379)+SUMIF(Mercado_Receita!$S$2:$S$379,"44593B1ConvencionalResidencialResidencial baixa renda – faixa 02Não se aplicaNão se aplicaIntermediário",Mercado_Receita!$L$2:$L$379)+SUMIF(Mercado_Receita!$S$2:$S$379,"44593B1ConvencionalResidencialResidencial baixa renda – faixa 02Não se aplicaNão se aplicaNão se aplica",Mercado_Receita!$L$2:$L$379)</f>
        <v>24.22</v>
      </c>
      <c r="P19" s="13">
        <f>SUMIF(Mercado_Receita!$S$2:$S$379,"44621B1ConvencionalResidencialResidencial baixa renda – faixa 02Não se aplicaNão se aplicaPonta",Mercado_Receita!$L$2:$L$379)+SUMIF(Mercado_Receita!$S$2:$S$379,"44621B1ConvencionalResidencialResidencial baixa renda – faixa 02Não se aplicaNão se aplicaFora ponta",Mercado_Receita!$L$2:$L$379)+SUMIF(Mercado_Receita!$S$2:$S$379,"44621B1ConvencionalResidencialResidencial baixa renda – faixa 02Não se aplicaNão se aplicaIntermediário",Mercado_Receita!$L$2:$L$379)+SUMIF(Mercado_Receita!$S$2:$S$379,"44621B1ConvencionalResidencialResidencial baixa renda – faixa 02Não se aplicaNão se aplicaNão se aplica",Mercado_Receita!$L$2:$L$379)</f>
        <v>24.114000000000001</v>
      </c>
      <c r="Q19" s="13">
        <f>SUMIF(Mercado_Receita!$S$2:$S$379,"44652B1ConvencionalResidencialResidencial baixa renda – faixa 02Não se aplicaNão se aplicaPonta",Mercado_Receita!$L$2:$L$379)+SUMIF(Mercado_Receita!$S$2:$S$379,"44652B1ConvencionalResidencialResidencial baixa renda – faixa 02Não se aplicaNão se aplicaFora ponta",Mercado_Receita!$L$2:$L$379)+SUMIF(Mercado_Receita!$S$2:$S$379,"44652B1ConvencionalResidencialResidencial baixa renda – faixa 02Não se aplicaNão se aplicaIntermediário",Mercado_Receita!$L$2:$L$379)+SUMIF(Mercado_Receita!$S$2:$S$379,"44652B1ConvencionalResidencialResidencial baixa renda – faixa 02Não se aplicaNão se aplicaNão se aplica",Mercado_Receita!$L$2:$L$379)</f>
        <v>24.617999999999999</v>
      </c>
      <c r="R19" s="13">
        <f>SUMIF(Mercado_Receita!$S$2:$S$379,"44682B1ConvencionalResidencialResidencial baixa renda – faixa 02Não se aplicaNão se aplicaPonta",Mercado_Receita!$L$2:$L$379)+SUMIF(Mercado_Receita!$S$2:$S$379,"44682B1ConvencionalResidencialResidencial baixa renda – faixa 02Não se aplicaNão se aplicaFora ponta",Mercado_Receita!$L$2:$L$379)+SUMIF(Mercado_Receita!$S$2:$S$379,"44682B1ConvencionalResidencialResidencial baixa renda – faixa 02Não se aplicaNão se aplicaIntermediário",Mercado_Receita!$L$2:$L$379)+SUMIF(Mercado_Receita!$S$2:$S$379,"44682B1ConvencionalResidencialResidencial baixa renda – faixa 02Não se aplicaNão se aplicaNão se aplica",Mercado_Receita!$L$2:$L$379)</f>
        <v>24.742000000000001</v>
      </c>
      <c r="S19" s="13">
        <f>SUMIF(Mercado_Receita!$S$2:$S$379,"44713B1ConvencionalResidencialResidencial baixa renda – faixa 02Não se aplicaNão se aplicaPonta",Mercado_Receita!$L$2:$L$379)+SUMIF(Mercado_Receita!$S$2:$S$379,"44713B1ConvencionalResidencialResidencial baixa renda – faixa 02Não se aplicaNão se aplicaFora ponta",Mercado_Receita!$L$2:$L$379)+SUMIF(Mercado_Receita!$S$2:$S$379,"44713B1ConvencionalResidencialResidencial baixa renda – faixa 02Não se aplicaNão se aplicaIntermediário",Mercado_Receita!$L$2:$L$379)+SUMIF(Mercado_Receita!$S$2:$S$379,"44713B1ConvencionalResidencialResidencial baixa renda – faixa 02Não se aplicaNão se aplicaNão se aplica",Mercado_Receita!$L$2:$L$379)</f>
        <v>21.544</v>
      </c>
      <c r="T19" s="13">
        <f>SUMIF(Mercado_Receita!$S$2:$S$379,"44743B1ConvencionalResidencialResidencial baixa renda – faixa 02Não se aplicaNão se aplicaPonta",Mercado_Receita!$L$2:$L$379)+SUMIF(Mercado_Receita!$S$2:$S$379,"44743B1ConvencionalResidencialResidencial baixa renda – faixa 02Não se aplicaNão se aplicaFora ponta",Mercado_Receita!$L$2:$L$379)+SUMIF(Mercado_Receita!$S$2:$S$379,"44743B1ConvencionalResidencialResidencial baixa renda – faixa 02Não se aplicaNão se aplicaIntermediário",Mercado_Receita!$L$2:$L$379)+SUMIF(Mercado_Receita!$S$2:$S$379,"44743B1ConvencionalResidencialResidencial baixa renda – faixa 02Não se aplicaNão se aplicaNão se aplica",Mercado_Receita!$L$2:$L$379)</f>
        <v>21.042999999999999</v>
      </c>
      <c r="U19" s="13">
        <f t="shared" si="0"/>
        <v>275.43099999999998</v>
      </c>
      <c r="V19" s="13"/>
      <c r="W19" s="13"/>
    </row>
    <row r="20" spans="1:23" ht="11.25" customHeight="1" x14ac:dyDescent="0.25">
      <c r="A20" s="125"/>
      <c r="B20" s="125"/>
      <c r="C20" s="125"/>
      <c r="D20" s="12" t="s">
        <v>30</v>
      </c>
      <c r="E20" s="12" t="s">
        <v>25</v>
      </c>
      <c r="F20" s="12" t="s">
        <v>25</v>
      </c>
      <c r="G20" s="13" t="s">
        <v>72</v>
      </c>
      <c r="H20" s="13" t="s">
        <v>68</v>
      </c>
      <c r="I20" s="13">
        <f>SUMIF(Mercado_Receita!$S$2:$S$379,"44409B1ConvencionalResidencialResidencial baixa renda – faixa 03Não se aplicaNão se aplicaPonta",Mercado_Receita!$L$2:$L$379)+SUMIF(Mercado_Receita!$S$2:$S$379,"44409B1ConvencionalResidencialResidencial baixa renda – faixa 03Não se aplicaNão se aplicaFora ponta",Mercado_Receita!$L$2:$L$379)+SUMIF(Mercado_Receita!$S$2:$S$379,"44409B1ConvencionalResidencialResidencial baixa renda – faixa 03Não se aplicaNão se aplicaIntermediário",Mercado_Receita!$L$2:$L$379)+SUMIF(Mercado_Receita!$S$2:$S$379,"44409B1ConvencionalResidencialResidencial baixa renda – faixa 03Não se aplicaNão se aplicaNão se aplica",Mercado_Receita!$L$2:$L$379)</f>
        <v>23.725999999999999</v>
      </c>
      <c r="J20" s="13">
        <f>SUMIF(Mercado_Receita!$S$2:$S$379,"44440B1ConvencionalResidencialResidencial baixa renda – faixa 03Não se aplicaNão se aplicaPonta",Mercado_Receita!$L$2:$L$379)+SUMIF(Mercado_Receita!$S$2:$S$379,"44440B1ConvencionalResidencialResidencial baixa renda – faixa 03Não se aplicaNão se aplicaFora ponta",Mercado_Receita!$L$2:$L$379)+SUMIF(Mercado_Receita!$S$2:$S$379,"44440B1ConvencionalResidencialResidencial baixa renda – faixa 03Não se aplicaNão se aplicaIntermediário",Mercado_Receita!$L$2:$L$379)+SUMIF(Mercado_Receita!$S$2:$S$379,"44440B1ConvencionalResidencialResidencial baixa renda – faixa 03Não se aplicaNão se aplicaNão se aplica",Mercado_Receita!$L$2:$L$379)</f>
        <v>21.268999999999998</v>
      </c>
      <c r="K20" s="13">
        <f>SUMIF(Mercado_Receita!$S$2:$S$379,"44470B1ConvencionalResidencialResidencial baixa renda – faixa 03Não se aplicaNão se aplicaPonta",Mercado_Receita!$L$2:$L$379)+SUMIF(Mercado_Receita!$S$2:$S$379,"44470B1ConvencionalResidencialResidencial baixa renda – faixa 03Não se aplicaNão se aplicaFora ponta",Mercado_Receita!$L$2:$L$379)+SUMIF(Mercado_Receita!$S$2:$S$379,"44470B1ConvencionalResidencialResidencial baixa renda – faixa 03Não se aplicaNão se aplicaIntermediário",Mercado_Receita!$L$2:$L$379)+SUMIF(Mercado_Receita!$S$2:$S$379,"44470B1ConvencionalResidencialResidencial baixa renda – faixa 03Não se aplicaNão se aplicaNão se aplica",Mercado_Receita!$L$2:$L$379)</f>
        <v>26.408000000000001</v>
      </c>
      <c r="L20" s="13">
        <f>SUMIF(Mercado_Receita!$S$2:$S$379,"44501B1ConvencionalResidencialResidencial baixa renda – faixa 03Não se aplicaNão se aplicaPonta",Mercado_Receita!$L$2:$L$379)+SUMIF(Mercado_Receita!$S$2:$S$379,"44501B1ConvencionalResidencialResidencial baixa renda – faixa 03Não se aplicaNão se aplicaFora ponta",Mercado_Receita!$L$2:$L$379)+SUMIF(Mercado_Receita!$S$2:$S$379,"44501B1ConvencionalResidencialResidencial baixa renda – faixa 03Não se aplicaNão se aplicaIntermediário",Mercado_Receita!$L$2:$L$379)+SUMIF(Mercado_Receita!$S$2:$S$379,"44501B1ConvencionalResidencialResidencial baixa renda – faixa 03Não se aplicaNão se aplicaNão se aplica",Mercado_Receita!$L$2:$L$379)</f>
        <v>22.603999999999999</v>
      </c>
      <c r="M20" s="13">
        <f>SUMIF(Mercado_Receita!$S$2:$S$379,"44531B1ConvencionalResidencialResidencial baixa renda – faixa 03Não se aplicaNão se aplicaPonta",Mercado_Receita!$L$2:$L$379)+SUMIF(Mercado_Receita!$S$2:$S$379,"44531B1ConvencionalResidencialResidencial baixa renda – faixa 03Não se aplicaNão se aplicaFora ponta",Mercado_Receita!$L$2:$L$379)+SUMIF(Mercado_Receita!$S$2:$S$379,"44531B1ConvencionalResidencialResidencial baixa renda – faixa 03Não se aplicaNão se aplicaIntermediário",Mercado_Receita!$L$2:$L$379)+SUMIF(Mercado_Receita!$S$2:$S$379,"44531B1ConvencionalResidencialResidencial baixa renda – faixa 03Não se aplicaNão se aplicaNão se aplica",Mercado_Receita!$L$2:$L$379)</f>
        <v>25.882999999999999</v>
      </c>
      <c r="N20" s="13">
        <f>SUMIF(Mercado_Receita!$S$2:$S$379,"44562B1ConvencionalResidencialResidencial baixa renda – faixa 03Não se aplicaNão se aplicaPonta",Mercado_Receita!$L$2:$L$379)+SUMIF(Mercado_Receita!$S$2:$S$379,"44562B1ConvencionalResidencialResidencial baixa renda – faixa 03Não se aplicaNão se aplicaFora ponta",Mercado_Receita!$L$2:$L$379)+SUMIF(Mercado_Receita!$S$2:$S$379,"44562B1ConvencionalResidencialResidencial baixa renda – faixa 03Não se aplicaNão se aplicaIntermediário",Mercado_Receita!$L$2:$L$379)+SUMIF(Mercado_Receita!$S$2:$S$379,"44562B1ConvencionalResidencialResidencial baixa renda – faixa 03Não se aplicaNão se aplicaNão se aplica",Mercado_Receita!$L$2:$L$379)</f>
        <v>24.427</v>
      </c>
      <c r="O20" s="13">
        <f>SUMIF(Mercado_Receita!$S$2:$S$379,"44593B1ConvencionalResidencialResidencial baixa renda – faixa 03Não se aplicaNão se aplicaPonta",Mercado_Receita!$L$2:$L$379)+SUMIF(Mercado_Receita!$S$2:$S$379,"44593B1ConvencionalResidencialResidencial baixa renda – faixa 03Não se aplicaNão se aplicaFora ponta",Mercado_Receita!$L$2:$L$379)+SUMIF(Mercado_Receita!$S$2:$S$379,"44593B1ConvencionalResidencialResidencial baixa renda – faixa 03Não se aplicaNão se aplicaIntermediário",Mercado_Receita!$L$2:$L$379)+SUMIF(Mercado_Receita!$S$2:$S$379,"44593B1ConvencionalResidencialResidencial baixa renda – faixa 03Não se aplicaNão se aplicaNão se aplica",Mercado_Receita!$L$2:$L$379)</f>
        <v>31.364000000000001</v>
      </c>
      <c r="P20" s="13">
        <f>SUMIF(Mercado_Receita!$S$2:$S$379,"44621B1ConvencionalResidencialResidencial baixa renda – faixa 03Não se aplicaNão se aplicaPonta",Mercado_Receita!$L$2:$L$379)+SUMIF(Mercado_Receita!$S$2:$S$379,"44621B1ConvencionalResidencialResidencial baixa renda – faixa 03Não se aplicaNão se aplicaFora ponta",Mercado_Receita!$L$2:$L$379)+SUMIF(Mercado_Receita!$S$2:$S$379,"44621B1ConvencionalResidencialResidencial baixa renda – faixa 03Não se aplicaNão se aplicaIntermediário",Mercado_Receita!$L$2:$L$379)+SUMIF(Mercado_Receita!$S$2:$S$379,"44621B1ConvencionalResidencialResidencial baixa renda – faixa 03Não se aplicaNão se aplicaNão se aplica",Mercado_Receita!$L$2:$L$379)</f>
        <v>26.513999999999999</v>
      </c>
      <c r="Q20" s="13">
        <f>SUMIF(Mercado_Receita!$S$2:$S$379,"44652B1ConvencionalResidencialResidencial baixa renda – faixa 03Não se aplicaNão se aplicaPonta",Mercado_Receita!$L$2:$L$379)+SUMIF(Mercado_Receita!$S$2:$S$379,"44652B1ConvencionalResidencialResidencial baixa renda – faixa 03Não se aplicaNão se aplicaFora ponta",Mercado_Receita!$L$2:$L$379)+SUMIF(Mercado_Receita!$S$2:$S$379,"44652B1ConvencionalResidencialResidencial baixa renda – faixa 03Não se aplicaNão se aplicaIntermediário",Mercado_Receita!$L$2:$L$379)+SUMIF(Mercado_Receita!$S$2:$S$379,"44652B1ConvencionalResidencialResidencial baixa renda – faixa 03Não se aplicaNão se aplicaNão se aplica",Mercado_Receita!$L$2:$L$379)</f>
        <v>29.779</v>
      </c>
      <c r="R20" s="13">
        <f>SUMIF(Mercado_Receita!$S$2:$S$379,"44682B1ConvencionalResidencialResidencial baixa renda – faixa 03Não se aplicaNão se aplicaPonta",Mercado_Receita!$L$2:$L$379)+SUMIF(Mercado_Receita!$S$2:$S$379,"44682B1ConvencionalResidencialResidencial baixa renda – faixa 03Não se aplicaNão se aplicaFora ponta",Mercado_Receita!$L$2:$L$379)+SUMIF(Mercado_Receita!$S$2:$S$379,"44682B1ConvencionalResidencialResidencial baixa renda – faixa 03Não se aplicaNão se aplicaIntermediário",Mercado_Receita!$L$2:$L$379)+SUMIF(Mercado_Receita!$S$2:$S$379,"44682B1ConvencionalResidencialResidencial baixa renda – faixa 03Não se aplicaNão se aplicaNão se aplica",Mercado_Receita!$L$2:$L$379)</f>
        <v>28.013000000000002</v>
      </c>
      <c r="S20" s="13">
        <f>SUMIF(Mercado_Receita!$S$2:$S$379,"44713B1ConvencionalResidencialResidencial baixa renda – faixa 03Não se aplicaNão se aplicaPonta",Mercado_Receita!$L$2:$L$379)+SUMIF(Mercado_Receita!$S$2:$S$379,"44713B1ConvencionalResidencialResidencial baixa renda – faixa 03Não se aplicaNão se aplicaFora ponta",Mercado_Receita!$L$2:$L$379)+SUMIF(Mercado_Receita!$S$2:$S$379,"44713B1ConvencionalResidencialResidencial baixa renda – faixa 03Não se aplicaNão se aplicaIntermediário",Mercado_Receita!$L$2:$L$379)+SUMIF(Mercado_Receita!$S$2:$S$379,"44713B1ConvencionalResidencialResidencial baixa renda – faixa 03Não se aplicaNão se aplicaNão se aplica",Mercado_Receita!$L$2:$L$379)</f>
        <v>22.375</v>
      </c>
      <c r="T20" s="13">
        <f>SUMIF(Mercado_Receita!$S$2:$S$379,"44743B1ConvencionalResidencialResidencial baixa renda – faixa 03Não se aplicaNão se aplicaPonta",Mercado_Receita!$L$2:$L$379)+SUMIF(Mercado_Receita!$S$2:$S$379,"44743B1ConvencionalResidencialResidencial baixa renda – faixa 03Não se aplicaNão se aplicaFora ponta",Mercado_Receita!$L$2:$L$379)+SUMIF(Mercado_Receita!$S$2:$S$379,"44743B1ConvencionalResidencialResidencial baixa renda – faixa 03Não se aplicaNão se aplicaIntermediário",Mercado_Receita!$L$2:$L$379)+SUMIF(Mercado_Receita!$S$2:$S$379,"44743B1ConvencionalResidencialResidencial baixa renda – faixa 03Não se aplicaNão se aplicaNão se aplica",Mercado_Receita!$L$2:$L$379)</f>
        <v>22.675000000000001</v>
      </c>
      <c r="U20" s="13">
        <f t="shared" si="0"/>
        <v>305.03699999999998</v>
      </c>
      <c r="V20" s="13"/>
      <c r="W20" s="13"/>
    </row>
    <row r="21" spans="1:23" ht="11.25" customHeight="1" x14ac:dyDescent="0.25">
      <c r="A21" s="125"/>
      <c r="B21" s="125"/>
      <c r="C21" s="125"/>
      <c r="D21" s="12" t="s">
        <v>31</v>
      </c>
      <c r="E21" s="12" t="s">
        <v>25</v>
      </c>
      <c r="F21" s="12" t="s">
        <v>25</v>
      </c>
      <c r="G21" s="13" t="s">
        <v>72</v>
      </c>
      <c r="H21" s="13" t="s">
        <v>68</v>
      </c>
      <c r="I21" s="13">
        <f>SUMIF(Mercado_Receita!$S$2:$S$379,"44409B1ConvencionalResidencialResidencial baixa renda – faixa 04Não se aplicaNão se aplicaPonta",Mercado_Receita!$L$2:$L$379)+SUMIF(Mercado_Receita!$S$2:$S$379,"44409B1ConvencionalResidencialResidencial baixa renda – faixa 04Não se aplicaNão se aplicaFora ponta",Mercado_Receita!$L$2:$L$379)+SUMIF(Mercado_Receita!$S$2:$S$379,"44409B1ConvencionalResidencialResidencial baixa renda – faixa 04Não se aplicaNão se aplicaIntermediário",Mercado_Receita!$L$2:$L$379)+SUMIF(Mercado_Receita!$S$2:$S$379,"44409B1ConvencionalResidencialResidencial baixa renda – faixa 04Não se aplicaNão se aplicaNão se aplica",Mercado_Receita!$L$2:$L$379)</f>
        <v>7.9669999999999996</v>
      </c>
      <c r="J21" s="13">
        <f>SUMIF(Mercado_Receita!$S$2:$S$379,"44440B1ConvencionalResidencialResidencial baixa renda – faixa 04Não se aplicaNão se aplicaPonta",Mercado_Receita!$L$2:$L$379)+SUMIF(Mercado_Receita!$S$2:$S$379,"44440B1ConvencionalResidencialResidencial baixa renda – faixa 04Não se aplicaNão se aplicaFora ponta",Mercado_Receita!$L$2:$L$379)+SUMIF(Mercado_Receita!$S$2:$S$379,"44440B1ConvencionalResidencialResidencial baixa renda – faixa 04Não se aplicaNão se aplicaIntermediário",Mercado_Receita!$L$2:$L$379)+SUMIF(Mercado_Receita!$S$2:$S$379,"44440B1ConvencionalResidencialResidencial baixa renda – faixa 04Não se aplicaNão se aplicaNão se aplica",Mercado_Receita!$L$2:$L$379)</f>
        <v>5.3879999999999999</v>
      </c>
      <c r="K21" s="13">
        <f>SUMIF(Mercado_Receita!$S$2:$S$379,"44470B1ConvencionalResidencialResidencial baixa renda – faixa 04Não se aplicaNão se aplicaPonta",Mercado_Receita!$L$2:$L$379)+SUMIF(Mercado_Receita!$S$2:$S$379,"44470B1ConvencionalResidencialResidencial baixa renda – faixa 04Não se aplicaNão se aplicaFora ponta",Mercado_Receita!$L$2:$L$379)+SUMIF(Mercado_Receita!$S$2:$S$379,"44470B1ConvencionalResidencialResidencial baixa renda – faixa 04Não se aplicaNão se aplicaIntermediário",Mercado_Receita!$L$2:$L$379)+SUMIF(Mercado_Receita!$S$2:$S$379,"44470B1ConvencionalResidencialResidencial baixa renda – faixa 04Não se aplicaNão se aplicaNão se aplica",Mercado_Receita!$L$2:$L$379)</f>
        <v>9.2989999999999995</v>
      </c>
      <c r="L21" s="13">
        <f>SUMIF(Mercado_Receita!$S$2:$S$379,"44501B1ConvencionalResidencialResidencial baixa renda – faixa 04Não se aplicaNão se aplicaPonta",Mercado_Receita!$L$2:$L$379)+SUMIF(Mercado_Receita!$S$2:$S$379,"44501B1ConvencionalResidencialResidencial baixa renda – faixa 04Não se aplicaNão se aplicaFora ponta",Mercado_Receita!$L$2:$L$379)+SUMIF(Mercado_Receita!$S$2:$S$379,"44501B1ConvencionalResidencialResidencial baixa renda – faixa 04Não se aplicaNão se aplicaIntermediário",Mercado_Receita!$L$2:$L$379)+SUMIF(Mercado_Receita!$S$2:$S$379,"44501B1ConvencionalResidencialResidencial baixa renda – faixa 04Não se aplicaNão se aplicaNão se aplica",Mercado_Receita!$L$2:$L$379)</f>
        <v>5.3890000000000002</v>
      </c>
      <c r="M21" s="13">
        <f>SUMIF(Mercado_Receita!$S$2:$S$379,"44531B1ConvencionalResidencialResidencial baixa renda – faixa 04Não se aplicaNão se aplicaPonta",Mercado_Receita!$L$2:$L$379)+SUMIF(Mercado_Receita!$S$2:$S$379,"44531B1ConvencionalResidencialResidencial baixa renda – faixa 04Não se aplicaNão se aplicaFora ponta",Mercado_Receita!$L$2:$L$379)+SUMIF(Mercado_Receita!$S$2:$S$379,"44531B1ConvencionalResidencialResidencial baixa renda – faixa 04Não se aplicaNão se aplicaIntermediário",Mercado_Receita!$L$2:$L$379)+SUMIF(Mercado_Receita!$S$2:$S$379,"44531B1ConvencionalResidencialResidencial baixa renda – faixa 04Não se aplicaNão se aplicaNão se aplica",Mercado_Receita!$L$2:$L$379)</f>
        <v>8.0939999999999994</v>
      </c>
      <c r="N21" s="13">
        <f>SUMIF(Mercado_Receita!$S$2:$S$379,"44562B1ConvencionalResidencialResidencial baixa renda – faixa 04Não se aplicaNão se aplicaPonta",Mercado_Receita!$L$2:$L$379)+SUMIF(Mercado_Receita!$S$2:$S$379,"44562B1ConvencionalResidencialResidencial baixa renda – faixa 04Não se aplicaNão se aplicaFora ponta",Mercado_Receita!$L$2:$L$379)+SUMIF(Mercado_Receita!$S$2:$S$379,"44562B1ConvencionalResidencialResidencial baixa renda – faixa 04Não se aplicaNão se aplicaIntermediário",Mercado_Receita!$L$2:$L$379)+SUMIF(Mercado_Receita!$S$2:$S$379,"44562B1ConvencionalResidencialResidencial baixa renda – faixa 04Não se aplicaNão se aplicaNão se aplica",Mercado_Receita!$L$2:$L$379)</f>
        <v>6.9139999999999997</v>
      </c>
      <c r="O21" s="13">
        <f>SUMIF(Mercado_Receita!$S$2:$S$379,"44593B1ConvencionalResidencialResidencial baixa renda – faixa 04Não se aplicaNão se aplicaPonta",Mercado_Receita!$L$2:$L$379)+SUMIF(Mercado_Receita!$S$2:$S$379,"44593B1ConvencionalResidencialResidencial baixa renda – faixa 04Não se aplicaNão se aplicaFora ponta",Mercado_Receita!$L$2:$L$379)+SUMIF(Mercado_Receita!$S$2:$S$379,"44593B1ConvencionalResidencialResidencial baixa renda – faixa 04Não se aplicaNão se aplicaIntermediário",Mercado_Receita!$L$2:$L$379)+SUMIF(Mercado_Receita!$S$2:$S$379,"44593B1ConvencionalResidencialResidencial baixa renda – faixa 04Não se aplicaNão se aplicaNão se aplica",Mercado_Receita!$L$2:$L$379)</f>
        <v>18.236999999999998</v>
      </c>
      <c r="P21" s="13">
        <f>SUMIF(Mercado_Receita!$S$2:$S$379,"44621B1ConvencionalResidencialResidencial baixa renda – faixa 04Não se aplicaNão se aplicaPonta",Mercado_Receita!$L$2:$L$379)+SUMIF(Mercado_Receita!$S$2:$S$379,"44621B1ConvencionalResidencialResidencial baixa renda – faixa 04Não se aplicaNão se aplicaFora ponta",Mercado_Receita!$L$2:$L$379)+SUMIF(Mercado_Receita!$S$2:$S$379,"44621B1ConvencionalResidencialResidencial baixa renda – faixa 04Não se aplicaNão se aplicaIntermediário",Mercado_Receita!$L$2:$L$379)+SUMIF(Mercado_Receita!$S$2:$S$379,"44621B1ConvencionalResidencialResidencial baixa renda – faixa 04Não se aplicaNão se aplicaNão se aplica",Mercado_Receita!$L$2:$L$379)</f>
        <v>9.5129999999999999</v>
      </c>
      <c r="Q21" s="13">
        <f>SUMIF(Mercado_Receita!$S$2:$S$379,"44652B1ConvencionalResidencialResidencial baixa renda – faixa 04Não se aplicaNão se aplicaPonta",Mercado_Receita!$L$2:$L$379)+SUMIF(Mercado_Receita!$S$2:$S$379,"44652B1ConvencionalResidencialResidencial baixa renda – faixa 04Não se aplicaNão se aplicaFora ponta",Mercado_Receita!$L$2:$L$379)+SUMIF(Mercado_Receita!$S$2:$S$379,"44652B1ConvencionalResidencialResidencial baixa renda – faixa 04Não se aplicaNão se aplicaIntermediário",Mercado_Receita!$L$2:$L$379)+SUMIF(Mercado_Receita!$S$2:$S$379,"44652B1ConvencionalResidencialResidencial baixa renda – faixa 04Não se aplicaNão se aplicaNão se aplica",Mercado_Receita!$L$2:$L$379)</f>
        <v>13.606999999999999</v>
      </c>
      <c r="R21" s="13">
        <f>SUMIF(Mercado_Receita!$S$2:$S$379,"44682B1ConvencionalResidencialResidencial baixa renda – faixa 04Não se aplicaNão se aplicaPonta",Mercado_Receita!$L$2:$L$379)+SUMIF(Mercado_Receita!$S$2:$S$379,"44682B1ConvencionalResidencialResidencial baixa renda – faixa 04Não se aplicaNão se aplicaFora ponta",Mercado_Receita!$L$2:$L$379)+SUMIF(Mercado_Receita!$S$2:$S$379,"44682B1ConvencionalResidencialResidencial baixa renda – faixa 04Não se aplicaNão se aplicaIntermediário",Mercado_Receita!$L$2:$L$379)+SUMIF(Mercado_Receita!$S$2:$S$379,"44682B1ConvencionalResidencialResidencial baixa renda – faixa 04Não se aplicaNão se aplicaNão se aplica",Mercado_Receita!$L$2:$L$379)</f>
        <v>8.8539999999999992</v>
      </c>
      <c r="S21" s="13">
        <f>SUMIF(Mercado_Receita!$S$2:$S$379,"44713B1ConvencionalResidencialResidencial baixa renda – faixa 04Não se aplicaNão se aplicaPonta",Mercado_Receita!$L$2:$L$379)+SUMIF(Mercado_Receita!$S$2:$S$379,"44713B1ConvencionalResidencialResidencial baixa renda – faixa 04Não se aplicaNão se aplicaFora ponta",Mercado_Receita!$L$2:$L$379)+SUMIF(Mercado_Receita!$S$2:$S$379,"44713B1ConvencionalResidencialResidencial baixa renda – faixa 04Não se aplicaNão se aplicaIntermediário",Mercado_Receita!$L$2:$L$379)+SUMIF(Mercado_Receita!$S$2:$S$379,"44713B1ConvencionalResidencialResidencial baixa renda – faixa 04Não se aplicaNão se aplicaNão se aplica",Mercado_Receita!$L$2:$L$379)</f>
        <v>5.9820000000000002</v>
      </c>
      <c r="T21" s="13">
        <f>SUMIF(Mercado_Receita!$S$2:$S$379,"44743B1ConvencionalResidencialResidencial baixa renda – faixa 04Não se aplicaNão se aplicaPonta",Mercado_Receita!$L$2:$L$379)+SUMIF(Mercado_Receita!$S$2:$S$379,"44743B1ConvencionalResidencialResidencial baixa renda – faixa 04Não se aplicaNão se aplicaFora ponta",Mercado_Receita!$L$2:$L$379)+SUMIF(Mercado_Receita!$S$2:$S$379,"44743B1ConvencionalResidencialResidencial baixa renda – faixa 04Não se aplicaNão se aplicaIntermediário",Mercado_Receita!$L$2:$L$379)+SUMIF(Mercado_Receita!$S$2:$S$379,"44743B1ConvencionalResidencialResidencial baixa renda – faixa 04Não se aplicaNão se aplicaNão se aplica",Mercado_Receita!$L$2:$L$379)</f>
        <v>10.238</v>
      </c>
      <c r="U21" s="13">
        <f t="shared" si="0"/>
        <v>109.482</v>
      </c>
      <c r="V21" s="13"/>
      <c r="W21" s="13"/>
    </row>
    <row r="22" spans="1:23" ht="11.25" customHeight="1" x14ac:dyDescent="0.25">
      <c r="A22" s="125"/>
      <c r="B22" s="124" t="s">
        <v>84</v>
      </c>
      <c r="C22" s="124" t="s">
        <v>24</v>
      </c>
      <c r="D22" s="12" t="s">
        <v>24</v>
      </c>
      <c r="E22" s="12" t="s">
        <v>25</v>
      </c>
      <c r="F22" s="12" t="s">
        <v>25</v>
      </c>
      <c r="G22" s="13" t="s">
        <v>72</v>
      </c>
      <c r="H22" s="13" t="s">
        <v>68</v>
      </c>
      <c r="I22" s="13">
        <f>SUMIF(Mercado_Receita!$S$2:$S$379,"44409B1Convencional pré-pagamentoResidencialResidencialNão se aplicaNão se aplicaPonta",Mercado_Receita!$L$2:$L$379)+SUMIF(Mercado_Receita!$S$2:$S$379,"44409B1Convencional pré-pagamentoResidencialResidencialNão se aplicaNão se aplicaFora ponta",Mercado_Receita!$L$2:$L$379)+SUMIF(Mercado_Receita!$S$2:$S$379,"44409B1Convencional pré-pagamentoResidencialResidencialNão se aplicaNão se aplicaIntermediário",Mercado_Receita!$L$2:$L$379)+SUMIF(Mercado_Receita!$S$2:$S$379,"44409B1Convencional pré-pagamentoResidencialResidencialNão se aplicaNão se aplicaNão se aplica",Mercado_Receita!$L$2:$L$379)</f>
        <v>0</v>
      </c>
      <c r="J22" s="13">
        <f>SUMIF(Mercado_Receita!$S$2:$S$379,"44440B1Convencional pré-pagamentoResidencialResidencialNão se aplicaNão se aplicaPonta",Mercado_Receita!$L$2:$L$379)+SUMIF(Mercado_Receita!$S$2:$S$379,"44440B1Convencional pré-pagamentoResidencialResidencialNão se aplicaNão se aplicaFora ponta",Mercado_Receita!$L$2:$L$379)+SUMIF(Mercado_Receita!$S$2:$S$379,"44440B1Convencional pré-pagamentoResidencialResidencialNão se aplicaNão se aplicaIntermediário",Mercado_Receita!$L$2:$L$379)+SUMIF(Mercado_Receita!$S$2:$S$379,"44440B1Convencional pré-pagamentoResidencialResidencialNão se aplicaNão se aplicaNão se aplica",Mercado_Receita!$L$2:$L$379)</f>
        <v>0</v>
      </c>
      <c r="K22" s="13">
        <f>SUMIF(Mercado_Receita!$S$2:$S$379,"44470B1Convencional pré-pagamentoResidencialResidencialNão se aplicaNão se aplicaPonta",Mercado_Receita!$L$2:$L$379)+SUMIF(Mercado_Receita!$S$2:$S$379,"44470B1Convencional pré-pagamentoResidencialResidencialNão se aplicaNão se aplicaFora ponta",Mercado_Receita!$L$2:$L$379)+SUMIF(Mercado_Receita!$S$2:$S$379,"44470B1Convencional pré-pagamentoResidencialResidencialNão se aplicaNão se aplicaIntermediário",Mercado_Receita!$L$2:$L$379)+SUMIF(Mercado_Receita!$S$2:$S$379,"44470B1Convencional pré-pagamentoResidencialResidencialNão se aplicaNão se aplicaNão se aplica",Mercado_Receita!$L$2:$L$379)</f>
        <v>0</v>
      </c>
      <c r="L22" s="13">
        <f>SUMIF(Mercado_Receita!$S$2:$S$379,"44501B1Convencional pré-pagamentoResidencialResidencialNão se aplicaNão se aplicaPonta",Mercado_Receita!$L$2:$L$379)+SUMIF(Mercado_Receita!$S$2:$S$379,"44501B1Convencional pré-pagamentoResidencialResidencialNão se aplicaNão se aplicaFora ponta",Mercado_Receita!$L$2:$L$379)+SUMIF(Mercado_Receita!$S$2:$S$379,"44501B1Convencional pré-pagamentoResidencialResidencialNão se aplicaNão se aplicaIntermediário",Mercado_Receita!$L$2:$L$379)+SUMIF(Mercado_Receita!$S$2:$S$379,"44501B1Convencional pré-pagamentoResidencialResidencialNão se aplicaNão se aplicaNão se aplica",Mercado_Receita!$L$2:$L$379)</f>
        <v>0</v>
      </c>
      <c r="M22" s="13">
        <f>SUMIF(Mercado_Receita!$S$2:$S$379,"44531B1Convencional pré-pagamentoResidencialResidencialNão se aplicaNão se aplicaPonta",Mercado_Receita!$L$2:$L$379)+SUMIF(Mercado_Receita!$S$2:$S$379,"44531B1Convencional pré-pagamentoResidencialResidencialNão se aplicaNão se aplicaFora ponta",Mercado_Receita!$L$2:$L$379)+SUMIF(Mercado_Receita!$S$2:$S$379,"44531B1Convencional pré-pagamentoResidencialResidencialNão se aplicaNão se aplicaIntermediário",Mercado_Receita!$L$2:$L$379)+SUMIF(Mercado_Receita!$S$2:$S$379,"44531B1Convencional pré-pagamentoResidencialResidencialNão se aplicaNão se aplicaNão se aplica",Mercado_Receita!$L$2:$L$379)</f>
        <v>0</v>
      </c>
      <c r="N22" s="13">
        <f>SUMIF(Mercado_Receita!$S$2:$S$379,"44562B1Convencional pré-pagamentoResidencialResidencialNão se aplicaNão se aplicaPonta",Mercado_Receita!$L$2:$L$379)+SUMIF(Mercado_Receita!$S$2:$S$379,"44562B1Convencional pré-pagamentoResidencialResidencialNão se aplicaNão se aplicaFora ponta",Mercado_Receita!$L$2:$L$379)+SUMIF(Mercado_Receita!$S$2:$S$379,"44562B1Convencional pré-pagamentoResidencialResidencialNão se aplicaNão se aplicaIntermediário",Mercado_Receita!$L$2:$L$379)+SUMIF(Mercado_Receita!$S$2:$S$379,"44562B1Convencional pré-pagamentoResidencialResidencialNão se aplicaNão se aplicaNão se aplica",Mercado_Receita!$L$2:$L$379)</f>
        <v>0</v>
      </c>
      <c r="O22" s="13">
        <f>SUMIF(Mercado_Receita!$S$2:$S$379,"44593B1Convencional pré-pagamentoResidencialResidencialNão se aplicaNão se aplicaPonta",Mercado_Receita!$L$2:$L$379)+SUMIF(Mercado_Receita!$S$2:$S$379,"44593B1Convencional pré-pagamentoResidencialResidencialNão se aplicaNão se aplicaFora ponta",Mercado_Receita!$L$2:$L$379)+SUMIF(Mercado_Receita!$S$2:$S$379,"44593B1Convencional pré-pagamentoResidencialResidencialNão se aplicaNão se aplicaIntermediário",Mercado_Receita!$L$2:$L$379)+SUMIF(Mercado_Receita!$S$2:$S$379,"44593B1Convencional pré-pagamentoResidencialResidencialNão se aplicaNão se aplicaNão se aplica",Mercado_Receita!$L$2:$L$379)</f>
        <v>0</v>
      </c>
      <c r="P22" s="13">
        <f>SUMIF(Mercado_Receita!$S$2:$S$379,"44621B1Convencional pré-pagamentoResidencialResidencialNão se aplicaNão se aplicaPonta",Mercado_Receita!$L$2:$L$379)+SUMIF(Mercado_Receita!$S$2:$S$379,"44621B1Convencional pré-pagamentoResidencialResidencialNão se aplicaNão se aplicaFora ponta",Mercado_Receita!$L$2:$L$379)+SUMIF(Mercado_Receita!$S$2:$S$379,"44621B1Convencional pré-pagamentoResidencialResidencialNão se aplicaNão se aplicaIntermediário",Mercado_Receita!$L$2:$L$379)+SUMIF(Mercado_Receita!$S$2:$S$379,"44621B1Convencional pré-pagamentoResidencialResidencialNão se aplicaNão se aplicaNão se aplica",Mercado_Receita!$L$2:$L$379)</f>
        <v>0</v>
      </c>
      <c r="Q22" s="13">
        <f>SUMIF(Mercado_Receita!$S$2:$S$379,"44652B1Convencional pré-pagamentoResidencialResidencialNão se aplicaNão se aplicaPonta",Mercado_Receita!$L$2:$L$379)+SUMIF(Mercado_Receita!$S$2:$S$379,"44652B1Convencional pré-pagamentoResidencialResidencialNão se aplicaNão se aplicaFora ponta",Mercado_Receita!$L$2:$L$379)+SUMIF(Mercado_Receita!$S$2:$S$379,"44652B1Convencional pré-pagamentoResidencialResidencialNão se aplicaNão se aplicaIntermediário",Mercado_Receita!$L$2:$L$379)+SUMIF(Mercado_Receita!$S$2:$S$379,"44652B1Convencional pré-pagamentoResidencialResidencialNão se aplicaNão se aplicaNão se aplica",Mercado_Receita!$L$2:$L$379)</f>
        <v>0</v>
      </c>
      <c r="R22" s="13">
        <f>SUMIF(Mercado_Receita!$S$2:$S$379,"44682B1Convencional pré-pagamentoResidencialResidencialNão se aplicaNão se aplicaPonta",Mercado_Receita!$L$2:$L$379)+SUMIF(Mercado_Receita!$S$2:$S$379,"44682B1Convencional pré-pagamentoResidencialResidencialNão se aplicaNão se aplicaFora ponta",Mercado_Receita!$L$2:$L$379)+SUMIF(Mercado_Receita!$S$2:$S$379,"44682B1Convencional pré-pagamentoResidencialResidencialNão se aplicaNão se aplicaIntermediário",Mercado_Receita!$L$2:$L$379)+SUMIF(Mercado_Receita!$S$2:$S$379,"44682B1Convencional pré-pagamentoResidencialResidencialNão se aplicaNão se aplicaNão se aplica",Mercado_Receita!$L$2:$L$379)</f>
        <v>0</v>
      </c>
      <c r="S22" s="13">
        <f>SUMIF(Mercado_Receita!$S$2:$S$379,"44713B1Convencional pré-pagamentoResidencialResidencialNão se aplicaNão se aplicaPonta",Mercado_Receita!$L$2:$L$379)+SUMIF(Mercado_Receita!$S$2:$S$379,"44713B1Convencional pré-pagamentoResidencialResidencialNão se aplicaNão se aplicaFora ponta",Mercado_Receita!$L$2:$L$379)+SUMIF(Mercado_Receita!$S$2:$S$379,"44713B1Convencional pré-pagamentoResidencialResidencialNão se aplicaNão se aplicaIntermediário",Mercado_Receita!$L$2:$L$379)+SUMIF(Mercado_Receita!$S$2:$S$379,"44713B1Convencional pré-pagamentoResidencialResidencialNão se aplicaNão se aplicaNão se aplica",Mercado_Receita!$L$2:$L$379)</f>
        <v>0</v>
      </c>
      <c r="T22" s="13">
        <f>SUMIF(Mercado_Receita!$S$2:$S$379,"44743B1Convencional pré-pagamentoResidencialResidencialNão se aplicaNão se aplicaPonta",Mercado_Receita!$L$2:$L$379)+SUMIF(Mercado_Receita!$S$2:$S$379,"44743B1Convencional pré-pagamentoResidencialResidencialNão se aplicaNão se aplicaFora ponta",Mercado_Receita!$L$2:$L$379)+SUMIF(Mercado_Receita!$S$2:$S$379,"44743B1Convencional pré-pagamentoResidencialResidencialNão se aplicaNão se aplicaIntermediário",Mercado_Receita!$L$2:$L$379)+SUMIF(Mercado_Receita!$S$2:$S$379,"44743B1Convencional pré-pagamentoResidencialResidencialNão se aplicaNão se aplicaNão se aplica",Mercado_Receita!$L$2:$L$379)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125"/>
      <c r="B23" s="125"/>
      <c r="C23" s="125"/>
      <c r="D23" s="12" t="s">
        <v>28</v>
      </c>
      <c r="E23" s="12" t="s">
        <v>25</v>
      </c>
      <c r="F23" s="12" t="s">
        <v>25</v>
      </c>
      <c r="G23" s="13" t="s">
        <v>72</v>
      </c>
      <c r="H23" s="13" t="s">
        <v>68</v>
      </c>
      <c r="I23" s="13">
        <f>SUMIF(Mercado_Receita!$S$2:$S$379,"44409B1Convencional pré-pagamentoResidencialResidencial baixa renda – faixa 01Não se aplicaNão se aplicaPonta",Mercado_Receita!$L$2:$L$379)+SUMIF(Mercado_Receita!$S$2:$S$379,"44409B1Convencional pré-pagamentoResidencialResidencial baixa renda – faixa 01Não se aplicaNão se aplicaFora ponta",Mercado_Receita!$L$2:$L$379)+SUMIF(Mercado_Receita!$S$2:$S$379,"44409B1Convencional pré-pagamentoResidencialResidencial baixa renda – faixa 01Não se aplicaNão se aplicaIntermediário",Mercado_Receita!$L$2:$L$379)+SUMIF(Mercado_Receita!$S$2:$S$379,"44409B1Convencional pré-pagamentoResidencialResidencial baixa renda – faixa 01Não se aplicaNão se aplicaNão se aplica",Mercado_Receita!$L$2:$L$379)</f>
        <v>0</v>
      </c>
      <c r="J23" s="13">
        <f>SUMIF(Mercado_Receita!$S$2:$S$379,"44440B1Convencional pré-pagamentoResidencialResidencial baixa renda – faixa 01Não se aplicaNão se aplicaPonta",Mercado_Receita!$L$2:$L$379)+SUMIF(Mercado_Receita!$S$2:$S$379,"44440B1Convencional pré-pagamentoResidencialResidencial baixa renda – faixa 01Não se aplicaNão se aplicaFora ponta",Mercado_Receita!$L$2:$L$379)+SUMIF(Mercado_Receita!$S$2:$S$379,"44440B1Convencional pré-pagamentoResidencialResidencial baixa renda – faixa 01Não se aplicaNão se aplicaIntermediário",Mercado_Receita!$L$2:$L$379)+SUMIF(Mercado_Receita!$S$2:$S$379,"44440B1Convencional pré-pagamentoResidencialResidencial baixa renda – faixa 01Não se aplicaNão se aplicaNão se aplica",Mercado_Receita!$L$2:$L$379)</f>
        <v>0</v>
      </c>
      <c r="K23" s="13">
        <f>SUMIF(Mercado_Receita!$S$2:$S$379,"44470B1Convencional pré-pagamentoResidencialResidencial baixa renda – faixa 01Não se aplicaNão se aplicaPonta",Mercado_Receita!$L$2:$L$379)+SUMIF(Mercado_Receita!$S$2:$S$379,"44470B1Convencional pré-pagamentoResidencialResidencial baixa renda – faixa 01Não se aplicaNão se aplicaFora ponta",Mercado_Receita!$L$2:$L$379)+SUMIF(Mercado_Receita!$S$2:$S$379,"44470B1Convencional pré-pagamentoResidencialResidencial baixa renda – faixa 01Não se aplicaNão se aplicaIntermediário",Mercado_Receita!$L$2:$L$379)+SUMIF(Mercado_Receita!$S$2:$S$379,"44470B1Convencional pré-pagamentoResidencialResidencial baixa renda – faixa 01Não se aplicaNão se aplicaNão se aplica",Mercado_Receita!$L$2:$L$379)</f>
        <v>0</v>
      </c>
      <c r="L23" s="13">
        <f>SUMIF(Mercado_Receita!$S$2:$S$379,"44501B1Convencional pré-pagamentoResidencialResidencial baixa renda – faixa 01Não se aplicaNão se aplicaPonta",Mercado_Receita!$L$2:$L$379)+SUMIF(Mercado_Receita!$S$2:$S$379,"44501B1Convencional pré-pagamentoResidencialResidencial baixa renda – faixa 01Não se aplicaNão se aplicaFora ponta",Mercado_Receita!$L$2:$L$379)+SUMIF(Mercado_Receita!$S$2:$S$379,"44501B1Convencional pré-pagamentoResidencialResidencial baixa renda – faixa 01Não se aplicaNão se aplicaIntermediário",Mercado_Receita!$L$2:$L$379)+SUMIF(Mercado_Receita!$S$2:$S$379,"44501B1Convencional pré-pagamentoResidencialResidencial baixa renda – faixa 01Não se aplicaNão se aplicaNão se aplica",Mercado_Receita!$L$2:$L$379)</f>
        <v>0</v>
      </c>
      <c r="M23" s="13">
        <f>SUMIF(Mercado_Receita!$S$2:$S$379,"44531B1Convencional pré-pagamentoResidencialResidencial baixa renda – faixa 01Não se aplicaNão se aplicaPonta",Mercado_Receita!$L$2:$L$379)+SUMIF(Mercado_Receita!$S$2:$S$379,"44531B1Convencional pré-pagamentoResidencialResidencial baixa renda – faixa 01Não se aplicaNão se aplicaFora ponta",Mercado_Receita!$L$2:$L$379)+SUMIF(Mercado_Receita!$S$2:$S$379,"44531B1Convencional pré-pagamentoResidencialResidencial baixa renda – faixa 01Não se aplicaNão se aplicaIntermediário",Mercado_Receita!$L$2:$L$379)+SUMIF(Mercado_Receita!$S$2:$S$379,"44531B1Convencional pré-pagamentoResidencialResidencial baixa renda – faixa 01Não se aplicaNão se aplicaNão se aplica",Mercado_Receita!$L$2:$L$379)</f>
        <v>0</v>
      </c>
      <c r="N23" s="13">
        <f>SUMIF(Mercado_Receita!$S$2:$S$379,"44562B1Convencional pré-pagamentoResidencialResidencial baixa renda – faixa 01Não se aplicaNão se aplicaPonta",Mercado_Receita!$L$2:$L$379)+SUMIF(Mercado_Receita!$S$2:$S$379,"44562B1Convencional pré-pagamentoResidencialResidencial baixa renda – faixa 01Não se aplicaNão se aplicaFora ponta",Mercado_Receita!$L$2:$L$379)+SUMIF(Mercado_Receita!$S$2:$S$379,"44562B1Convencional pré-pagamentoResidencialResidencial baixa renda – faixa 01Não se aplicaNão se aplicaIntermediário",Mercado_Receita!$L$2:$L$379)+SUMIF(Mercado_Receita!$S$2:$S$379,"44562B1Convencional pré-pagamentoResidencialResidencial baixa renda – faixa 01Não se aplicaNão se aplicaNão se aplica",Mercado_Receita!$L$2:$L$379)</f>
        <v>0</v>
      </c>
      <c r="O23" s="13">
        <f>SUMIF(Mercado_Receita!$S$2:$S$379,"44593B1Convencional pré-pagamentoResidencialResidencial baixa renda – faixa 01Não se aplicaNão se aplicaPonta",Mercado_Receita!$L$2:$L$379)+SUMIF(Mercado_Receita!$S$2:$S$379,"44593B1Convencional pré-pagamentoResidencialResidencial baixa renda – faixa 01Não se aplicaNão se aplicaFora ponta",Mercado_Receita!$L$2:$L$379)+SUMIF(Mercado_Receita!$S$2:$S$379,"44593B1Convencional pré-pagamentoResidencialResidencial baixa renda – faixa 01Não se aplicaNão se aplicaIntermediário",Mercado_Receita!$L$2:$L$379)+SUMIF(Mercado_Receita!$S$2:$S$379,"44593B1Convencional pré-pagamentoResidencialResidencial baixa renda – faixa 01Não se aplicaNão se aplicaNão se aplica",Mercado_Receita!$L$2:$L$379)</f>
        <v>0</v>
      </c>
      <c r="P23" s="13">
        <f>SUMIF(Mercado_Receita!$S$2:$S$379,"44621B1Convencional pré-pagamentoResidencialResidencial baixa renda – faixa 01Não se aplicaNão se aplicaPonta",Mercado_Receita!$L$2:$L$379)+SUMIF(Mercado_Receita!$S$2:$S$379,"44621B1Convencional pré-pagamentoResidencialResidencial baixa renda – faixa 01Não se aplicaNão se aplicaFora ponta",Mercado_Receita!$L$2:$L$379)+SUMIF(Mercado_Receita!$S$2:$S$379,"44621B1Convencional pré-pagamentoResidencialResidencial baixa renda – faixa 01Não se aplicaNão se aplicaIntermediário",Mercado_Receita!$L$2:$L$379)+SUMIF(Mercado_Receita!$S$2:$S$379,"44621B1Convencional pré-pagamentoResidencialResidencial baixa renda – faixa 01Não se aplicaNão se aplicaNão se aplica",Mercado_Receita!$L$2:$L$379)</f>
        <v>0</v>
      </c>
      <c r="Q23" s="13">
        <f>SUMIF(Mercado_Receita!$S$2:$S$379,"44652B1Convencional pré-pagamentoResidencialResidencial baixa renda – faixa 01Não se aplicaNão se aplicaPonta",Mercado_Receita!$L$2:$L$379)+SUMIF(Mercado_Receita!$S$2:$S$379,"44652B1Convencional pré-pagamentoResidencialResidencial baixa renda – faixa 01Não se aplicaNão se aplicaFora ponta",Mercado_Receita!$L$2:$L$379)+SUMIF(Mercado_Receita!$S$2:$S$379,"44652B1Convencional pré-pagamentoResidencialResidencial baixa renda – faixa 01Não se aplicaNão se aplicaIntermediário",Mercado_Receita!$L$2:$L$379)+SUMIF(Mercado_Receita!$S$2:$S$379,"44652B1Convencional pré-pagamentoResidencialResidencial baixa renda – faixa 01Não se aplicaNão se aplicaNão se aplica",Mercado_Receita!$L$2:$L$379)</f>
        <v>0</v>
      </c>
      <c r="R23" s="13">
        <f>SUMIF(Mercado_Receita!$S$2:$S$379,"44682B1Convencional pré-pagamentoResidencialResidencial baixa renda – faixa 01Não se aplicaNão se aplicaPonta",Mercado_Receita!$L$2:$L$379)+SUMIF(Mercado_Receita!$S$2:$S$379,"44682B1Convencional pré-pagamentoResidencialResidencial baixa renda – faixa 01Não se aplicaNão se aplicaFora ponta",Mercado_Receita!$L$2:$L$379)+SUMIF(Mercado_Receita!$S$2:$S$379,"44682B1Convencional pré-pagamentoResidencialResidencial baixa renda – faixa 01Não se aplicaNão se aplicaIntermediário",Mercado_Receita!$L$2:$L$379)+SUMIF(Mercado_Receita!$S$2:$S$379,"44682B1Convencional pré-pagamentoResidencialResidencial baixa renda – faixa 01Não se aplicaNão se aplicaNão se aplica",Mercado_Receita!$L$2:$L$379)</f>
        <v>0</v>
      </c>
      <c r="S23" s="13">
        <f>SUMIF(Mercado_Receita!$S$2:$S$379,"44713B1Convencional pré-pagamentoResidencialResidencial baixa renda – faixa 01Não se aplicaNão se aplicaPonta",Mercado_Receita!$L$2:$L$379)+SUMIF(Mercado_Receita!$S$2:$S$379,"44713B1Convencional pré-pagamentoResidencialResidencial baixa renda – faixa 01Não se aplicaNão se aplicaFora ponta",Mercado_Receita!$L$2:$L$379)+SUMIF(Mercado_Receita!$S$2:$S$379,"44713B1Convencional pré-pagamentoResidencialResidencial baixa renda – faixa 01Não se aplicaNão se aplicaIntermediário",Mercado_Receita!$L$2:$L$379)+SUMIF(Mercado_Receita!$S$2:$S$379,"44713B1Convencional pré-pagamentoResidencialResidencial baixa renda – faixa 01Não se aplicaNão se aplicaNão se aplica",Mercado_Receita!$L$2:$L$379)</f>
        <v>0</v>
      </c>
      <c r="T23" s="13">
        <f>SUMIF(Mercado_Receita!$S$2:$S$379,"44743B1Convencional pré-pagamentoResidencialResidencial baixa renda – faixa 01Não se aplicaNão se aplicaPonta",Mercado_Receita!$L$2:$L$379)+SUMIF(Mercado_Receita!$S$2:$S$379,"44743B1Convencional pré-pagamentoResidencialResidencial baixa renda – faixa 01Não se aplicaNão se aplicaFora ponta",Mercado_Receita!$L$2:$L$379)+SUMIF(Mercado_Receita!$S$2:$S$379,"44743B1Convencional pré-pagamentoResidencialResidencial baixa renda – faixa 01Não se aplicaNão se aplicaIntermediário",Mercado_Receita!$L$2:$L$379)+SUMIF(Mercado_Receita!$S$2:$S$379,"44743B1Convencional pré-pagamentoResidencialResidencial baixa renda – faixa 01Não se aplicaNão se aplicaNão se aplica",Mercado_Receita!$L$2:$L$379)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125"/>
      <c r="B24" s="125"/>
      <c r="C24" s="125"/>
      <c r="D24" s="12" t="s">
        <v>29</v>
      </c>
      <c r="E24" s="12" t="s">
        <v>25</v>
      </c>
      <c r="F24" s="12" t="s">
        <v>25</v>
      </c>
      <c r="G24" s="13" t="s">
        <v>72</v>
      </c>
      <c r="H24" s="13" t="s">
        <v>68</v>
      </c>
      <c r="I24" s="13">
        <f>SUMIF(Mercado_Receita!$S$2:$S$379,"44409B1Convencional pré-pagamentoResidencialResidencial baixa renda – faixa 02Não se aplicaNão se aplicaPonta",Mercado_Receita!$L$2:$L$379)+SUMIF(Mercado_Receita!$S$2:$S$379,"44409B1Convencional pré-pagamentoResidencialResidencial baixa renda – faixa 02Não se aplicaNão se aplicaFora ponta",Mercado_Receita!$L$2:$L$379)+SUMIF(Mercado_Receita!$S$2:$S$379,"44409B1Convencional pré-pagamentoResidencialResidencial baixa renda – faixa 02Não se aplicaNão se aplicaIntermediário",Mercado_Receita!$L$2:$L$379)+SUMIF(Mercado_Receita!$S$2:$S$379,"44409B1Convencional pré-pagamentoResidencialResidencial baixa renda – faixa 02Não se aplicaNão se aplicaNão se aplica",Mercado_Receita!$L$2:$L$379)</f>
        <v>0</v>
      </c>
      <c r="J24" s="13">
        <f>SUMIF(Mercado_Receita!$S$2:$S$379,"44440B1Convencional pré-pagamentoResidencialResidencial baixa renda – faixa 02Não se aplicaNão se aplicaPonta",Mercado_Receita!$L$2:$L$379)+SUMIF(Mercado_Receita!$S$2:$S$379,"44440B1Convencional pré-pagamentoResidencialResidencial baixa renda – faixa 02Não se aplicaNão se aplicaFora ponta",Mercado_Receita!$L$2:$L$379)+SUMIF(Mercado_Receita!$S$2:$S$379,"44440B1Convencional pré-pagamentoResidencialResidencial baixa renda – faixa 02Não se aplicaNão se aplicaIntermediário",Mercado_Receita!$L$2:$L$379)+SUMIF(Mercado_Receita!$S$2:$S$379,"44440B1Convencional pré-pagamentoResidencialResidencial baixa renda – faixa 02Não se aplicaNão se aplicaNão se aplica",Mercado_Receita!$L$2:$L$379)</f>
        <v>0</v>
      </c>
      <c r="K24" s="13">
        <f>SUMIF(Mercado_Receita!$S$2:$S$379,"44470B1Convencional pré-pagamentoResidencialResidencial baixa renda – faixa 02Não se aplicaNão se aplicaPonta",Mercado_Receita!$L$2:$L$379)+SUMIF(Mercado_Receita!$S$2:$S$379,"44470B1Convencional pré-pagamentoResidencialResidencial baixa renda – faixa 02Não se aplicaNão se aplicaFora ponta",Mercado_Receita!$L$2:$L$379)+SUMIF(Mercado_Receita!$S$2:$S$379,"44470B1Convencional pré-pagamentoResidencialResidencial baixa renda – faixa 02Não se aplicaNão se aplicaIntermediário",Mercado_Receita!$L$2:$L$379)+SUMIF(Mercado_Receita!$S$2:$S$379,"44470B1Convencional pré-pagamentoResidencialResidencial baixa renda – faixa 02Não se aplicaNão se aplicaNão se aplica",Mercado_Receita!$L$2:$L$379)</f>
        <v>0</v>
      </c>
      <c r="L24" s="13">
        <f>SUMIF(Mercado_Receita!$S$2:$S$379,"44501B1Convencional pré-pagamentoResidencialResidencial baixa renda – faixa 02Não se aplicaNão se aplicaPonta",Mercado_Receita!$L$2:$L$379)+SUMIF(Mercado_Receita!$S$2:$S$379,"44501B1Convencional pré-pagamentoResidencialResidencial baixa renda – faixa 02Não se aplicaNão se aplicaFora ponta",Mercado_Receita!$L$2:$L$379)+SUMIF(Mercado_Receita!$S$2:$S$379,"44501B1Convencional pré-pagamentoResidencialResidencial baixa renda – faixa 02Não se aplicaNão se aplicaIntermediário",Mercado_Receita!$L$2:$L$379)+SUMIF(Mercado_Receita!$S$2:$S$379,"44501B1Convencional pré-pagamentoResidencialResidencial baixa renda – faixa 02Não se aplicaNão se aplicaNão se aplica",Mercado_Receita!$L$2:$L$379)</f>
        <v>0</v>
      </c>
      <c r="M24" s="13">
        <f>SUMIF(Mercado_Receita!$S$2:$S$379,"44531B1Convencional pré-pagamentoResidencialResidencial baixa renda – faixa 02Não se aplicaNão se aplicaPonta",Mercado_Receita!$L$2:$L$379)+SUMIF(Mercado_Receita!$S$2:$S$379,"44531B1Convencional pré-pagamentoResidencialResidencial baixa renda – faixa 02Não se aplicaNão se aplicaFora ponta",Mercado_Receita!$L$2:$L$379)+SUMIF(Mercado_Receita!$S$2:$S$379,"44531B1Convencional pré-pagamentoResidencialResidencial baixa renda – faixa 02Não se aplicaNão se aplicaIntermediário",Mercado_Receita!$L$2:$L$379)+SUMIF(Mercado_Receita!$S$2:$S$379,"44531B1Convencional pré-pagamentoResidencialResidencial baixa renda – faixa 02Não se aplicaNão se aplicaNão se aplica",Mercado_Receita!$L$2:$L$379)</f>
        <v>0</v>
      </c>
      <c r="N24" s="13">
        <f>SUMIF(Mercado_Receita!$S$2:$S$379,"44562B1Convencional pré-pagamentoResidencialResidencial baixa renda – faixa 02Não se aplicaNão se aplicaPonta",Mercado_Receita!$L$2:$L$379)+SUMIF(Mercado_Receita!$S$2:$S$379,"44562B1Convencional pré-pagamentoResidencialResidencial baixa renda – faixa 02Não se aplicaNão se aplicaFora ponta",Mercado_Receita!$L$2:$L$379)+SUMIF(Mercado_Receita!$S$2:$S$379,"44562B1Convencional pré-pagamentoResidencialResidencial baixa renda – faixa 02Não se aplicaNão se aplicaIntermediário",Mercado_Receita!$L$2:$L$379)+SUMIF(Mercado_Receita!$S$2:$S$379,"44562B1Convencional pré-pagamentoResidencialResidencial baixa renda – faixa 02Não se aplicaNão se aplicaNão se aplica",Mercado_Receita!$L$2:$L$379)</f>
        <v>0</v>
      </c>
      <c r="O24" s="13">
        <f>SUMIF(Mercado_Receita!$S$2:$S$379,"44593B1Convencional pré-pagamentoResidencialResidencial baixa renda – faixa 02Não se aplicaNão se aplicaPonta",Mercado_Receita!$L$2:$L$379)+SUMIF(Mercado_Receita!$S$2:$S$379,"44593B1Convencional pré-pagamentoResidencialResidencial baixa renda – faixa 02Não se aplicaNão se aplicaFora ponta",Mercado_Receita!$L$2:$L$379)+SUMIF(Mercado_Receita!$S$2:$S$379,"44593B1Convencional pré-pagamentoResidencialResidencial baixa renda – faixa 02Não se aplicaNão se aplicaIntermediário",Mercado_Receita!$L$2:$L$379)+SUMIF(Mercado_Receita!$S$2:$S$379,"44593B1Convencional pré-pagamentoResidencialResidencial baixa renda – faixa 02Não se aplicaNão se aplicaNão se aplica",Mercado_Receita!$L$2:$L$379)</f>
        <v>0</v>
      </c>
      <c r="P24" s="13">
        <f>SUMIF(Mercado_Receita!$S$2:$S$379,"44621B1Convencional pré-pagamentoResidencialResidencial baixa renda – faixa 02Não se aplicaNão se aplicaPonta",Mercado_Receita!$L$2:$L$379)+SUMIF(Mercado_Receita!$S$2:$S$379,"44621B1Convencional pré-pagamentoResidencialResidencial baixa renda – faixa 02Não se aplicaNão se aplicaFora ponta",Mercado_Receita!$L$2:$L$379)+SUMIF(Mercado_Receita!$S$2:$S$379,"44621B1Convencional pré-pagamentoResidencialResidencial baixa renda – faixa 02Não se aplicaNão se aplicaIntermediário",Mercado_Receita!$L$2:$L$379)+SUMIF(Mercado_Receita!$S$2:$S$379,"44621B1Convencional pré-pagamentoResidencialResidencial baixa renda – faixa 02Não se aplicaNão se aplicaNão se aplica",Mercado_Receita!$L$2:$L$379)</f>
        <v>0</v>
      </c>
      <c r="Q24" s="13">
        <f>SUMIF(Mercado_Receita!$S$2:$S$379,"44652B1Convencional pré-pagamentoResidencialResidencial baixa renda – faixa 02Não se aplicaNão se aplicaPonta",Mercado_Receita!$L$2:$L$379)+SUMIF(Mercado_Receita!$S$2:$S$379,"44652B1Convencional pré-pagamentoResidencialResidencial baixa renda – faixa 02Não se aplicaNão se aplicaFora ponta",Mercado_Receita!$L$2:$L$379)+SUMIF(Mercado_Receita!$S$2:$S$379,"44652B1Convencional pré-pagamentoResidencialResidencial baixa renda – faixa 02Não se aplicaNão se aplicaIntermediário",Mercado_Receita!$L$2:$L$379)+SUMIF(Mercado_Receita!$S$2:$S$379,"44652B1Convencional pré-pagamentoResidencialResidencial baixa renda – faixa 02Não se aplicaNão se aplicaNão se aplica",Mercado_Receita!$L$2:$L$379)</f>
        <v>0</v>
      </c>
      <c r="R24" s="13">
        <f>SUMIF(Mercado_Receita!$S$2:$S$379,"44682B1Convencional pré-pagamentoResidencialResidencial baixa renda – faixa 02Não se aplicaNão se aplicaPonta",Mercado_Receita!$L$2:$L$379)+SUMIF(Mercado_Receita!$S$2:$S$379,"44682B1Convencional pré-pagamentoResidencialResidencial baixa renda – faixa 02Não se aplicaNão se aplicaFora ponta",Mercado_Receita!$L$2:$L$379)+SUMIF(Mercado_Receita!$S$2:$S$379,"44682B1Convencional pré-pagamentoResidencialResidencial baixa renda – faixa 02Não se aplicaNão se aplicaIntermediário",Mercado_Receita!$L$2:$L$379)+SUMIF(Mercado_Receita!$S$2:$S$379,"44682B1Convencional pré-pagamentoResidencialResidencial baixa renda – faixa 02Não se aplicaNão se aplicaNão se aplica",Mercado_Receita!$L$2:$L$379)</f>
        <v>0</v>
      </c>
      <c r="S24" s="13">
        <f>SUMIF(Mercado_Receita!$S$2:$S$379,"44713B1Convencional pré-pagamentoResidencialResidencial baixa renda – faixa 02Não se aplicaNão se aplicaPonta",Mercado_Receita!$L$2:$L$379)+SUMIF(Mercado_Receita!$S$2:$S$379,"44713B1Convencional pré-pagamentoResidencialResidencial baixa renda – faixa 02Não se aplicaNão se aplicaFora ponta",Mercado_Receita!$L$2:$L$379)+SUMIF(Mercado_Receita!$S$2:$S$379,"44713B1Convencional pré-pagamentoResidencialResidencial baixa renda – faixa 02Não se aplicaNão se aplicaIntermediário",Mercado_Receita!$L$2:$L$379)+SUMIF(Mercado_Receita!$S$2:$S$379,"44713B1Convencional pré-pagamentoResidencialResidencial baixa renda – faixa 02Não se aplicaNão se aplicaNão se aplica",Mercado_Receita!$L$2:$L$379)</f>
        <v>0</v>
      </c>
      <c r="T24" s="13">
        <f>SUMIF(Mercado_Receita!$S$2:$S$379,"44743B1Convencional pré-pagamentoResidencialResidencial baixa renda – faixa 02Não se aplicaNão se aplicaPonta",Mercado_Receita!$L$2:$L$379)+SUMIF(Mercado_Receita!$S$2:$S$379,"44743B1Convencional pré-pagamentoResidencialResidencial baixa renda – faixa 02Não se aplicaNão se aplicaFora ponta",Mercado_Receita!$L$2:$L$379)+SUMIF(Mercado_Receita!$S$2:$S$379,"44743B1Convencional pré-pagamentoResidencialResidencial baixa renda – faixa 02Não se aplicaNão se aplicaIntermediário",Mercado_Receita!$L$2:$L$379)+SUMIF(Mercado_Receita!$S$2:$S$379,"44743B1Convencional pré-pagamentoResidencialResidencial baixa renda – faixa 02Não se aplicaNão se aplicaNão se aplica",Mercado_Receita!$L$2:$L$379)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125"/>
      <c r="B25" s="125"/>
      <c r="C25" s="125"/>
      <c r="D25" s="12" t="s">
        <v>30</v>
      </c>
      <c r="E25" s="12" t="s">
        <v>25</v>
      </c>
      <c r="F25" s="12" t="s">
        <v>25</v>
      </c>
      <c r="G25" s="13" t="s">
        <v>72</v>
      </c>
      <c r="H25" s="13" t="s">
        <v>68</v>
      </c>
      <c r="I25" s="13">
        <f>SUMIF(Mercado_Receita!$S$2:$S$379,"44409B1Convencional pré-pagamentoResidencialResidencial baixa renda – faixa 03Não se aplicaNão se aplicaPonta",Mercado_Receita!$L$2:$L$379)+SUMIF(Mercado_Receita!$S$2:$S$379,"44409B1Convencional pré-pagamentoResidencialResidencial baixa renda – faixa 03Não se aplicaNão se aplicaFora ponta",Mercado_Receita!$L$2:$L$379)+SUMIF(Mercado_Receita!$S$2:$S$379,"44409B1Convencional pré-pagamentoResidencialResidencial baixa renda – faixa 03Não se aplicaNão se aplicaIntermediário",Mercado_Receita!$L$2:$L$379)+SUMIF(Mercado_Receita!$S$2:$S$379,"44409B1Convencional pré-pagamentoResidencialResidencial baixa renda – faixa 03Não se aplicaNão se aplicaNão se aplica",Mercado_Receita!$L$2:$L$379)</f>
        <v>0</v>
      </c>
      <c r="J25" s="13">
        <f>SUMIF(Mercado_Receita!$S$2:$S$379,"44440B1Convencional pré-pagamentoResidencialResidencial baixa renda – faixa 03Não se aplicaNão se aplicaPonta",Mercado_Receita!$L$2:$L$379)+SUMIF(Mercado_Receita!$S$2:$S$379,"44440B1Convencional pré-pagamentoResidencialResidencial baixa renda – faixa 03Não se aplicaNão se aplicaFora ponta",Mercado_Receita!$L$2:$L$379)+SUMIF(Mercado_Receita!$S$2:$S$379,"44440B1Convencional pré-pagamentoResidencialResidencial baixa renda – faixa 03Não se aplicaNão se aplicaIntermediário",Mercado_Receita!$L$2:$L$379)+SUMIF(Mercado_Receita!$S$2:$S$379,"44440B1Convencional pré-pagamentoResidencialResidencial baixa renda – faixa 03Não se aplicaNão se aplicaNão se aplica",Mercado_Receita!$L$2:$L$379)</f>
        <v>0</v>
      </c>
      <c r="K25" s="13">
        <f>SUMIF(Mercado_Receita!$S$2:$S$379,"44470B1Convencional pré-pagamentoResidencialResidencial baixa renda – faixa 03Não se aplicaNão se aplicaPonta",Mercado_Receita!$L$2:$L$379)+SUMIF(Mercado_Receita!$S$2:$S$379,"44470B1Convencional pré-pagamentoResidencialResidencial baixa renda – faixa 03Não se aplicaNão se aplicaFora ponta",Mercado_Receita!$L$2:$L$379)+SUMIF(Mercado_Receita!$S$2:$S$379,"44470B1Convencional pré-pagamentoResidencialResidencial baixa renda – faixa 03Não se aplicaNão se aplicaIntermediário",Mercado_Receita!$L$2:$L$379)+SUMIF(Mercado_Receita!$S$2:$S$379,"44470B1Convencional pré-pagamentoResidencialResidencial baixa renda – faixa 03Não se aplicaNão se aplicaNão se aplica",Mercado_Receita!$L$2:$L$379)</f>
        <v>0</v>
      </c>
      <c r="L25" s="13">
        <f>SUMIF(Mercado_Receita!$S$2:$S$379,"44501B1Convencional pré-pagamentoResidencialResidencial baixa renda – faixa 03Não se aplicaNão se aplicaPonta",Mercado_Receita!$L$2:$L$379)+SUMIF(Mercado_Receita!$S$2:$S$379,"44501B1Convencional pré-pagamentoResidencialResidencial baixa renda – faixa 03Não se aplicaNão se aplicaFora ponta",Mercado_Receita!$L$2:$L$379)+SUMIF(Mercado_Receita!$S$2:$S$379,"44501B1Convencional pré-pagamentoResidencialResidencial baixa renda – faixa 03Não se aplicaNão se aplicaIntermediário",Mercado_Receita!$L$2:$L$379)+SUMIF(Mercado_Receita!$S$2:$S$379,"44501B1Convencional pré-pagamentoResidencialResidencial baixa renda – faixa 03Não se aplicaNão se aplicaNão se aplica",Mercado_Receita!$L$2:$L$379)</f>
        <v>0</v>
      </c>
      <c r="M25" s="13">
        <f>SUMIF(Mercado_Receita!$S$2:$S$379,"44531B1Convencional pré-pagamentoResidencialResidencial baixa renda – faixa 03Não se aplicaNão se aplicaPonta",Mercado_Receita!$L$2:$L$379)+SUMIF(Mercado_Receita!$S$2:$S$379,"44531B1Convencional pré-pagamentoResidencialResidencial baixa renda – faixa 03Não se aplicaNão se aplicaFora ponta",Mercado_Receita!$L$2:$L$379)+SUMIF(Mercado_Receita!$S$2:$S$379,"44531B1Convencional pré-pagamentoResidencialResidencial baixa renda – faixa 03Não se aplicaNão se aplicaIntermediário",Mercado_Receita!$L$2:$L$379)+SUMIF(Mercado_Receita!$S$2:$S$379,"44531B1Convencional pré-pagamentoResidencialResidencial baixa renda – faixa 03Não se aplicaNão se aplicaNão se aplica",Mercado_Receita!$L$2:$L$379)</f>
        <v>0</v>
      </c>
      <c r="N25" s="13">
        <f>SUMIF(Mercado_Receita!$S$2:$S$379,"44562B1Convencional pré-pagamentoResidencialResidencial baixa renda – faixa 03Não se aplicaNão se aplicaPonta",Mercado_Receita!$L$2:$L$379)+SUMIF(Mercado_Receita!$S$2:$S$379,"44562B1Convencional pré-pagamentoResidencialResidencial baixa renda – faixa 03Não se aplicaNão se aplicaFora ponta",Mercado_Receita!$L$2:$L$379)+SUMIF(Mercado_Receita!$S$2:$S$379,"44562B1Convencional pré-pagamentoResidencialResidencial baixa renda – faixa 03Não se aplicaNão se aplicaIntermediário",Mercado_Receita!$L$2:$L$379)+SUMIF(Mercado_Receita!$S$2:$S$379,"44562B1Convencional pré-pagamentoResidencialResidencial baixa renda – faixa 03Não se aplicaNão se aplicaNão se aplica",Mercado_Receita!$L$2:$L$379)</f>
        <v>0</v>
      </c>
      <c r="O25" s="13">
        <f>SUMIF(Mercado_Receita!$S$2:$S$379,"44593B1Convencional pré-pagamentoResidencialResidencial baixa renda – faixa 03Não se aplicaNão se aplicaPonta",Mercado_Receita!$L$2:$L$379)+SUMIF(Mercado_Receita!$S$2:$S$379,"44593B1Convencional pré-pagamentoResidencialResidencial baixa renda – faixa 03Não se aplicaNão se aplicaFora ponta",Mercado_Receita!$L$2:$L$379)+SUMIF(Mercado_Receita!$S$2:$S$379,"44593B1Convencional pré-pagamentoResidencialResidencial baixa renda – faixa 03Não se aplicaNão se aplicaIntermediário",Mercado_Receita!$L$2:$L$379)+SUMIF(Mercado_Receita!$S$2:$S$379,"44593B1Convencional pré-pagamentoResidencialResidencial baixa renda – faixa 03Não se aplicaNão se aplicaNão se aplica",Mercado_Receita!$L$2:$L$379)</f>
        <v>0</v>
      </c>
      <c r="P25" s="13">
        <f>SUMIF(Mercado_Receita!$S$2:$S$379,"44621B1Convencional pré-pagamentoResidencialResidencial baixa renda – faixa 03Não se aplicaNão se aplicaPonta",Mercado_Receita!$L$2:$L$379)+SUMIF(Mercado_Receita!$S$2:$S$379,"44621B1Convencional pré-pagamentoResidencialResidencial baixa renda – faixa 03Não se aplicaNão se aplicaFora ponta",Mercado_Receita!$L$2:$L$379)+SUMIF(Mercado_Receita!$S$2:$S$379,"44621B1Convencional pré-pagamentoResidencialResidencial baixa renda – faixa 03Não se aplicaNão se aplicaIntermediário",Mercado_Receita!$L$2:$L$379)+SUMIF(Mercado_Receita!$S$2:$S$379,"44621B1Convencional pré-pagamentoResidencialResidencial baixa renda – faixa 03Não se aplicaNão se aplicaNão se aplica",Mercado_Receita!$L$2:$L$379)</f>
        <v>0</v>
      </c>
      <c r="Q25" s="13">
        <f>SUMIF(Mercado_Receita!$S$2:$S$379,"44652B1Convencional pré-pagamentoResidencialResidencial baixa renda – faixa 03Não se aplicaNão se aplicaPonta",Mercado_Receita!$L$2:$L$379)+SUMIF(Mercado_Receita!$S$2:$S$379,"44652B1Convencional pré-pagamentoResidencialResidencial baixa renda – faixa 03Não se aplicaNão se aplicaFora ponta",Mercado_Receita!$L$2:$L$379)+SUMIF(Mercado_Receita!$S$2:$S$379,"44652B1Convencional pré-pagamentoResidencialResidencial baixa renda – faixa 03Não se aplicaNão se aplicaIntermediário",Mercado_Receita!$L$2:$L$379)+SUMIF(Mercado_Receita!$S$2:$S$379,"44652B1Convencional pré-pagamentoResidencialResidencial baixa renda – faixa 03Não se aplicaNão se aplicaNão se aplica",Mercado_Receita!$L$2:$L$379)</f>
        <v>0</v>
      </c>
      <c r="R25" s="13">
        <f>SUMIF(Mercado_Receita!$S$2:$S$379,"44682B1Convencional pré-pagamentoResidencialResidencial baixa renda – faixa 03Não se aplicaNão se aplicaPonta",Mercado_Receita!$L$2:$L$379)+SUMIF(Mercado_Receita!$S$2:$S$379,"44682B1Convencional pré-pagamentoResidencialResidencial baixa renda – faixa 03Não se aplicaNão se aplicaFora ponta",Mercado_Receita!$L$2:$L$379)+SUMIF(Mercado_Receita!$S$2:$S$379,"44682B1Convencional pré-pagamentoResidencialResidencial baixa renda – faixa 03Não se aplicaNão se aplicaIntermediário",Mercado_Receita!$L$2:$L$379)+SUMIF(Mercado_Receita!$S$2:$S$379,"44682B1Convencional pré-pagamentoResidencialResidencial baixa renda – faixa 03Não se aplicaNão se aplicaNão se aplica",Mercado_Receita!$L$2:$L$379)</f>
        <v>0</v>
      </c>
      <c r="S25" s="13">
        <f>SUMIF(Mercado_Receita!$S$2:$S$379,"44713B1Convencional pré-pagamentoResidencialResidencial baixa renda – faixa 03Não se aplicaNão se aplicaPonta",Mercado_Receita!$L$2:$L$379)+SUMIF(Mercado_Receita!$S$2:$S$379,"44713B1Convencional pré-pagamentoResidencialResidencial baixa renda – faixa 03Não se aplicaNão se aplicaFora ponta",Mercado_Receita!$L$2:$L$379)+SUMIF(Mercado_Receita!$S$2:$S$379,"44713B1Convencional pré-pagamentoResidencialResidencial baixa renda – faixa 03Não se aplicaNão se aplicaIntermediário",Mercado_Receita!$L$2:$L$379)+SUMIF(Mercado_Receita!$S$2:$S$379,"44713B1Convencional pré-pagamentoResidencialResidencial baixa renda – faixa 03Não se aplicaNão se aplicaNão se aplica",Mercado_Receita!$L$2:$L$379)</f>
        <v>0</v>
      </c>
      <c r="T25" s="13">
        <f>SUMIF(Mercado_Receita!$S$2:$S$379,"44743B1Convencional pré-pagamentoResidencialResidencial baixa renda – faixa 03Não se aplicaNão se aplicaPonta",Mercado_Receita!$L$2:$L$379)+SUMIF(Mercado_Receita!$S$2:$S$379,"44743B1Convencional pré-pagamentoResidencialResidencial baixa renda – faixa 03Não se aplicaNão se aplicaFora ponta",Mercado_Receita!$L$2:$L$379)+SUMIF(Mercado_Receita!$S$2:$S$379,"44743B1Convencional pré-pagamentoResidencialResidencial baixa renda – faixa 03Não se aplicaNão se aplicaIntermediário",Mercado_Receita!$L$2:$L$379)+SUMIF(Mercado_Receita!$S$2:$S$379,"44743B1Convencional pré-pagamentoResidencialResidencial baixa renda – faixa 03Não se aplicaNão se aplicaNão se aplica",Mercado_Receita!$L$2:$L$379)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125"/>
      <c r="B26" s="125"/>
      <c r="C26" s="125"/>
      <c r="D26" s="12" t="s">
        <v>31</v>
      </c>
      <c r="E26" s="12" t="s">
        <v>25</v>
      </c>
      <c r="F26" s="12" t="s">
        <v>25</v>
      </c>
      <c r="G26" s="13" t="s">
        <v>72</v>
      </c>
      <c r="H26" s="13" t="s">
        <v>68</v>
      </c>
      <c r="I26" s="13">
        <f>SUMIF(Mercado_Receita!$S$2:$S$379,"44409B1Convencional pré-pagamentoResidencialResidencial baixa renda – faixa 04Não se aplicaNão se aplicaPonta",Mercado_Receita!$L$2:$L$379)+SUMIF(Mercado_Receita!$S$2:$S$379,"44409B1Convencional pré-pagamentoResidencialResidencial baixa renda – faixa 04Não se aplicaNão se aplicaFora ponta",Mercado_Receita!$L$2:$L$379)+SUMIF(Mercado_Receita!$S$2:$S$379,"44409B1Convencional pré-pagamentoResidencialResidencial baixa renda – faixa 04Não se aplicaNão se aplicaIntermediário",Mercado_Receita!$L$2:$L$379)+SUMIF(Mercado_Receita!$S$2:$S$379,"44409B1Convencional pré-pagamentoResidencialResidencial baixa renda – faixa 04Não se aplicaNão se aplicaNão se aplica",Mercado_Receita!$L$2:$L$379)</f>
        <v>0</v>
      </c>
      <c r="J26" s="13">
        <f>SUMIF(Mercado_Receita!$S$2:$S$379,"44440B1Convencional pré-pagamentoResidencialResidencial baixa renda – faixa 04Não se aplicaNão se aplicaPonta",Mercado_Receita!$L$2:$L$379)+SUMIF(Mercado_Receita!$S$2:$S$379,"44440B1Convencional pré-pagamentoResidencialResidencial baixa renda – faixa 04Não se aplicaNão se aplicaFora ponta",Mercado_Receita!$L$2:$L$379)+SUMIF(Mercado_Receita!$S$2:$S$379,"44440B1Convencional pré-pagamentoResidencialResidencial baixa renda – faixa 04Não se aplicaNão se aplicaIntermediário",Mercado_Receita!$L$2:$L$379)+SUMIF(Mercado_Receita!$S$2:$S$379,"44440B1Convencional pré-pagamentoResidencialResidencial baixa renda – faixa 04Não se aplicaNão se aplicaNão se aplica",Mercado_Receita!$L$2:$L$379)</f>
        <v>0</v>
      </c>
      <c r="K26" s="13">
        <f>SUMIF(Mercado_Receita!$S$2:$S$379,"44470B1Convencional pré-pagamentoResidencialResidencial baixa renda – faixa 04Não se aplicaNão se aplicaPonta",Mercado_Receita!$L$2:$L$379)+SUMIF(Mercado_Receita!$S$2:$S$379,"44470B1Convencional pré-pagamentoResidencialResidencial baixa renda – faixa 04Não se aplicaNão se aplicaFora ponta",Mercado_Receita!$L$2:$L$379)+SUMIF(Mercado_Receita!$S$2:$S$379,"44470B1Convencional pré-pagamentoResidencialResidencial baixa renda – faixa 04Não se aplicaNão se aplicaIntermediário",Mercado_Receita!$L$2:$L$379)+SUMIF(Mercado_Receita!$S$2:$S$379,"44470B1Convencional pré-pagamentoResidencialResidencial baixa renda – faixa 04Não se aplicaNão se aplicaNão se aplica",Mercado_Receita!$L$2:$L$379)</f>
        <v>0</v>
      </c>
      <c r="L26" s="13">
        <f>SUMIF(Mercado_Receita!$S$2:$S$379,"44501B1Convencional pré-pagamentoResidencialResidencial baixa renda – faixa 04Não se aplicaNão se aplicaPonta",Mercado_Receita!$L$2:$L$379)+SUMIF(Mercado_Receita!$S$2:$S$379,"44501B1Convencional pré-pagamentoResidencialResidencial baixa renda – faixa 04Não se aplicaNão se aplicaFora ponta",Mercado_Receita!$L$2:$L$379)+SUMIF(Mercado_Receita!$S$2:$S$379,"44501B1Convencional pré-pagamentoResidencialResidencial baixa renda – faixa 04Não se aplicaNão se aplicaIntermediário",Mercado_Receita!$L$2:$L$379)+SUMIF(Mercado_Receita!$S$2:$S$379,"44501B1Convencional pré-pagamentoResidencialResidencial baixa renda – faixa 04Não se aplicaNão se aplicaNão se aplica",Mercado_Receita!$L$2:$L$379)</f>
        <v>0</v>
      </c>
      <c r="M26" s="13">
        <f>SUMIF(Mercado_Receita!$S$2:$S$379,"44531B1Convencional pré-pagamentoResidencialResidencial baixa renda – faixa 04Não se aplicaNão se aplicaPonta",Mercado_Receita!$L$2:$L$379)+SUMIF(Mercado_Receita!$S$2:$S$379,"44531B1Convencional pré-pagamentoResidencialResidencial baixa renda – faixa 04Não se aplicaNão se aplicaFora ponta",Mercado_Receita!$L$2:$L$379)+SUMIF(Mercado_Receita!$S$2:$S$379,"44531B1Convencional pré-pagamentoResidencialResidencial baixa renda – faixa 04Não se aplicaNão se aplicaIntermediário",Mercado_Receita!$L$2:$L$379)+SUMIF(Mercado_Receita!$S$2:$S$379,"44531B1Convencional pré-pagamentoResidencialResidencial baixa renda – faixa 04Não se aplicaNão se aplicaNão se aplica",Mercado_Receita!$L$2:$L$379)</f>
        <v>0</v>
      </c>
      <c r="N26" s="13">
        <f>SUMIF(Mercado_Receita!$S$2:$S$379,"44562B1Convencional pré-pagamentoResidencialResidencial baixa renda – faixa 04Não se aplicaNão se aplicaPonta",Mercado_Receita!$L$2:$L$379)+SUMIF(Mercado_Receita!$S$2:$S$379,"44562B1Convencional pré-pagamentoResidencialResidencial baixa renda – faixa 04Não se aplicaNão se aplicaFora ponta",Mercado_Receita!$L$2:$L$379)+SUMIF(Mercado_Receita!$S$2:$S$379,"44562B1Convencional pré-pagamentoResidencialResidencial baixa renda – faixa 04Não se aplicaNão se aplicaIntermediário",Mercado_Receita!$L$2:$L$379)+SUMIF(Mercado_Receita!$S$2:$S$379,"44562B1Convencional pré-pagamentoResidencialResidencial baixa renda – faixa 04Não se aplicaNão se aplicaNão se aplica",Mercado_Receita!$L$2:$L$379)</f>
        <v>0</v>
      </c>
      <c r="O26" s="13">
        <f>SUMIF(Mercado_Receita!$S$2:$S$379,"44593B1Convencional pré-pagamentoResidencialResidencial baixa renda – faixa 04Não se aplicaNão se aplicaPonta",Mercado_Receita!$L$2:$L$379)+SUMIF(Mercado_Receita!$S$2:$S$379,"44593B1Convencional pré-pagamentoResidencialResidencial baixa renda – faixa 04Não se aplicaNão se aplicaFora ponta",Mercado_Receita!$L$2:$L$379)+SUMIF(Mercado_Receita!$S$2:$S$379,"44593B1Convencional pré-pagamentoResidencialResidencial baixa renda – faixa 04Não se aplicaNão se aplicaIntermediário",Mercado_Receita!$L$2:$L$379)+SUMIF(Mercado_Receita!$S$2:$S$379,"44593B1Convencional pré-pagamentoResidencialResidencial baixa renda – faixa 04Não se aplicaNão se aplicaNão se aplica",Mercado_Receita!$L$2:$L$379)</f>
        <v>0</v>
      </c>
      <c r="P26" s="13">
        <f>SUMIF(Mercado_Receita!$S$2:$S$379,"44621B1Convencional pré-pagamentoResidencialResidencial baixa renda – faixa 04Não se aplicaNão se aplicaPonta",Mercado_Receita!$L$2:$L$379)+SUMIF(Mercado_Receita!$S$2:$S$379,"44621B1Convencional pré-pagamentoResidencialResidencial baixa renda – faixa 04Não se aplicaNão se aplicaFora ponta",Mercado_Receita!$L$2:$L$379)+SUMIF(Mercado_Receita!$S$2:$S$379,"44621B1Convencional pré-pagamentoResidencialResidencial baixa renda – faixa 04Não se aplicaNão se aplicaIntermediário",Mercado_Receita!$L$2:$L$379)+SUMIF(Mercado_Receita!$S$2:$S$379,"44621B1Convencional pré-pagamentoResidencialResidencial baixa renda – faixa 04Não se aplicaNão se aplicaNão se aplica",Mercado_Receita!$L$2:$L$379)</f>
        <v>0</v>
      </c>
      <c r="Q26" s="13">
        <f>SUMIF(Mercado_Receita!$S$2:$S$379,"44652B1Convencional pré-pagamentoResidencialResidencial baixa renda – faixa 04Não se aplicaNão se aplicaPonta",Mercado_Receita!$L$2:$L$379)+SUMIF(Mercado_Receita!$S$2:$S$379,"44652B1Convencional pré-pagamentoResidencialResidencial baixa renda – faixa 04Não se aplicaNão se aplicaFora ponta",Mercado_Receita!$L$2:$L$379)+SUMIF(Mercado_Receita!$S$2:$S$379,"44652B1Convencional pré-pagamentoResidencialResidencial baixa renda – faixa 04Não se aplicaNão se aplicaIntermediário",Mercado_Receita!$L$2:$L$379)+SUMIF(Mercado_Receita!$S$2:$S$379,"44652B1Convencional pré-pagamentoResidencialResidencial baixa renda – faixa 04Não se aplicaNão se aplicaNão se aplica",Mercado_Receita!$L$2:$L$379)</f>
        <v>0</v>
      </c>
      <c r="R26" s="13">
        <f>SUMIF(Mercado_Receita!$S$2:$S$379,"44682B1Convencional pré-pagamentoResidencialResidencial baixa renda – faixa 04Não se aplicaNão se aplicaPonta",Mercado_Receita!$L$2:$L$379)+SUMIF(Mercado_Receita!$S$2:$S$379,"44682B1Convencional pré-pagamentoResidencialResidencial baixa renda – faixa 04Não se aplicaNão se aplicaFora ponta",Mercado_Receita!$L$2:$L$379)+SUMIF(Mercado_Receita!$S$2:$S$379,"44682B1Convencional pré-pagamentoResidencialResidencial baixa renda – faixa 04Não se aplicaNão se aplicaIntermediário",Mercado_Receita!$L$2:$L$379)+SUMIF(Mercado_Receita!$S$2:$S$379,"44682B1Convencional pré-pagamentoResidencialResidencial baixa renda – faixa 04Não se aplicaNão se aplicaNão se aplica",Mercado_Receita!$L$2:$L$379)</f>
        <v>0</v>
      </c>
      <c r="S26" s="13">
        <f>SUMIF(Mercado_Receita!$S$2:$S$379,"44713B1Convencional pré-pagamentoResidencialResidencial baixa renda – faixa 04Não se aplicaNão se aplicaPonta",Mercado_Receita!$L$2:$L$379)+SUMIF(Mercado_Receita!$S$2:$S$379,"44713B1Convencional pré-pagamentoResidencialResidencial baixa renda – faixa 04Não se aplicaNão se aplicaFora ponta",Mercado_Receita!$L$2:$L$379)+SUMIF(Mercado_Receita!$S$2:$S$379,"44713B1Convencional pré-pagamentoResidencialResidencial baixa renda – faixa 04Não se aplicaNão se aplicaIntermediário",Mercado_Receita!$L$2:$L$379)+SUMIF(Mercado_Receita!$S$2:$S$379,"44713B1Convencional pré-pagamentoResidencialResidencial baixa renda – faixa 04Não se aplicaNão se aplicaNão se aplica",Mercado_Receita!$L$2:$L$379)</f>
        <v>0</v>
      </c>
      <c r="T26" s="13">
        <f>SUMIF(Mercado_Receita!$S$2:$S$379,"44743B1Convencional pré-pagamentoResidencialResidencial baixa renda – faixa 04Não se aplicaNão se aplicaPonta",Mercado_Receita!$L$2:$L$379)+SUMIF(Mercado_Receita!$S$2:$S$379,"44743B1Convencional pré-pagamentoResidencialResidencial baixa renda – faixa 04Não se aplicaNão se aplicaFora ponta",Mercado_Receita!$L$2:$L$379)+SUMIF(Mercado_Receita!$S$2:$S$379,"44743B1Convencional pré-pagamentoResidencialResidencial baixa renda – faixa 04Não se aplicaNão se aplicaIntermediário",Mercado_Receita!$L$2:$L$379)+SUMIF(Mercado_Receita!$S$2:$S$379,"44743B1Convencional pré-pagamentoResidencialResidencial baixa renda – faixa 04Não se aplicaNão se aplicaNão se aplica",Mercado_Receita!$L$2:$L$379)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124" t="s">
        <v>41</v>
      </c>
      <c r="B27" s="124" t="s">
        <v>38</v>
      </c>
      <c r="C27" s="124" t="s">
        <v>42</v>
      </c>
      <c r="D27" s="124" t="s">
        <v>25</v>
      </c>
      <c r="E27" s="124" t="s">
        <v>25</v>
      </c>
      <c r="F27" s="124" t="s">
        <v>25</v>
      </c>
      <c r="G27" s="13" t="s">
        <v>69</v>
      </c>
      <c r="H27" s="13" t="s">
        <v>68</v>
      </c>
      <c r="I27" s="13">
        <f>SUMIF(Mercado_Receita!$S$2:$S$379,"44409B2BrancaRuralNão se aplicaNão se aplicaNão se aplicaPonta",Mercado_Receita!$L$2:$L$379)</f>
        <v>0</v>
      </c>
      <c r="J27" s="13">
        <f>SUMIF(Mercado_Receita!$S$2:$S$379,"44440B2BrancaRuralNão se aplicaNão se aplicaNão se aplicaPonta",Mercado_Receita!$L$2:$L$379)</f>
        <v>0</v>
      </c>
      <c r="K27" s="13">
        <f>SUMIF(Mercado_Receita!$S$2:$S$379,"44470B2BrancaRuralNão se aplicaNão se aplicaNão se aplicaPonta",Mercado_Receita!$L$2:$L$379)</f>
        <v>0</v>
      </c>
      <c r="L27" s="13">
        <f>SUMIF(Mercado_Receita!$S$2:$S$379,"44501B2BrancaRuralNão se aplicaNão se aplicaNão se aplicaPonta",Mercado_Receita!$L$2:$L$379)</f>
        <v>0</v>
      </c>
      <c r="M27" s="13">
        <f>SUMIF(Mercado_Receita!$S$2:$S$379,"44531B2BrancaRuralNão se aplicaNão se aplicaNão se aplicaPonta",Mercado_Receita!$L$2:$L$379)</f>
        <v>0</v>
      </c>
      <c r="N27" s="13">
        <f>SUMIF(Mercado_Receita!$S$2:$S$379,"44562B2BrancaRuralNão se aplicaNão se aplicaNão se aplicaPonta",Mercado_Receita!$L$2:$L$379)</f>
        <v>0</v>
      </c>
      <c r="O27" s="13">
        <f>SUMIF(Mercado_Receita!$S$2:$S$379,"44593B2BrancaRuralNão se aplicaNão se aplicaNão se aplicaPonta",Mercado_Receita!$L$2:$L$379)</f>
        <v>0</v>
      </c>
      <c r="P27" s="13">
        <f>SUMIF(Mercado_Receita!$S$2:$S$379,"44621B2BrancaRuralNão se aplicaNão se aplicaNão se aplicaPonta",Mercado_Receita!$L$2:$L$379)</f>
        <v>0</v>
      </c>
      <c r="Q27" s="13">
        <f>SUMIF(Mercado_Receita!$S$2:$S$379,"44652B2BrancaRuralNão se aplicaNão se aplicaNão se aplicaPonta",Mercado_Receita!$L$2:$L$379)</f>
        <v>0</v>
      </c>
      <c r="R27" s="13">
        <f>SUMIF(Mercado_Receita!$S$2:$S$379,"44682B2BrancaRuralNão se aplicaNão se aplicaNão se aplicaPonta",Mercado_Receita!$L$2:$L$379)</f>
        <v>0</v>
      </c>
      <c r="S27" s="13">
        <f>SUMIF(Mercado_Receita!$S$2:$S$379,"44713B2BrancaRuralNão se aplicaNão se aplicaNão se aplicaPonta",Mercado_Receita!$L$2:$L$379)</f>
        <v>0</v>
      </c>
      <c r="T27" s="13">
        <f>SUMIF(Mercado_Receita!$S$2:$S$379,"44743B2BrancaRuralNão se aplicaNão se aplicaNão se aplicaPonta",Mercado_Receita!$L$2:$L$379)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125"/>
      <c r="B28" s="125"/>
      <c r="C28" s="125"/>
      <c r="D28" s="125"/>
      <c r="E28" s="125"/>
      <c r="F28" s="125"/>
      <c r="G28" s="13" t="s">
        <v>82</v>
      </c>
      <c r="H28" s="13" t="s">
        <v>68</v>
      </c>
      <c r="I28" s="13">
        <f>SUMIF(Mercado_Receita!$S$2:$S$379,"44409B2BrancaRuralNão se aplicaNão se aplicaNão se aplicaIntermediário",Mercado_Receita!$L$2:$L$379)</f>
        <v>0</v>
      </c>
      <c r="J28" s="13">
        <f>SUMIF(Mercado_Receita!$S$2:$S$379,"44440B2BrancaRuralNão se aplicaNão se aplicaNão se aplicaIntermediário",Mercado_Receita!$L$2:$L$379)</f>
        <v>0</v>
      </c>
      <c r="K28" s="13">
        <f>SUMIF(Mercado_Receita!$S$2:$S$379,"44470B2BrancaRuralNão se aplicaNão se aplicaNão se aplicaIntermediário",Mercado_Receita!$L$2:$L$379)</f>
        <v>0</v>
      </c>
      <c r="L28" s="13">
        <f>SUMIF(Mercado_Receita!$S$2:$S$379,"44501B2BrancaRuralNão se aplicaNão se aplicaNão se aplicaIntermediário",Mercado_Receita!$L$2:$L$379)</f>
        <v>0</v>
      </c>
      <c r="M28" s="13">
        <f>SUMIF(Mercado_Receita!$S$2:$S$379,"44531B2BrancaRuralNão se aplicaNão se aplicaNão se aplicaIntermediário",Mercado_Receita!$L$2:$L$379)</f>
        <v>0</v>
      </c>
      <c r="N28" s="13">
        <f>SUMIF(Mercado_Receita!$S$2:$S$379,"44562B2BrancaRuralNão se aplicaNão se aplicaNão se aplicaIntermediário",Mercado_Receita!$L$2:$L$379)</f>
        <v>0</v>
      </c>
      <c r="O28" s="13">
        <f>SUMIF(Mercado_Receita!$S$2:$S$379,"44593B2BrancaRuralNão se aplicaNão se aplicaNão se aplicaIntermediário",Mercado_Receita!$L$2:$L$379)</f>
        <v>0</v>
      </c>
      <c r="P28" s="13">
        <f>SUMIF(Mercado_Receita!$S$2:$S$379,"44621B2BrancaRuralNão se aplicaNão se aplicaNão se aplicaIntermediário",Mercado_Receita!$L$2:$L$379)</f>
        <v>0</v>
      </c>
      <c r="Q28" s="13">
        <f>SUMIF(Mercado_Receita!$S$2:$S$379,"44652B2BrancaRuralNão se aplicaNão se aplicaNão se aplicaIntermediário",Mercado_Receita!$L$2:$L$379)</f>
        <v>0</v>
      </c>
      <c r="R28" s="13">
        <f>SUMIF(Mercado_Receita!$S$2:$S$379,"44682B2BrancaRuralNão se aplicaNão se aplicaNão se aplicaIntermediário",Mercado_Receita!$L$2:$L$379)</f>
        <v>0</v>
      </c>
      <c r="S28" s="13">
        <f>SUMIF(Mercado_Receita!$S$2:$S$379,"44713B2BrancaRuralNão se aplicaNão se aplicaNão se aplicaIntermediário",Mercado_Receita!$L$2:$L$379)</f>
        <v>0</v>
      </c>
      <c r="T28" s="13">
        <f>SUMIF(Mercado_Receita!$S$2:$S$379,"44743B2BrancaRuralNão se aplicaNão se aplicaNão se aplicaIntermediário",Mercado_Receita!$L$2:$L$379)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125"/>
      <c r="B29" s="125"/>
      <c r="C29" s="125"/>
      <c r="D29" s="125"/>
      <c r="E29" s="125"/>
      <c r="F29" s="125"/>
      <c r="G29" s="13" t="s">
        <v>70</v>
      </c>
      <c r="H29" s="13" t="s">
        <v>68</v>
      </c>
      <c r="I29" s="13">
        <f>SUMIF(Mercado_Receita!$S$2:$S$379,"44409B2BrancaRuralNão se aplicaNão se aplicaNão se aplicaFora ponta",Mercado_Receita!$L$2:$L$379)</f>
        <v>0</v>
      </c>
      <c r="J29" s="13">
        <f>SUMIF(Mercado_Receita!$S$2:$S$379,"44440B2BrancaRuralNão se aplicaNão se aplicaNão se aplicaFora ponta",Mercado_Receita!$L$2:$L$379)</f>
        <v>0</v>
      </c>
      <c r="K29" s="13">
        <f>SUMIF(Mercado_Receita!$S$2:$S$379,"44470B2BrancaRuralNão se aplicaNão se aplicaNão se aplicaFora ponta",Mercado_Receita!$L$2:$L$379)</f>
        <v>0</v>
      </c>
      <c r="L29" s="13">
        <f>SUMIF(Mercado_Receita!$S$2:$S$379,"44501B2BrancaRuralNão se aplicaNão se aplicaNão se aplicaFora ponta",Mercado_Receita!$L$2:$L$379)</f>
        <v>0</v>
      </c>
      <c r="M29" s="13">
        <f>SUMIF(Mercado_Receita!$S$2:$S$379,"44531B2BrancaRuralNão se aplicaNão se aplicaNão se aplicaFora ponta",Mercado_Receita!$L$2:$L$379)</f>
        <v>0</v>
      </c>
      <c r="N29" s="13">
        <f>SUMIF(Mercado_Receita!$S$2:$S$379,"44562B2BrancaRuralNão se aplicaNão se aplicaNão se aplicaFora ponta",Mercado_Receita!$L$2:$L$379)</f>
        <v>0</v>
      </c>
      <c r="O29" s="13">
        <f>SUMIF(Mercado_Receita!$S$2:$S$379,"44593B2BrancaRuralNão se aplicaNão se aplicaNão se aplicaFora ponta",Mercado_Receita!$L$2:$L$379)</f>
        <v>0</v>
      </c>
      <c r="P29" s="13">
        <f>SUMIF(Mercado_Receita!$S$2:$S$379,"44621B2BrancaRuralNão se aplicaNão se aplicaNão se aplicaFora ponta",Mercado_Receita!$L$2:$L$379)</f>
        <v>0</v>
      </c>
      <c r="Q29" s="13">
        <f>SUMIF(Mercado_Receita!$S$2:$S$379,"44652B2BrancaRuralNão se aplicaNão se aplicaNão se aplicaFora ponta",Mercado_Receita!$L$2:$L$379)</f>
        <v>0</v>
      </c>
      <c r="R29" s="13">
        <f>SUMIF(Mercado_Receita!$S$2:$S$379,"44682B2BrancaRuralNão se aplicaNão se aplicaNão se aplicaFora ponta",Mercado_Receita!$L$2:$L$379)</f>
        <v>0</v>
      </c>
      <c r="S29" s="13">
        <f>SUMIF(Mercado_Receita!$S$2:$S$379,"44713B2BrancaRuralNão se aplicaNão se aplicaNão se aplicaFora ponta",Mercado_Receita!$L$2:$L$379)</f>
        <v>0</v>
      </c>
      <c r="T29" s="13">
        <f>SUMIF(Mercado_Receita!$S$2:$S$379,"44743B2BrancaRuralNão se aplicaNão se aplicaNão se aplicaFora ponta",Mercado_Receita!$L$2:$L$379)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125"/>
      <c r="B30" s="12" t="s">
        <v>23</v>
      </c>
      <c r="C30" s="12" t="s">
        <v>42</v>
      </c>
      <c r="D30" s="12" t="s">
        <v>25</v>
      </c>
      <c r="E30" s="12" t="s">
        <v>25</v>
      </c>
      <c r="F30" s="12" t="s">
        <v>25</v>
      </c>
      <c r="G30" s="13" t="s">
        <v>72</v>
      </c>
      <c r="H30" s="13" t="s">
        <v>68</v>
      </c>
      <c r="I30" s="13">
        <f>SUMIF(Mercado_Receita!$S$2:$S$379,"44409B2ConvencionalRuralNão se aplicaNão se aplicaNão se aplicaPonta",Mercado_Receita!$L$2:$L$379)+SUMIF(Mercado_Receita!$S$2:$S$379,"44409B2ConvencionalRuralNão se aplicaNão se aplicaNão se aplicaFora ponta",Mercado_Receita!$L$2:$L$379)+SUMIF(Mercado_Receita!$S$2:$S$379,"44409B2ConvencionalRuralNão se aplicaNão se aplicaNão se aplicaIntermediário",Mercado_Receita!$L$2:$L$379)+SUMIF(Mercado_Receita!$S$2:$S$379,"44409B2ConvencionalRuralNão se aplicaNão se aplicaNão se aplicaNão se aplica",Mercado_Receita!$L$2:$L$379)</f>
        <v>0.85299999999999998</v>
      </c>
      <c r="J30" s="13">
        <f>SUMIF(Mercado_Receita!$S$2:$S$379,"44440B2ConvencionalRuralNão se aplicaNão se aplicaNão se aplicaPonta",Mercado_Receita!$L$2:$L$379)+SUMIF(Mercado_Receita!$S$2:$S$379,"44440B2ConvencionalRuralNão se aplicaNão se aplicaNão se aplicaFora ponta",Mercado_Receita!$L$2:$L$379)+SUMIF(Mercado_Receita!$S$2:$S$379,"44440B2ConvencionalRuralNão se aplicaNão se aplicaNão se aplicaIntermediário",Mercado_Receita!$L$2:$L$379)+SUMIF(Mercado_Receita!$S$2:$S$379,"44440B2ConvencionalRuralNão se aplicaNão se aplicaNão se aplicaNão se aplica",Mercado_Receita!$L$2:$L$379)</f>
        <v>0.92300000000000004</v>
      </c>
      <c r="K30" s="13">
        <f>SUMIF(Mercado_Receita!$S$2:$S$379,"44470B2ConvencionalRuralNão se aplicaNão se aplicaNão se aplicaPonta",Mercado_Receita!$L$2:$L$379)+SUMIF(Mercado_Receita!$S$2:$S$379,"44470B2ConvencionalRuralNão se aplicaNão se aplicaNão se aplicaFora ponta",Mercado_Receita!$L$2:$L$379)+SUMIF(Mercado_Receita!$S$2:$S$379,"44470B2ConvencionalRuralNão se aplicaNão se aplicaNão se aplicaIntermediário",Mercado_Receita!$L$2:$L$379)+SUMIF(Mercado_Receita!$S$2:$S$379,"44470B2ConvencionalRuralNão se aplicaNão se aplicaNão se aplicaNão se aplica",Mercado_Receita!$L$2:$L$379)</f>
        <v>1.0189999999999999</v>
      </c>
      <c r="L30" s="13">
        <f>SUMIF(Mercado_Receita!$S$2:$S$379,"44501B2ConvencionalRuralNão se aplicaNão se aplicaNão se aplicaPonta",Mercado_Receita!$L$2:$L$379)+SUMIF(Mercado_Receita!$S$2:$S$379,"44501B2ConvencionalRuralNão se aplicaNão se aplicaNão se aplicaFora ponta",Mercado_Receita!$L$2:$L$379)+SUMIF(Mercado_Receita!$S$2:$S$379,"44501B2ConvencionalRuralNão se aplicaNão se aplicaNão se aplicaIntermediário",Mercado_Receita!$L$2:$L$379)+SUMIF(Mercado_Receita!$S$2:$S$379,"44501B2ConvencionalRuralNão se aplicaNão se aplicaNão se aplicaNão se aplica",Mercado_Receita!$L$2:$L$379)</f>
        <v>0.93100000000000005</v>
      </c>
      <c r="M30" s="13">
        <f>SUMIF(Mercado_Receita!$S$2:$S$379,"44531B2ConvencionalRuralNão se aplicaNão se aplicaNão se aplicaPonta",Mercado_Receita!$L$2:$L$379)+SUMIF(Mercado_Receita!$S$2:$S$379,"44531B2ConvencionalRuralNão se aplicaNão se aplicaNão se aplicaFora ponta",Mercado_Receita!$L$2:$L$379)+SUMIF(Mercado_Receita!$S$2:$S$379,"44531B2ConvencionalRuralNão se aplicaNão se aplicaNão se aplicaIntermediário",Mercado_Receita!$L$2:$L$379)+SUMIF(Mercado_Receita!$S$2:$S$379,"44531B2ConvencionalRuralNão se aplicaNão se aplicaNão se aplicaNão se aplica",Mercado_Receita!$L$2:$L$379)</f>
        <v>1.1719999999999999</v>
      </c>
      <c r="N30" s="13">
        <f>SUMIF(Mercado_Receita!$S$2:$S$379,"44562B2ConvencionalRuralNão se aplicaNão se aplicaNão se aplicaPonta",Mercado_Receita!$L$2:$L$379)+SUMIF(Mercado_Receita!$S$2:$S$379,"44562B2ConvencionalRuralNão se aplicaNão se aplicaNão se aplicaFora ponta",Mercado_Receita!$L$2:$L$379)+SUMIF(Mercado_Receita!$S$2:$S$379,"44562B2ConvencionalRuralNão se aplicaNão se aplicaNão se aplicaIntermediário",Mercado_Receita!$L$2:$L$379)+SUMIF(Mercado_Receita!$S$2:$S$379,"44562B2ConvencionalRuralNão se aplicaNão se aplicaNão se aplicaNão se aplica",Mercado_Receita!$L$2:$L$379)</f>
        <v>1.1339999999999999</v>
      </c>
      <c r="O30" s="13">
        <f>SUMIF(Mercado_Receita!$S$2:$S$379,"44593B2ConvencionalRuralNão se aplicaNão se aplicaNão se aplicaPonta",Mercado_Receita!$L$2:$L$379)+SUMIF(Mercado_Receita!$S$2:$S$379,"44593B2ConvencionalRuralNão se aplicaNão se aplicaNão se aplicaFora ponta",Mercado_Receita!$L$2:$L$379)+SUMIF(Mercado_Receita!$S$2:$S$379,"44593B2ConvencionalRuralNão se aplicaNão se aplicaNão se aplicaIntermediário",Mercado_Receita!$L$2:$L$379)+SUMIF(Mercado_Receita!$S$2:$S$379,"44593B2ConvencionalRuralNão se aplicaNão se aplicaNão se aplicaNão se aplica",Mercado_Receita!$L$2:$L$379)</f>
        <v>1.478</v>
      </c>
      <c r="P30" s="13">
        <f>SUMIF(Mercado_Receita!$S$2:$S$379,"44621B2ConvencionalRuralNão se aplicaNão se aplicaNão se aplicaPonta",Mercado_Receita!$L$2:$L$379)+SUMIF(Mercado_Receita!$S$2:$S$379,"44621B2ConvencionalRuralNão se aplicaNão se aplicaNão se aplicaFora ponta",Mercado_Receita!$L$2:$L$379)+SUMIF(Mercado_Receita!$S$2:$S$379,"44621B2ConvencionalRuralNão se aplicaNão se aplicaNão se aplicaIntermediário",Mercado_Receita!$L$2:$L$379)+SUMIF(Mercado_Receita!$S$2:$S$379,"44621B2ConvencionalRuralNão se aplicaNão se aplicaNão se aplicaNão se aplica",Mercado_Receita!$L$2:$L$379)</f>
        <v>1.0720000000000001</v>
      </c>
      <c r="Q30" s="13">
        <f>SUMIF(Mercado_Receita!$S$2:$S$379,"44652B2ConvencionalRuralNão se aplicaNão se aplicaNão se aplicaPonta",Mercado_Receita!$L$2:$L$379)+SUMIF(Mercado_Receita!$S$2:$S$379,"44652B2ConvencionalRuralNão se aplicaNão se aplicaNão se aplicaFora ponta",Mercado_Receita!$L$2:$L$379)+SUMIF(Mercado_Receita!$S$2:$S$379,"44652B2ConvencionalRuralNão se aplicaNão se aplicaNão se aplicaIntermediário",Mercado_Receita!$L$2:$L$379)+SUMIF(Mercado_Receita!$S$2:$S$379,"44652B2ConvencionalRuralNão se aplicaNão se aplicaNão se aplicaNão se aplica",Mercado_Receita!$L$2:$L$379)</f>
        <v>1.143</v>
      </c>
      <c r="R30" s="13">
        <f>SUMIF(Mercado_Receita!$S$2:$S$379,"44682B2ConvencionalRuralNão se aplicaNão se aplicaNão se aplicaPonta",Mercado_Receita!$L$2:$L$379)+SUMIF(Mercado_Receita!$S$2:$S$379,"44682B2ConvencionalRuralNão se aplicaNão se aplicaNão se aplicaFora ponta",Mercado_Receita!$L$2:$L$379)+SUMIF(Mercado_Receita!$S$2:$S$379,"44682B2ConvencionalRuralNão se aplicaNão se aplicaNão se aplicaIntermediário",Mercado_Receita!$L$2:$L$379)+SUMIF(Mercado_Receita!$S$2:$S$379,"44682B2ConvencionalRuralNão se aplicaNão se aplicaNão se aplicaNão se aplica",Mercado_Receita!$L$2:$L$379)</f>
        <v>0.77100000000000002</v>
      </c>
      <c r="S30" s="13">
        <f>SUMIF(Mercado_Receita!$S$2:$S$379,"44713B2ConvencionalRuralNão se aplicaNão se aplicaNão se aplicaPonta",Mercado_Receita!$L$2:$L$379)+SUMIF(Mercado_Receita!$S$2:$S$379,"44713B2ConvencionalRuralNão se aplicaNão se aplicaNão se aplicaFora ponta",Mercado_Receita!$L$2:$L$379)+SUMIF(Mercado_Receita!$S$2:$S$379,"44713B2ConvencionalRuralNão se aplicaNão se aplicaNão se aplicaIntermediário",Mercado_Receita!$L$2:$L$379)+SUMIF(Mercado_Receita!$S$2:$S$379,"44713B2ConvencionalRuralNão se aplicaNão se aplicaNão se aplicaNão se aplica",Mercado_Receita!$L$2:$L$379)</f>
        <v>0.69299999999999995</v>
      </c>
      <c r="T30" s="13">
        <f>SUMIF(Mercado_Receita!$S$2:$S$379,"44743B2ConvencionalRuralNão se aplicaNão se aplicaNão se aplicaPonta",Mercado_Receita!$L$2:$L$379)+SUMIF(Mercado_Receita!$S$2:$S$379,"44743B2ConvencionalRuralNão se aplicaNão se aplicaNão se aplicaFora ponta",Mercado_Receita!$L$2:$L$379)+SUMIF(Mercado_Receita!$S$2:$S$379,"44743B2ConvencionalRuralNão se aplicaNão se aplicaNão se aplicaIntermediário",Mercado_Receita!$L$2:$L$379)+SUMIF(Mercado_Receita!$S$2:$S$379,"44743B2ConvencionalRuralNão se aplicaNão se aplicaNão se aplicaNão se aplica",Mercado_Receita!$L$2:$L$379)</f>
        <v>0.65100000000000002</v>
      </c>
      <c r="U30" s="13">
        <f t="shared" si="0"/>
        <v>11.840000000000002</v>
      </c>
      <c r="V30" s="13"/>
      <c r="W30" s="13"/>
    </row>
    <row r="31" spans="1:23" ht="11.25" customHeight="1" x14ac:dyDescent="0.25">
      <c r="A31" s="125"/>
      <c r="B31" s="124" t="s">
        <v>38</v>
      </c>
      <c r="C31" s="124" t="s">
        <v>42</v>
      </c>
      <c r="D31" s="124" t="s">
        <v>85</v>
      </c>
      <c r="E31" s="124" t="s">
        <v>25</v>
      </c>
      <c r="F31" s="124" t="s">
        <v>25</v>
      </c>
      <c r="G31" s="13" t="s">
        <v>69</v>
      </c>
      <c r="H31" s="13" t="s">
        <v>68</v>
      </c>
      <c r="I31" s="13">
        <f>SUMIF(Mercado_Receita!$S$2:$S$379,"44409B2BrancaRuralCooperativa de eletrificação ruralNão se aplicaNão se aplicaPonta",Mercado_Receita!$L$2:$L$379)</f>
        <v>0</v>
      </c>
      <c r="J31" s="13">
        <f>SUMIF(Mercado_Receita!$S$2:$S$379,"44440B2BrancaRuralCooperativa de eletrificação ruralNão se aplicaNão se aplicaPonta",Mercado_Receita!$L$2:$L$379)</f>
        <v>0</v>
      </c>
      <c r="K31" s="13">
        <f>SUMIF(Mercado_Receita!$S$2:$S$379,"44470B2BrancaRuralCooperativa de eletrificação ruralNão se aplicaNão se aplicaPonta",Mercado_Receita!$L$2:$L$379)</f>
        <v>0</v>
      </c>
      <c r="L31" s="13">
        <f>SUMIF(Mercado_Receita!$S$2:$S$379,"44501B2BrancaRuralCooperativa de eletrificação ruralNão se aplicaNão se aplicaPonta",Mercado_Receita!$L$2:$L$379)</f>
        <v>0</v>
      </c>
      <c r="M31" s="13">
        <f>SUMIF(Mercado_Receita!$S$2:$S$379,"44531B2BrancaRuralCooperativa de eletrificação ruralNão se aplicaNão se aplicaPonta",Mercado_Receita!$L$2:$L$379)</f>
        <v>0</v>
      </c>
      <c r="N31" s="13">
        <f>SUMIF(Mercado_Receita!$S$2:$S$379,"44562B2BrancaRuralCooperativa de eletrificação ruralNão se aplicaNão se aplicaPonta",Mercado_Receita!$L$2:$L$379)</f>
        <v>0</v>
      </c>
      <c r="O31" s="13">
        <f>SUMIF(Mercado_Receita!$S$2:$S$379,"44593B2BrancaRuralCooperativa de eletrificação ruralNão se aplicaNão se aplicaPonta",Mercado_Receita!$L$2:$L$379)</f>
        <v>0</v>
      </c>
      <c r="P31" s="13">
        <f>SUMIF(Mercado_Receita!$S$2:$S$379,"44621B2BrancaRuralCooperativa de eletrificação ruralNão se aplicaNão se aplicaPonta",Mercado_Receita!$L$2:$L$379)</f>
        <v>0</v>
      </c>
      <c r="Q31" s="13">
        <f>SUMIF(Mercado_Receita!$S$2:$S$379,"44652B2BrancaRuralCooperativa de eletrificação ruralNão se aplicaNão se aplicaPonta",Mercado_Receita!$L$2:$L$379)</f>
        <v>0</v>
      </c>
      <c r="R31" s="13">
        <f>SUMIF(Mercado_Receita!$S$2:$S$379,"44682B2BrancaRuralCooperativa de eletrificação ruralNão se aplicaNão se aplicaPonta",Mercado_Receita!$L$2:$L$379)</f>
        <v>0</v>
      </c>
      <c r="S31" s="13">
        <f>SUMIF(Mercado_Receita!$S$2:$S$379,"44713B2BrancaRuralCooperativa de eletrificação ruralNão se aplicaNão se aplicaPonta",Mercado_Receita!$L$2:$L$379)</f>
        <v>0</v>
      </c>
      <c r="T31" s="13">
        <f>SUMIF(Mercado_Receita!$S$2:$S$379,"44743B2BrancaRuralCooperativa de eletrificação ruralNão se aplicaNão se aplicaPonta",Mercado_Receita!$L$2:$L$379)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125"/>
      <c r="B32" s="125"/>
      <c r="C32" s="125"/>
      <c r="D32" s="125"/>
      <c r="E32" s="125"/>
      <c r="F32" s="125"/>
      <c r="G32" s="13" t="s">
        <v>82</v>
      </c>
      <c r="H32" s="13" t="s">
        <v>68</v>
      </c>
      <c r="I32" s="13">
        <f>SUMIF(Mercado_Receita!$S$2:$S$379,"44409B2BrancaRuralCooperativa de eletrificação ruralNão se aplicaNão se aplicaIntermediário",Mercado_Receita!$L$2:$L$379)</f>
        <v>0</v>
      </c>
      <c r="J32" s="13">
        <f>SUMIF(Mercado_Receita!$S$2:$S$379,"44440B2BrancaRuralCooperativa de eletrificação ruralNão se aplicaNão se aplicaIntermediário",Mercado_Receita!$L$2:$L$379)</f>
        <v>0</v>
      </c>
      <c r="K32" s="13">
        <f>SUMIF(Mercado_Receita!$S$2:$S$379,"44470B2BrancaRuralCooperativa de eletrificação ruralNão se aplicaNão se aplicaIntermediário",Mercado_Receita!$L$2:$L$379)</f>
        <v>0</v>
      </c>
      <c r="L32" s="13">
        <f>SUMIF(Mercado_Receita!$S$2:$S$379,"44501B2BrancaRuralCooperativa de eletrificação ruralNão se aplicaNão se aplicaIntermediário",Mercado_Receita!$L$2:$L$379)</f>
        <v>0</v>
      </c>
      <c r="M32" s="13">
        <f>SUMIF(Mercado_Receita!$S$2:$S$379,"44531B2BrancaRuralCooperativa de eletrificação ruralNão se aplicaNão se aplicaIntermediário",Mercado_Receita!$L$2:$L$379)</f>
        <v>0</v>
      </c>
      <c r="N32" s="13">
        <f>SUMIF(Mercado_Receita!$S$2:$S$379,"44562B2BrancaRuralCooperativa de eletrificação ruralNão se aplicaNão se aplicaIntermediário",Mercado_Receita!$L$2:$L$379)</f>
        <v>0</v>
      </c>
      <c r="O32" s="13">
        <f>SUMIF(Mercado_Receita!$S$2:$S$379,"44593B2BrancaRuralCooperativa de eletrificação ruralNão se aplicaNão se aplicaIntermediário",Mercado_Receita!$L$2:$L$379)</f>
        <v>0</v>
      </c>
      <c r="P32" s="13">
        <f>SUMIF(Mercado_Receita!$S$2:$S$379,"44621B2BrancaRuralCooperativa de eletrificação ruralNão se aplicaNão se aplicaIntermediário",Mercado_Receita!$L$2:$L$379)</f>
        <v>0</v>
      </c>
      <c r="Q32" s="13">
        <f>SUMIF(Mercado_Receita!$S$2:$S$379,"44652B2BrancaRuralCooperativa de eletrificação ruralNão se aplicaNão se aplicaIntermediário",Mercado_Receita!$L$2:$L$379)</f>
        <v>0</v>
      </c>
      <c r="R32" s="13">
        <f>SUMIF(Mercado_Receita!$S$2:$S$379,"44682B2BrancaRuralCooperativa de eletrificação ruralNão se aplicaNão se aplicaIntermediário",Mercado_Receita!$L$2:$L$379)</f>
        <v>0</v>
      </c>
      <c r="S32" s="13">
        <f>SUMIF(Mercado_Receita!$S$2:$S$379,"44713B2BrancaRuralCooperativa de eletrificação ruralNão se aplicaNão se aplicaIntermediário",Mercado_Receita!$L$2:$L$379)</f>
        <v>0</v>
      </c>
      <c r="T32" s="13">
        <f>SUMIF(Mercado_Receita!$S$2:$S$379,"44743B2BrancaRuralCooperativa de eletrificação ruralNão se aplicaNão se aplicaIntermediário",Mercado_Receita!$L$2:$L$379)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125"/>
      <c r="B33" s="125"/>
      <c r="C33" s="125"/>
      <c r="D33" s="125"/>
      <c r="E33" s="125"/>
      <c r="F33" s="125"/>
      <c r="G33" s="13" t="s">
        <v>70</v>
      </c>
      <c r="H33" s="13" t="s">
        <v>68</v>
      </c>
      <c r="I33" s="13">
        <f>SUMIF(Mercado_Receita!$S$2:$S$379,"44409B2BrancaRuralCooperativa de eletrificação ruralNão se aplicaNão se aplicaFora ponta",Mercado_Receita!$L$2:$L$379)</f>
        <v>0</v>
      </c>
      <c r="J33" s="13">
        <f>SUMIF(Mercado_Receita!$S$2:$S$379,"44440B2BrancaRuralCooperativa de eletrificação ruralNão se aplicaNão se aplicaFora ponta",Mercado_Receita!$L$2:$L$379)</f>
        <v>0</v>
      </c>
      <c r="K33" s="13">
        <f>SUMIF(Mercado_Receita!$S$2:$S$379,"44470B2BrancaRuralCooperativa de eletrificação ruralNão se aplicaNão se aplicaFora ponta",Mercado_Receita!$L$2:$L$379)</f>
        <v>0</v>
      </c>
      <c r="L33" s="13">
        <f>SUMIF(Mercado_Receita!$S$2:$S$379,"44501B2BrancaRuralCooperativa de eletrificação ruralNão se aplicaNão se aplicaFora ponta",Mercado_Receita!$L$2:$L$379)</f>
        <v>0</v>
      </c>
      <c r="M33" s="13">
        <f>SUMIF(Mercado_Receita!$S$2:$S$379,"44531B2BrancaRuralCooperativa de eletrificação ruralNão se aplicaNão se aplicaFora ponta",Mercado_Receita!$L$2:$L$379)</f>
        <v>0</v>
      </c>
      <c r="N33" s="13">
        <f>SUMIF(Mercado_Receita!$S$2:$S$379,"44562B2BrancaRuralCooperativa de eletrificação ruralNão se aplicaNão se aplicaFora ponta",Mercado_Receita!$L$2:$L$379)</f>
        <v>0</v>
      </c>
      <c r="O33" s="13">
        <f>SUMIF(Mercado_Receita!$S$2:$S$379,"44593B2BrancaRuralCooperativa de eletrificação ruralNão se aplicaNão se aplicaFora ponta",Mercado_Receita!$L$2:$L$379)</f>
        <v>0</v>
      </c>
      <c r="P33" s="13">
        <f>SUMIF(Mercado_Receita!$S$2:$S$379,"44621B2BrancaRuralCooperativa de eletrificação ruralNão se aplicaNão se aplicaFora ponta",Mercado_Receita!$L$2:$L$379)</f>
        <v>0</v>
      </c>
      <c r="Q33" s="13">
        <f>SUMIF(Mercado_Receita!$S$2:$S$379,"44652B2BrancaRuralCooperativa de eletrificação ruralNão se aplicaNão se aplicaFora ponta",Mercado_Receita!$L$2:$L$379)</f>
        <v>0</v>
      </c>
      <c r="R33" s="13">
        <f>SUMIF(Mercado_Receita!$S$2:$S$379,"44682B2BrancaRuralCooperativa de eletrificação ruralNão se aplicaNão se aplicaFora ponta",Mercado_Receita!$L$2:$L$379)</f>
        <v>0</v>
      </c>
      <c r="S33" s="13">
        <f>SUMIF(Mercado_Receita!$S$2:$S$379,"44713B2BrancaRuralCooperativa de eletrificação ruralNão se aplicaNão se aplicaFora ponta",Mercado_Receita!$L$2:$L$379)</f>
        <v>0</v>
      </c>
      <c r="T33" s="13">
        <f>SUMIF(Mercado_Receita!$S$2:$S$379,"44743B2BrancaRuralCooperativa de eletrificação ruralNão se aplicaNão se aplicaFora ponta",Mercado_Receita!$L$2:$L$379)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125"/>
      <c r="B34" s="12" t="s">
        <v>23</v>
      </c>
      <c r="C34" s="12" t="s">
        <v>42</v>
      </c>
      <c r="D34" s="12" t="s">
        <v>85</v>
      </c>
      <c r="E34" s="12" t="s">
        <v>25</v>
      </c>
      <c r="F34" s="12" t="s">
        <v>25</v>
      </c>
      <c r="G34" s="13" t="s">
        <v>72</v>
      </c>
      <c r="H34" s="13" t="s">
        <v>68</v>
      </c>
      <c r="I34" s="13">
        <f>SUMIF(Mercado_Receita!$S$2:$S$379,"44409B2ConvencionalRuralCooperativa de eletrificação ruralNão se aplicaNão se aplicaPonta",Mercado_Receita!$L$2:$L$379)+SUMIF(Mercado_Receita!$S$2:$S$379,"44409B2ConvencionalRuralCooperativa de eletrificação ruralNão se aplicaNão se aplicaFora ponta",Mercado_Receita!$L$2:$L$379)+SUMIF(Mercado_Receita!$S$2:$S$379,"44409B2ConvencionalRuralCooperativa de eletrificação ruralNão se aplicaNão se aplicaIntermediário",Mercado_Receita!$L$2:$L$379)+SUMIF(Mercado_Receita!$S$2:$S$379,"44409B2ConvencionalRuralCooperativa de eletrificação ruralNão se aplicaNão se aplicaNão se aplica",Mercado_Receita!$L$2:$L$379)</f>
        <v>0</v>
      </c>
      <c r="J34" s="13">
        <f>SUMIF(Mercado_Receita!$S$2:$S$379,"44440B2ConvencionalRuralCooperativa de eletrificação ruralNão se aplicaNão se aplicaPonta",Mercado_Receita!$L$2:$L$379)+SUMIF(Mercado_Receita!$S$2:$S$379,"44440B2ConvencionalRuralCooperativa de eletrificação ruralNão se aplicaNão se aplicaFora ponta",Mercado_Receita!$L$2:$L$379)+SUMIF(Mercado_Receita!$S$2:$S$379,"44440B2ConvencionalRuralCooperativa de eletrificação ruralNão se aplicaNão se aplicaIntermediário",Mercado_Receita!$L$2:$L$379)+SUMIF(Mercado_Receita!$S$2:$S$379,"44440B2ConvencionalRuralCooperativa de eletrificação ruralNão se aplicaNão se aplicaNão se aplica",Mercado_Receita!$L$2:$L$379)</f>
        <v>0</v>
      </c>
      <c r="K34" s="13">
        <f>SUMIF(Mercado_Receita!$S$2:$S$379,"44470B2ConvencionalRuralCooperativa de eletrificação ruralNão se aplicaNão se aplicaPonta",Mercado_Receita!$L$2:$L$379)+SUMIF(Mercado_Receita!$S$2:$S$379,"44470B2ConvencionalRuralCooperativa de eletrificação ruralNão se aplicaNão se aplicaFora ponta",Mercado_Receita!$L$2:$L$379)+SUMIF(Mercado_Receita!$S$2:$S$379,"44470B2ConvencionalRuralCooperativa de eletrificação ruralNão se aplicaNão se aplicaIntermediário",Mercado_Receita!$L$2:$L$379)+SUMIF(Mercado_Receita!$S$2:$S$379,"44470B2ConvencionalRuralCooperativa de eletrificação ruralNão se aplicaNão se aplicaNão se aplica",Mercado_Receita!$L$2:$L$379)</f>
        <v>0</v>
      </c>
      <c r="L34" s="13">
        <f>SUMIF(Mercado_Receita!$S$2:$S$379,"44501B2ConvencionalRuralCooperativa de eletrificação ruralNão se aplicaNão se aplicaPonta",Mercado_Receita!$L$2:$L$379)+SUMIF(Mercado_Receita!$S$2:$S$379,"44501B2ConvencionalRuralCooperativa de eletrificação ruralNão se aplicaNão se aplicaFora ponta",Mercado_Receita!$L$2:$L$379)+SUMIF(Mercado_Receita!$S$2:$S$379,"44501B2ConvencionalRuralCooperativa de eletrificação ruralNão se aplicaNão se aplicaIntermediário",Mercado_Receita!$L$2:$L$379)+SUMIF(Mercado_Receita!$S$2:$S$379,"44501B2ConvencionalRuralCooperativa de eletrificação ruralNão se aplicaNão se aplicaNão se aplica",Mercado_Receita!$L$2:$L$379)</f>
        <v>0</v>
      </c>
      <c r="M34" s="13">
        <f>SUMIF(Mercado_Receita!$S$2:$S$379,"44531B2ConvencionalRuralCooperativa de eletrificação ruralNão se aplicaNão se aplicaPonta",Mercado_Receita!$L$2:$L$379)+SUMIF(Mercado_Receita!$S$2:$S$379,"44531B2ConvencionalRuralCooperativa de eletrificação ruralNão se aplicaNão se aplicaFora ponta",Mercado_Receita!$L$2:$L$379)+SUMIF(Mercado_Receita!$S$2:$S$379,"44531B2ConvencionalRuralCooperativa de eletrificação ruralNão se aplicaNão se aplicaIntermediário",Mercado_Receita!$L$2:$L$379)+SUMIF(Mercado_Receita!$S$2:$S$379,"44531B2ConvencionalRuralCooperativa de eletrificação ruralNão se aplicaNão se aplicaNão se aplica",Mercado_Receita!$L$2:$L$379)</f>
        <v>0</v>
      </c>
      <c r="N34" s="13">
        <f>SUMIF(Mercado_Receita!$S$2:$S$379,"44562B2ConvencionalRuralCooperativa de eletrificação ruralNão se aplicaNão se aplicaPonta",Mercado_Receita!$L$2:$L$379)+SUMIF(Mercado_Receita!$S$2:$S$379,"44562B2ConvencionalRuralCooperativa de eletrificação ruralNão se aplicaNão se aplicaFora ponta",Mercado_Receita!$L$2:$L$379)+SUMIF(Mercado_Receita!$S$2:$S$379,"44562B2ConvencionalRuralCooperativa de eletrificação ruralNão se aplicaNão se aplicaIntermediário",Mercado_Receita!$L$2:$L$379)+SUMIF(Mercado_Receita!$S$2:$S$379,"44562B2ConvencionalRuralCooperativa de eletrificação ruralNão se aplicaNão se aplicaNão se aplica",Mercado_Receita!$L$2:$L$379)</f>
        <v>0</v>
      </c>
      <c r="O34" s="13">
        <f>SUMIF(Mercado_Receita!$S$2:$S$379,"44593B2ConvencionalRuralCooperativa de eletrificação ruralNão se aplicaNão se aplicaPonta",Mercado_Receita!$L$2:$L$379)+SUMIF(Mercado_Receita!$S$2:$S$379,"44593B2ConvencionalRuralCooperativa de eletrificação ruralNão se aplicaNão se aplicaFora ponta",Mercado_Receita!$L$2:$L$379)+SUMIF(Mercado_Receita!$S$2:$S$379,"44593B2ConvencionalRuralCooperativa de eletrificação ruralNão se aplicaNão se aplicaIntermediário",Mercado_Receita!$L$2:$L$379)+SUMIF(Mercado_Receita!$S$2:$S$379,"44593B2ConvencionalRuralCooperativa de eletrificação ruralNão se aplicaNão se aplicaNão se aplica",Mercado_Receita!$L$2:$L$379)</f>
        <v>0</v>
      </c>
      <c r="P34" s="13">
        <f>SUMIF(Mercado_Receita!$S$2:$S$379,"44621B2ConvencionalRuralCooperativa de eletrificação ruralNão se aplicaNão se aplicaPonta",Mercado_Receita!$L$2:$L$379)+SUMIF(Mercado_Receita!$S$2:$S$379,"44621B2ConvencionalRuralCooperativa de eletrificação ruralNão se aplicaNão se aplicaFora ponta",Mercado_Receita!$L$2:$L$379)+SUMIF(Mercado_Receita!$S$2:$S$379,"44621B2ConvencionalRuralCooperativa de eletrificação ruralNão se aplicaNão se aplicaIntermediário",Mercado_Receita!$L$2:$L$379)+SUMIF(Mercado_Receita!$S$2:$S$379,"44621B2ConvencionalRuralCooperativa de eletrificação ruralNão se aplicaNão se aplicaNão se aplica",Mercado_Receita!$L$2:$L$379)</f>
        <v>0</v>
      </c>
      <c r="Q34" s="13">
        <f>SUMIF(Mercado_Receita!$S$2:$S$379,"44652B2ConvencionalRuralCooperativa de eletrificação ruralNão se aplicaNão se aplicaPonta",Mercado_Receita!$L$2:$L$379)+SUMIF(Mercado_Receita!$S$2:$S$379,"44652B2ConvencionalRuralCooperativa de eletrificação ruralNão se aplicaNão se aplicaFora ponta",Mercado_Receita!$L$2:$L$379)+SUMIF(Mercado_Receita!$S$2:$S$379,"44652B2ConvencionalRuralCooperativa de eletrificação ruralNão se aplicaNão se aplicaIntermediário",Mercado_Receita!$L$2:$L$379)+SUMIF(Mercado_Receita!$S$2:$S$379,"44652B2ConvencionalRuralCooperativa de eletrificação ruralNão se aplicaNão se aplicaNão se aplica",Mercado_Receita!$L$2:$L$379)</f>
        <v>0</v>
      </c>
      <c r="R34" s="13">
        <f>SUMIF(Mercado_Receita!$S$2:$S$379,"44682B2ConvencionalRuralCooperativa de eletrificação ruralNão se aplicaNão se aplicaPonta",Mercado_Receita!$L$2:$L$379)+SUMIF(Mercado_Receita!$S$2:$S$379,"44682B2ConvencionalRuralCooperativa de eletrificação ruralNão se aplicaNão se aplicaFora ponta",Mercado_Receita!$L$2:$L$379)+SUMIF(Mercado_Receita!$S$2:$S$379,"44682B2ConvencionalRuralCooperativa de eletrificação ruralNão se aplicaNão se aplicaIntermediário",Mercado_Receita!$L$2:$L$379)+SUMIF(Mercado_Receita!$S$2:$S$379,"44682B2ConvencionalRuralCooperativa de eletrificação ruralNão se aplicaNão se aplicaNão se aplica",Mercado_Receita!$L$2:$L$379)</f>
        <v>0</v>
      </c>
      <c r="S34" s="13">
        <f>SUMIF(Mercado_Receita!$S$2:$S$379,"44713B2ConvencionalRuralCooperativa de eletrificação ruralNão se aplicaNão se aplicaPonta",Mercado_Receita!$L$2:$L$379)+SUMIF(Mercado_Receita!$S$2:$S$379,"44713B2ConvencionalRuralCooperativa de eletrificação ruralNão se aplicaNão se aplicaFora ponta",Mercado_Receita!$L$2:$L$379)+SUMIF(Mercado_Receita!$S$2:$S$379,"44713B2ConvencionalRuralCooperativa de eletrificação ruralNão se aplicaNão se aplicaIntermediário",Mercado_Receita!$L$2:$L$379)+SUMIF(Mercado_Receita!$S$2:$S$379,"44713B2ConvencionalRuralCooperativa de eletrificação ruralNão se aplicaNão se aplicaNão se aplica",Mercado_Receita!$L$2:$L$379)</f>
        <v>0</v>
      </c>
      <c r="T34" s="13">
        <f>SUMIF(Mercado_Receita!$S$2:$S$379,"44743B2ConvencionalRuralCooperativa de eletrificação ruralNão se aplicaNão se aplicaPonta",Mercado_Receita!$L$2:$L$379)+SUMIF(Mercado_Receita!$S$2:$S$379,"44743B2ConvencionalRuralCooperativa de eletrificação ruralNão se aplicaNão se aplicaFora ponta",Mercado_Receita!$L$2:$L$379)+SUMIF(Mercado_Receita!$S$2:$S$379,"44743B2ConvencionalRuralCooperativa de eletrificação ruralNão se aplicaNão se aplicaIntermediário",Mercado_Receita!$L$2:$L$379)+SUMIF(Mercado_Receita!$S$2:$S$379,"44743B2ConvencionalRuralCooperativa de eletrificação ruralNão se aplicaNão se aplicaNão se aplica",Mercado_Receita!$L$2:$L$379)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125"/>
      <c r="B35" s="124" t="s">
        <v>38</v>
      </c>
      <c r="C35" s="124" t="s">
        <v>42</v>
      </c>
      <c r="D35" s="124" t="s">
        <v>86</v>
      </c>
      <c r="E35" s="124" t="s">
        <v>25</v>
      </c>
      <c r="F35" s="124" t="s">
        <v>25</v>
      </c>
      <c r="G35" s="13" t="s">
        <v>69</v>
      </c>
      <c r="H35" s="13" t="s">
        <v>68</v>
      </c>
      <c r="I35" s="13">
        <f>SUMIF(Mercado_Receita!$S$2:$S$379,"44409B2BrancaRuralServiço público de irrigação ruralNão se aplicaNão se aplicaPonta",Mercado_Receita!$L$2:$L$379)</f>
        <v>0</v>
      </c>
      <c r="J35" s="13">
        <f>SUMIF(Mercado_Receita!$S$2:$S$379,"44440B2BrancaRuralServiço público de irrigação ruralNão se aplicaNão se aplicaPonta",Mercado_Receita!$L$2:$L$379)</f>
        <v>0</v>
      </c>
      <c r="K35" s="13">
        <f>SUMIF(Mercado_Receita!$S$2:$S$379,"44470B2BrancaRuralServiço público de irrigação ruralNão se aplicaNão se aplicaPonta",Mercado_Receita!$L$2:$L$379)</f>
        <v>0</v>
      </c>
      <c r="L35" s="13">
        <f>SUMIF(Mercado_Receita!$S$2:$S$379,"44501B2BrancaRuralServiço público de irrigação ruralNão se aplicaNão se aplicaPonta",Mercado_Receita!$L$2:$L$379)</f>
        <v>0</v>
      </c>
      <c r="M35" s="13">
        <f>SUMIF(Mercado_Receita!$S$2:$S$379,"44531B2BrancaRuralServiço público de irrigação ruralNão se aplicaNão se aplicaPonta",Mercado_Receita!$L$2:$L$379)</f>
        <v>0</v>
      </c>
      <c r="N35" s="13">
        <f>SUMIF(Mercado_Receita!$S$2:$S$379,"44562B2BrancaRuralServiço público de irrigação ruralNão se aplicaNão se aplicaPonta",Mercado_Receita!$L$2:$L$379)</f>
        <v>0</v>
      </c>
      <c r="O35" s="13">
        <f>SUMIF(Mercado_Receita!$S$2:$S$379,"44593B2BrancaRuralServiço público de irrigação ruralNão se aplicaNão se aplicaPonta",Mercado_Receita!$L$2:$L$379)</f>
        <v>0</v>
      </c>
      <c r="P35" s="13">
        <f>SUMIF(Mercado_Receita!$S$2:$S$379,"44621B2BrancaRuralServiço público de irrigação ruralNão se aplicaNão se aplicaPonta",Mercado_Receita!$L$2:$L$379)</f>
        <v>0</v>
      </c>
      <c r="Q35" s="13">
        <f>SUMIF(Mercado_Receita!$S$2:$S$379,"44652B2BrancaRuralServiço público de irrigação ruralNão se aplicaNão se aplicaPonta",Mercado_Receita!$L$2:$L$379)</f>
        <v>0</v>
      </c>
      <c r="R35" s="13">
        <f>SUMIF(Mercado_Receita!$S$2:$S$379,"44682B2BrancaRuralServiço público de irrigação ruralNão se aplicaNão se aplicaPonta",Mercado_Receita!$L$2:$L$379)</f>
        <v>0</v>
      </c>
      <c r="S35" s="13">
        <f>SUMIF(Mercado_Receita!$S$2:$S$379,"44713B2BrancaRuralServiço público de irrigação ruralNão se aplicaNão se aplicaPonta",Mercado_Receita!$L$2:$L$379)</f>
        <v>0</v>
      </c>
      <c r="T35" s="13">
        <f>SUMIF(Mercado_Receita!$S$2:$S$379,"44743B2BrancaRuralServiço público de irrigação ruralNão se aplicaNão se aplicaPonta",Mercado_Receita!$L$2:$L$379)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125"/>
      <c r="B36" s="125"/>
      <c r="C36" s="125"/>
      <c r="D36" s="125"/>
      <c r="E36" s="125"/>
      <c r="F36" s="125"/>
      <c r="G36" s="13" t="s">
        <v>82</v>
      </c>
      <c r="H36" s="13" t="s">
        <v>68</v>
      </c>
      <c r="I36" s="13">
        <f>SUMIF(Mercado_Receita!$S$2:$S$379,"44409B2BrancaRuralServiço público de irrigação ruralNão se aplicaNão se aplicaIntermediário",Mercado_Receita!$L$2:$L$379)</f>
        <v>0</v>
      </c>
      <c r="J36" s="13">
        <f>SUMIF(Mercado_Receita!$S$2:$S$379,"44440B2BrancaRuralServiço público de irrigação ruralNão se aplicaNão se aplicaIntermediário",Mercado_Receita!$L$2:$L$379)</f>
        <v>0</v>
      </c>
      <c r="K36" s="13">
        <f>SUMIF(Mercado_Receita!$S$2:$S$379,"44470B2BrancaRuralServiço público de irrigação ruralNão se aplicaNão se aplicaIntermediário",Mercado_Receita!$L$2:$L$379)</f>
        <v>0</v>
      </c>
      <c r="L36" s="13">
        <f>SUMIF(Mercado_Receita!$S$2:$S$379,"44501B2BrancaRuralServiço público de irrigação ruralNão se aplicaNão se aplicaIntermediário",Mercado_Receita!$L$2:$L$379)</f>
        <v>0</v>
      </c>
      <c r="M36" s="13">
        <f>SUMIF(Mercado_Receita!$S$2:$S$379,"44531B2BrancaRuralServiço público de irrigação ruralNão se aplicaNão se aplicaIntermediário",Mercado_Receita!$L$2:$L$379)</f>
        <v>0</v>
      </c>
      <c r="N36" s="13">
        <f>SUMIF(Mercado_Receita!$S$2:$S$379,"44562B2BrancaRuralServiço público de irrigação ruralNão se aplicaNão se aplicaIntermediário",Mercado_Receita!$L$2:$L$379)</f>
        <v>0</v>
      </c>
      <c r="O36" s="13">
        <f>SUMIF(Mercado_Receita!$S$2:$S$379,"44593B2BrancaRuralServiço público de irrigação ruralNão se aplicaNão se aplicaIntermediário",Mercado_Receita!$L$2:$L$379)</f>
        <v>0</v>
      </c>
      <c r="P36" s="13">
        <f>SUMIF(Mercado_Receita!$S$2:$S$379,"44621B2BrancaRuralServiço público de irrigação ruralNão se aplicaNão se aplicaIntermediário",Mercado_Receita!$L$2:$L$379)</f>
        <v>0</v>
      </c>
      <c r="Q36" s="13">
        <f>SUMIF(Mercado_Receita!$S$2:$S$379,"44652B2BrancaRuralServiço público de irrigação ruralNão se aplicaNão se aplicaIntermediário",Mercado_Receita!$L$2:$L$379)</f>
        <v>0</v>
      </c>
      <c r="R36" s="13">
        <f>SUMIF(Mercado_Receita!$S$2:$S$379,"44682B2BrancaRuralServiço público de irrigação ruralNão se aplicaNão se aplicaIntermediário",Mercado_Receita!$L$2:$L$379)</f>
        <v>0</v>
      </c>
      <c r="S36" s="13">
        <f>SUMIF(Mercado_Receita!$S$2:$S$379,"44713B2BrancaRuralServiço público de irrigação ruralNão se aplicaNão se aplicaIntermediário",Mercado_Receita!$L$2:$L$379)</f>
        <v>0</v>
      </c>
      <c r="T36" s="13">
        <f>SUMIF(Mercado_Receita!$S$2:$S$379,"44743B2BrancaRuralServiço público de irrigação ruralNão se aplicaNão se aplicaIntermediário",Mercado_Receita!$L$2:$L$379)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125"/>
      <c r="B37" s="125"/>
      <c r="C37" s="125"/>
      <c r="D37" s="125"/>
      <c r="E37" s="125"/>
      <c r="F37" s="125"/>
      <c r="G37" s="13" t="s">
        <v>70</v>
      </c>
      <c r="H37" s="13" t="s">
        <v>68</v>
      </c>
      <c r="I37" s="13">
        <f>SUMIF(Mercado_Receita!$S$2:$S$379,"44409B2BrancaRuralServiço público de irrigação ruralNão se aplicaNão se aplicaFora ponta",Mercado_Receita!$L$2:$L$379)</f>
        <v>0</v>
      </c>
      <c r="J37" s="13">
        <f>SUMIF(Mercado_Receita!$S$2:$S$379,"44440B2BrancaRuralServiço público de irrigação ruralNão se aplicaNão se aplicaFora ponta",Mercado_Receita!$L$2:$L$379)</f>
        <v>0</v>
      </c>
      <c r="K37" s="13">
        <f>SUMIF(Mercado_Receita!$S$2:$S$379,"44470B2BrancaRuralServiço público de irrigação ruralNão se aplicaNão se aplicaFora ponta",Mercado_Receita!$L$2:$L$379)</f>
        <v>0</v>
      </c>
      <c r="L37" s="13">
        <f>SUMIF(Mercado_Receita!$S$2:$S$379,"44501B2BrancaRuralServiço público de irrigação ruralNão se aplicaNão se aplicaFora ponta",Mercado_Receita!$L$2:$L$379)</f>
        <v>0</v>
      </c>
      <c r="M37" s="13">
        <f>SUMIF(Mercado_Receita!$S$2:$S$379,"44531B2BrancaRuralServiço público de irrigação ruralNão se aplicaNão se aplicaFora ponta",Mercado_Receita!$L$2:$L$379)</f>
        <v>0</v>
      </c>
      <c r="N37" s="13">
        <f>SUMIF(Mercado_Receita!$S$2:$S$379,"44562B2BrancaRuralServiço público de irrigação ruralNão se aplicaNão se aplicaFora ponta",Mercado_Receita!$L$2:$L$379)</f>
        <v>0</v>
      </c>
      <c r="O37" s="13">
        <f>SUMIF(Mercado_Receita!$S$2:$S$379,"44593B2BrancaRuralServiço público de irrigação ruralNão se aplicaNão se aplicaFora ponta",Mercado_Receita!$L$2:$L$379)</f>
        <v>0</v>
      </c>
      <c r="P37" s="13">
        <f>SUMIF(Mercado_Receita!$S$2:$S$379,"44621B2BrancaRuralServiço público de irrigação ruralNão se aplicaNão se aplicaFora ponta",Mercado_Receita!$L$2:$L$379)</f>
        <v>0</v>
      </c>
      <c r="Q37" s="13">
        <f>SUMIF(Mercado_Receita!$S$2:$S$379,"44652B2BrancaRuralServiço público de irrigação ruralNão se aplicaNão se aplicaFora ponta",Mercado_Receita!$L$2:$L$379)</f>
        <v>0</v>
      </c>
      <c r="R37" s="13">
        <f>SUMIF(Mercado_Receita!$S$2:$S$379,"44682B2BrancaRuralServiço público de irrigação ruralNão se aplicaNão se aplicaFora ponta",Mercado_Receita!$L$2:$L$379)</f>
        <v>0</v>
      </c>
      <c r="S37" s="13">
        <f>SUMIF(Mercado_Receita!$S$2:$S$379,"44713B2BrancaRuralServiço público de irrigação ruralNão se aplicaNão se aplicaFora ponta",Mercado_Receita!$L$2:$L$379)</f>
        <v>0</v>
      </c>
      <c r="T37" s="13">
        <f>SUMIF(Mercado_Receita!$S$2:$S$379,"44743B2BrancaRuralServiço público de irrigação ruralNão se aplicaNão se aplicaFora ponta",Mercado_Receita!$L$2:$L$379)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125"/>
      <c r="B38" s="12" t="s">
        <v>23</v>
      </c>
      <c r="C38" s="12" t="s">
        <v>42</v>
      </c>
      <c r="D38" s="12" t="s">
        <v>86</v>
      </c>
      <c r="E38" s="12" t="s">
        <v>25</v>
      </c>
      <c r="F38" s="12" t="s">
        <v>25</v>
      </c>
      <c r="G38" s="13" t="s">
        <v>72</v>
      </c>
      <c r="H38" s="13" t="s">
        <v>68</v>
      </c>
      <c r="I38" s="13">
        <f>SUMIF(Mercado_Receita!$S$2:$S$379,"44409B2ConvencionalRuralServiço público de irrigação ruralNão se aplicaNão se aplicaPonta",Mercado_Receita!$L$2:$L$379)+SUMIF(Mercado_Receita!$S$2:$S$379,"44409B2ConvencionalRuralServiço público de irrigação ruralNão se aplicaNão se aplicaFora ponta",Mercado_Receita!$L$2:$L$379)+SUMIF(Mercado_Receita!$S$2:$S$379,"44409B2ConvencionalRuralServiço público de irrigação ruralNão se aplicaNão se aplicaIntermediário",Mercado_Receita!$L$2:$L$379)+SUMIF(Mercado_Receita!$S$2:$S$379,"44409B2ConvencionalRuralServiço público de irrigação ruralNão se aplicaNão se aplicaNão se aplica",Mercado_Receita!$L$2:$L$379)</f>
        <v>0</v>
      </c>
      <c r="J38" s="13">
        <f>SUMIF(Mercado_Receita!$S$2:$S$379,"44440B2ConvencionalRuralServiço público de irrigação ruralNão se aplicaNão se aplicaPonta",Mercado_Receita!$L$2:$L$379)+SUMIF(Mercado_Receita!$S$2:$S$379,"44440B2ConvencionalRuralServiço público de irrigação ruralNão se aplicaNão se aplicaFora ponta",Mercado_Receita!$L$2:$L$379)+SUMIF(Mercado_Receita!$S$2:$S$379,"44440B2ConvencionalRuralServiço público de irrigação ruralNão se aplicaNão se aplicaIntermediário",Mercado_Receita!$L$2:$L$379)+SUMIF(Mercado_Receita!$S$2:$S$379,"44440B2ConvencionalRuralServiço público de irrigação ruralNão se aplicaNão se aplicaNão se aplica",Mercado_Receita!$L$2:$L$379)</f>
        <v>0</v>
      </c>
      <c r="K38" s="13">
        <f>SUMIF(Mercado_Receita!$S$2:$S$379,"44470B2ConvencionalRuralServiço público de irrigação ruralNão se aplicaNão se aplicaPonta",Mercado_Receita!$L$2:$L$379)+SUMIF(Mercado_Receita!$S$2:$S$379,"44470B2ConvencionalRuralServiço público de irrigação ruralNão se aplicaNão se aplicaFora ponta",Mercado_Receita!$L$2:$L$379)+SUMIF(Mercado_Receita!$S$2:$S$379,"44470B2ConvencionalRuralServiço público de irrigação ruralNão se aplicaNão se aplicaIntermediário",Mercado_Receita!$L$2:$L$379)+SUMIF(Mercado_Receita!$S$2:$S$379,"44470B2ConvencionalRuralServiço público de irrigação ruralNão se aplicaNão se aplicaNão se aplica",Mercado_Receita!$L$2:$L$379)</f>
        <v>0</v>
      </c>
      <c r="L38" s="13">
        <f>SUMIF(Mercado_Receita!$S$2:$S$379,"44501B2ConvencionalRuralServiço público de irrigação ruralNão se aplicaNão se aplicaPonta",Mercado_Receita!$L$2:$L$379)+SUMIF(Mercado_Receita!$S$2:$S$379,"44501B2ConvencionalRuralServiço público de irrigação ruralNão se aplicaNão se aplicaFora ponta",Mercado_Receita!$L$2:$L$379)+SUMIF(Mercado_Receita!$S$2:$S$379,"44501B2ConvencionalRuralServiço público de irrigação ruralNão se aplicaNão se aplicaIntermediário",Mercado_Receita!$L$2:$L$379)+SUMIF(Mercado_Receita!$S$2:$S$379,"44501B2ConvencionalRuralServiço público de irrigação ruralNão se aplicaNão se aplicaNão se aplica",Mercado_Receita!$L$2:$L$379)</f>
        <v>0</v>
      </c>
      <c r="M38" s="13">
        <f>SUMIF(Mercado_Receita!$S$2:$S$379,"44531B2ConvencionalRuralServiço público de irrigação ruralNão se aplicaNão se aplicaPonta",Mercado_Receita!$L$2:$L$379)+SUMIF(Mercado_Receita!$S$2:$S$379,"44531B2ConvencionalRuralServiço público de irrigação ruralNão se aplicaNão se aplicaFora ponta",Mercado_Receita!$L$2:$L$379)+SUMIF(Mercado_Receita!$S$2:$S$379,"44531B2ConvencionalRuralServiço público de irrigação ruralNão se aplicaNão se aplicaIntermediário",Mercado_Receita!$L$2:$L$379)+SUMIF(Mercado_Receita!$S$2:$S$379,"44531B2ConvencionalRuralServiço público de irrigação ruralNão se aplicaNão se aplicaNão se aplica",Mercado_Receita!$L$2:$L$379)</f>
        <v>0</v>
      </c>
      <c r="N38" s="13">
        <f>SUMIF(Mercado_Receita!$S$2:$S$379,"44562B2ConvencionalRuralServiço público de irrigação ruralNão se aplicaNão se aplicaPonta",Mercado_Receita!$L$2:$L$379)+SUMIF(Mercado_Receita!$S$2:$S$379,"44562B2ConvencionalRuralServiço público de irrigação ruralNão se aplicaNão se aplicaFora ponta",Mercado_Receita!$L$2:$L$379)+SUMIF(Mercado_Receita!$S$2:$S$379,"44562B2ConvencionalRuralServiço público de irrigação ruralNão se aplicaNão se aplicaIntermediário",Mercado_Receita!$L$2:$L$379)+SUMIF(Mercado_Receita!$S$2:$S$379,"44562B2ConvencionalRuralServiço público de irrigação ruralNão se aplicaNão se aplicaNão se aplica",Mercado_Receita!$L$2:$L$379)</f>
        <v>0</v>
      </c>
      <c r="O38" s="13">
        <f>SUMIF(Mercado_Receita!$S$2:$S$379,"44593B2ConvencionalRuralServiço público de irrigação ruralNão se aplicaNão se aplicaPonta",Mercado_Receita!$L$2:$L$379)+SUMIF(Mercado_Receita!$S$2:$S$379,"44593B2ConvencionalRuralServiço público de irrigação ruralNão se aplicaNão se aplicaFora ponta",Mercado_Receita!$L$2:$L$379)+SUMIF(Mercado_Receita!$S$2:$S$379,"44593B2ConvencionalRuralServiço público de irrigação ruralNão se aplicaNão se aplicaIntermediário",Mercado_Receita!$L$2:$L$379)+SUMIF(Mercado_Receita!$S$2:$S$379,"44593B2ConvencionalRuralServiço público de irrigação ruralNão se aplicaNão se aplicaNão se aplica",Mercado_Receita!$L$2:$L$379)</f>
        <v>0</v>
      </c>
      <c r="P38" s="13">
        <f>SUMIF(Mercado_Receita!$S$2:$S$379,"44621B2ConvencionalRuralServiço público de irrigação ruralNão se aplicaNão se aplicaPonta",Mercado_Receita!$L$2:$L$379)+SUMIF(Mercado_Receita!$S$2:$S$379,"44621B2ConvencionalRuralServiço público de irrigação ruralNão se aplicaNão se aplicaFora ponta",Mercado_Receita!$L$2:$L$379)+SUMIF(Mercado_Receita!$S$2:$S$379,"44621B2ConvencionalRuralServiço público de irrigação ruralNão se aplicaNão se aplicaIntermediário",Mercado_Receita!$L$2:$L$379)+SUMIF(Mercado_Receita!$S$2:$S$379,"44621B2ConvencionalRuralServiço público de irrigação ruralNão se aplicaNão se aplicaNão se aplica",Mercado_Receita!$L$2:$L$379)</f>
        <v>0</v>
      </c>
      <c r="Q38" s="13">
        <f>SUMIF(Mercado_Receita!$S$2:$S$379,"44652B2ConvencionalRuralServiço público de irrigação ruralNão se aplicaNão se aplicaPonta",Mercado_Receita!$L$2:$L$379)+SUMIF(Mercado_Receita!$S$2:$S$379,"44652B2ConvencionalRuralServiço público de irrigação ruralNão se aplicaNão se aplicaFora ponta",Mercado_Receita!$L$2:$L$379)+SUMIF(Mercado_Receita!$S$2:$S$379,"44652B2ConvencionalRuralServiço público de irrigação ruralNão se aplicaNão se aplicaIntermediário",Mercado_Receita!$L$2:$L$379)+SUMIF(Mercado_Receita!$S$2:$S$379,"44652B2ConvencionalRuralServiço público de irrigação ruralNão se aplicaNão se aplicaNão se aplica",Mercado_Receita!$L$2:$L$379)</f>
        <v>0</v>
      </c>
      <c r="R38" s="13">
        <f>SUMIF(Mercado_Receita!$S$2:$S$379,"44682B2ConvencionalRuralServiço público de irrigação ruralNão se aplicaNão se aplicaPonta",Mercado_Receita!$L$2:$L$379)+SUMIF(Mercado_Receita!$S$2:$S$379,"44682B2ConvencionalRuralServiço público de irrigação ruralNão se aplicaNão se aplicaFora ponta",Mercado_Receita!$L$2:$L$379)+SUMIF(Mercado_Receita!$S$2:$S$379,"44682B2ConvencionalRuralServiço público de irrigação ruralNão se aplicaNão se aplicaIntermediário",Mercado_Receita!$L$2:$L$379)+SUMIF(Mercado_Receita!$S$2:$S$379,"44682B2ConvencionalRuralServiço público de irrigação ruralNão se aplicaNão se aplicaNão se aplica",Mercado_Receita!$L$2:$L$379)</f>
        <v>0</v>
      </c>
      <c r="S38" s="13">
        <f>SUMIF(Mercado_Receita!$S$2:$S$379,"44713B2ConvencionalRuralServiço público de irrigação ruralNão se aplicaNão se aplicaPonta",Mercado_Receita!$L$2:$L$379)+SUMIF(Mercado_Receita!$S$2:$S$379,"44713B2ConvencionalRuralServiço público de irrigação ruralNão se aplicaNão se aplicaFora ponta",Mercado_Receita!$L$2:$L$379)+SUMIF(Mercado_Receita!$S$2:$S$379,"44713B2ConvencionalRuralServiço público de irrigação ruralNão se aplicaNão se aplicaIntermediário",Mercado_Receita!$L$2:$L$379)+SUMIF(Mercado_Receita!$S$2:$S$379,"44713B2ConvencionalRuralServiço público de irrigação ruralNão se aplicaNão se aplicaNão se aplica",Mercado_Receita!$L$2:$L$379)</f>
        <v>0</v>
      </c>
      <c r="T38" s="13">
        <f>SUMIF(Mercado_Receita!$S$2:$S$379,"44743B2ConvencionalRuralServiço público de irrigação ruralNão se aplicaNão se aplicaPonta",Mercado_Receita!$L$2:$L$379)+SUMIF(Mercado_Receita!$S$2:$S$379,"44743B2ConvencionalRuralServiço público de irrigação ruralNão se aplicaNão se aplicaFora ponta",Mercado_Receita!$L$2:$L$379)+SUMIF(Mercado_Receita!$S$2:$S$379,"44743B2ConvencionalRuralServiço público de irrigação ruralNão se aplicaNão se aplicaIntermediário",Mercado_Receita!$L$2:$L$379)+SUMIF(Mercado_Receita!$S$2:$S$379,"44743B2ConvencionalRuralServiço público de irrigação ruralNão se aplicaNão se aplicaNão se aplica",Mercado_Receita!$L$2:$L$379)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125"/>
      <c r="B39" s="124" t="s">
        <v>84</v>
      </c>
      <c r="C39" s="124" t="s">
        <v>42</v>
      </c>
      <c r="D39" s="12" t="s">
        <v>25</v>
      </c>
      <c r="E39" s="12" t="s">
        <v>25</v>
      </c>
      <c r="F39" s="12" t="s">
        <v>25</v>
      </c>
      <c r="G39" s="13" t="s">
        <v>72</v>
      </c>
      <c r="H39" s="13" t="s">
        <v>68</v>
      </c>
      <c r="I39" s="13">
        <f>SUMIF(Mercado_Receita!$S$2:$S$379,"44409B2Convencional pré-pagamentoRuralNão se aplicaNão se aplicaNão se aplicaPonta",Mercado_Receita!$L$2:$L$379)+SUMIF(Mercado_Receita!$S$2:$S$379,"44409B2Convencional pré-pagamentoRuralNão se aplicaNão se aplicaNão se aplicaFora ponta",Mercado_Receita!$L$2:$L$379)+SUMIF(Mercado_Receita!$S$2:$S$379,"44409B2Convencional pré-pagamentoRuralNão se aplicaNão se aplicaNão se aplicaIntermediário",Mercado_Receita!$L$2:$L$379)+SUMIF(Mercado_Receita!$S$2:$S$379,"44409B2Convencional pré-pagamentoRuralNão se aplicaNão se aplicaNão se aplicaNão se aplica",Mercado_Receita!$L$2:$L$379)</f>
        <v>0</v>
      </c>
      <c r="J39" s="13">
        <f>SUMIF(Mercado_Receita!$S$2:$S$379,"44440B2Convencional pré-pagamentoRuralNão se aplicaNão se aplicaNão se aplicaPonta",Mercado_Receita!$L$2:$L$379)+SUMIF(Mercado_Receita!$S$2:$S$379,"44440B2Convencional pré-pagamentoRuralNão se aplicaNão se aplicaNão se aplicaFora ponta",Mercado_Receita!$L$2:$L$379)+SUMIF(Mercado_Receita!$S$2:$S$379,"44440B2Convencional pré-pagamentoRuralNão se aplicaNão se aplicaNão se aplicaIntermediário",Mercado_Receita!$L$2:$L$379)+SUMIF(Mercado_Receita!$S$2:$S$379,"44440B2Convencional pré-pagamentoRuralNão se aplicaNão se aplicaNão se aplicaNão se aplica",Mercado_Receita!$L$2:$L$379)</f>
        <v>0</v>
      </c>
      <c r="K39" s="13">
        <f>SUMIF(Mercado_Receita!$S$2:$S$379,"44470B2Convencional pré-pagamentoRuralNão se aplicaNão se aplicaNão se aplicaPonta",Mercado_Receita!$L$2:$L$379)+SUMIF(Mercado_Receita!$S$2:$S$379,"44470B2Convencional pré-pagamentoRuralNão se aplicaNão se aplicaNão se aplicaFora ponta",Mercado_Receita!$L$2:$L$379)+SUMIF(Mercado_Receita!$S$2:$S$379,"44470B2Convencional pré-pagamentoRuralNão se aplicaNão se aplicaNão se aplicaIntermediário",Mercado_Receita!$L$2:$L$379)+SUMIF(Mercado_Receita!$S$2:$S$379,"44470B2Convencional pré-pagamentoRuralNão se aplicaNão se aplicaNão se aplicaNão se aplica",Mercado_Receita!$L$2:$L$379)</f>
        <v>0</v>
      </c>
      <c r="L39" s="13">
        <f>SUMIF(Mercado_Receita!$S$2:$S$379,"44501B2Convencional pré-pagamentoRuralNão se aplicaNão se aplicaNão se aplicaPonta",Mercado_Receita!$L$2:$L$379)+SUMIF(Mercado_Receita!$S$2:$S$379,"44501B2Convencional pré-pagamentoRuralNão se aplicaNão se aplicaNão se aplicaFora ponta",Mercado_Receita!$L$2:$L$379)+SUMIF(Mercado_Receita!$S$2:$S$379,"44501B2Convencional pré-pagamentoRuralNão se aplicaNão se aplicaNão se aplicaIntermediário",Mercado_Receita!$L$2:$L$379)+SUMIF(Mercado_Receita!$S$2:$S$379,"44501B2Convencional pré-pagamentoRuralNão se aplicaNão se aplicaNão se aplicaNão se aplica",Mercado_Receita!$L$2:$L$379)</f>
        <v>0</v>
      </c>
      <c r="M39" s="13">
        <f>SUMIF(Mercado_Receita!$S$2:$S$379,"44531B2Convencional pré-pagamentoRuralNão se aplicaNão se aplicaNão se aplicaPonta",Mercado_Receita!$L$2:$L$379)+SUMIF(Mercado_Receita!$S$2:$S$379,"44531B2Convencional pré-pagamentoRuralNão se aplicaNão se aplicaNão se aplicaFora ponta",Mercado_Receita!$L$2:$L$379)+SUMIF(Mercado_Receita!$S$2:$S$379,"44531B2Convencional pré-pagamentoRuralNão se aplicaNão se aplicaNão se aplicaIntermediário",Mercado_Receita!$L$2:$L$379)+SUMIF(Mercado_Receita!$S$2:$S$379,"44531B2Convencional pré-pagamentoRuralNão se aplicaNão se aplicaNão se aplicaNão se aplica",Mercado_Receita!$L$2:$L$379)</f>
        <v>0</v>
      </c>
      <c r="N39" s="13">
        <f>SUMIF(Mercado_Receita!$S$2:$S$379,"44562B2Convencional pré-pagamentoRuralNão se aplicaNão se aplicaNão se aplicaPonta",Mercado_Receita!$L$2:$L$379)+SUMIF(Mercado_Receita!$S$2:$S$379,"44562B2Convencional pré-pagamentoRuralNão se aplicaNão se aplicaNão se aplicaFora ponta",Mercado_Receita!$L$2:$L$379)+SUMIF(Mercado_Receita!$S$2:$S$379,"44562B2Convencional pré-pagamentoRuralNão se aplicaNão se aplicaNão se aplicaIntermediário",Mercado_Receita!$L$2:$L$379)+SUMIF(Mercado_Receita!$S$2:$S$379,"44562B2Convencional pré-pagamentoRuralNão se aplicaNão se aplicaNão se aplicaNão se aplica",Mercado_Receita!$L$2:$L$379)</f>
        <v>0</v>
      </c>
      <c r="O39" s="13">
        <f>SUMIF(Mercado_Receita!$S$2:$S$379,"44593B2Convencional pré-pagamentoRuralNão se aplicaNão se aplicaNão se aplicaPonta",Mercado_Receita!$L$2:$L$379)+SUMIF(Mercado_Receita!$S$2:$S$379,"44593B2Convencional pré-pagamentoRuralNão se aplicaNão se aplicaNão se aplicaFora ponta",Mercado_Receita!$L$2:$L$379)+SUMIF(Mercado_Receita!$S$2:$S$379,"44593B2Convencional pré-pagamentoRuralNão se aplicaNão se aplicaNão se aplicaIntermediário",Mercado_Receita!$L$2:$L$379)+SUMIF(Mercado_Receita!$S$2:$S$379,"44593B2Convencional pré-pagamentoRuralNão se aplicaNão se aplicaNão se aplicaNão se aplica",Mercado_Receita!$L$2:$L$379)</f>
        <v>0</v>
      </c>
      <c r="P39" s="13">
        <f>SUMIF(Mercado_Receita!$S$2:$S$379,"44621B2Convencional pré-pagamentoRuralNão se aplicaNão se aplicaNão se aplicaPonta",Mercado_Receita!$L$2:$L$379)+SUMIF(Mercado_Receita!$S$2:$S$379,"44621B2Convencional pré-pagamentoRuralNão se aplicaNão se aplicaNão se aplicaFora ponta",Mercado_Receita!$L$2:$L$379)+SUMIF(Mercado_Receita!$S$2:$S$379,"44621B2Convencional pré-pagamentoRuralNão se aplicaNão se aplicaNão se aplicaIntermediário",Mercado_Receita!$L$2:$L$379)+SUMIF(Mercado_Receita!$S$2:$S$379,"44621B2Convencional pré-pagamentoRuralNão se aplicaNão se aplicaNão se aplicaNão se aplica",Mercado_Receita!$L$2:$L$379)</f>
        <v>0</v>
      </c>
      <c r="Q39" s="13">
        <f>SUMIF(Mercado_Receita!$S$2:$S$379,"44652B2Convencional pré-pagamentoRuralNão se aplicaNão se aplicaNão se aplicaPonta",Mercado_Receita!$L$2:$L$379)+SUMIF(Mercado_Receita!$S$2:$S$379,"44652B2Convencional pré-pagamentoRuralNão se aplicaNão se aplicaNão se aplicaFora ponta",Mercado_Receita!$L$2:$L$379)+SUMIF(Mercado_Receita!$S$2:$S$379,"44652B2Convencional pré-pagamentoRuralNão se aplicaNão se aplicaNão se aplicaIntermediário",Mercado_Receita!$L$2:$L$379)+SUMIF(Mercado_Receita!$S$2:$S$379,"44652B2Convencional pré-pagamentoRuralNão se aplicaNão se aplicaNão se aplicaNão se aplica",Mercado_Receita!$L$2:$L$379)</f>
        <v>0</v>
      </c>
      <c r="R39" s="13">
        <f>SUMIF(Mercado_Receita!$S$2:$S$379,"44682B2Convencional pré-pagamentoRuralNão se aplicaNão se aplicaNão se aplicaPonta",Mercado_Receita!$L$2:$L$379)+SUMIF(Mercado_Receita!$S$2:$S$379,"44682B2Convencional pré-pagamentoRuralNão se aplicaNão se aplicaNão se aplicaFora ponta",Mercado_Receita!$L$2:$L$379)+SUMIF(Mercado_Receita!$S$2:$S$379,"44682B2Convencional pré-pagamentoRuralNão se aplicaNão se aplicaNão se aplicaIntermediário",Mercado_Receita!$L$2:$L$379)+SUMIF(Mercado_Receita!$S$2:$S$379,"44682B2Convencional pré-pagamentoRuralNão se aplicaNão se aplicaNão se aplicaNão se aplica",Mercado_Receita!$L$2:$L$379)</f>
        <v>0</v>
      </c>
      <c r="S39" s="13">
        <f>SUMIF(Mercado_Receita!$S$2:$S$379,"44713B2Convencional pré-pagamentoRuralNão se aplicaNão se aplicaNão se aplicaPonta",Mercado_Receita!$L$2:$L$379)+SUMIF(Mercado_Receita!$S$2:$S$379,"44713B2Convencional pré-pagamentoRuralNão se aplicaNão se aplicaNão se aplicaFora ponta",Mercado_Receita!$L$2:$L$379)+SUMIF(Mercado_Receita!$S$2:$S$379,"44713B2Convencional pré-pagamentoRuralNão se aplicaNão se aplicaNão se aplicaIntermediário",Mercado_Receita!$L$2:$L$379)+SUMIF(Mercado_Receita!$S$2:$S$379,"44713B2Convencional pré-pagamentoRuralNão se aplicaNão se aplicaNão se aplicaNão se aplica",Mercado_Receita!$L$2:$L$379)</f>
        <v>0</v>
      </c>
      <c r="T39" s="13">
        <f>SUMIF(Mercado_Receita!$S$2:$S$379,"44743B2Convencional pré-pagamentoRuralNão se aplicaNão se aplicaNão se aplicaPonta",Mercado_Receita!$L$2:$L$379)+SUMIF(Mercado_Receita!$S$2:$S$379,"44743B2Convencional pré-pagamentoRuralNão se aplicaNão se aplicaNão se aplicaFora ponta",Mercado_Receita!$L$2:$L$379)+SUMIF(Mercado_Receita!$S$2:$S$379,"44743B2Convencional pré-pagamentoRuralNão se aplicaNão se aplicaNão se aplicaIntermediário",Mercado_Receita!$L$2:$L$379)+SUMIF(Mercado_Receita!$S$2:$S$379,"44743B2Convencional pré-pagamentoRuralNão se aplicaNão se aplicaNão se aplicaNão se aplica",Mercado_Receita!$L$2:$L$379)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125"/>
      <c r="B40" s="125"/>
      <c r="C40" s="125"/>
      <c r="D40" s="12" t="s">
        <v>85</v>
      </c>
      <c r="E40" s="12" t="s">
        <v>25</v>
      </c>
      <c r="F40" s="12" t="s">
        <v>25</v>
      </c>
      <c r="G40" s="13" t="s">
        <v>72</v>
      </c>
      <c r="H40" s="13" t="s">
        <v>68</v>
      </c>
      <c r="I40" s="13">
        <f>SUMIF(Mercado_Receita!$S$2:$S$379,"44409B2Convencional pré-pagamentoRuralCooperativa de eletrificação ruralNão se aplicaNão se aplicaPonta",Mercado_Receita!$L$2:$L$379)+SUMIF(Mercado_Receita!$S$2:$S$379,"44409B2Convencional pré-pagamentoRuralCooperativa de eletrificação ruralNão se aplicaNão se aplicaFora ponta",Mercado_Receita!$L$2:$L$379)+SUMIF(Mercado_Receita!$S$2:$S$379,"44409B2Convencional pré-pagamentoRuralCooperativa de eletrificação ruralNão se aplicaNão se aplicaIntermediário",Mercado_Receita!$L$2:$L$379)+SUMIF(Mercado_Receita!$S$2:$S$379,"44409B2Convencional pré-pagamentoRuralCooperativa de eletrificação ruralNão se aplicaNão se aplicaNão se aplica",Mercado_Receita!$L$2:$L$379)</f>
        <v>0</v>
      </c>
      <c r="J40" s="13">
        <f>SUMIF(Mercado_Receita!$S$2:$S$379,"44440B2Convencional pré-pagamentoRuralCooperativa de eletrificação ruralNão se aplicaNão se aplicaPonta",Mercado_Receita!$L$2:$L$379)+SUMIF(Mercado_Receita!$S$2:$S$379,"44440B2Convencional pré-pagamentoRuralCooperativa de eletrificação ruralNão se aplicaNão se aplicaFora ponta",Mercado_Receita!$L$2:$L$379)+SUMIF(Mercado_Receita!$S$2:$S$379,"44440B2Convencional pré-pagamentoRuralCooperativa de eletrificação ruralNão se aplicaNão se aplicaIntermediário",Mercado_Receita!$L$2:$L$379)+SUMIF(Mercado_Receita!$S$2:$S$379,"44440B2Convencional pré-pagamentoRuralCooperativa de eletrificação ruralNão se aplicaNão se aplicaNão se aplica",Mercado_Receita!$L$2:$L$379)</f>
        <v>0</v>
      </c>
      <c r="K40" s="13">
        <f>SUMIF(Mercado_Receita!$S$2:$S$379,"44470B2Convencional pré-pagamentoRuralCooperativa de eletrificação ruralNão se aplicaNão se aplicaPonta",Mercado_Receita!$L$2:$L$379)+SUMIF(Mercado_Receita!$S$2:$S$379,"44470B2Convencional pré-pagamentoRuralCooperativa de eletrificação ruralNão se aplicaNão se aplicaFora ponta",Mercado_Receita!$L$2:$L$379)+SUMIF(Mercado_Receita!$S$2:$S$379,"44470B2Convencional pré-pagamentoRuralCooperativa de eletrificação ruralNão se aplicaNão se aplicaIntermediário",Mercado_Receita!$L$2:$L$379)+SUMIF(Mercado_Receita!$S$2:$S$379,"44470B2Convencional pré-pagamentoRuralCooperativa de eletrificação ruralNão se aplicaNão se aplicaNão se aplica",Mercado_Receita!$L$2:$L$379)</f>
        <v>0</v>
      </c>
      <c r="L40" s="13">
        <f>SUMIF(Mercado_Receita!$S$2:$S$379,"44501B2Convencional pré-pagamentoRuralCooperativa de eletrificação ruralNão se aplicaNão se aplicaPonta",Mercado_Receita!$L$2:$L$379)+SUMIF(Mercado_Receita!$S$2:$S$379,"44501B2Convencional pré-pagamentoRuralCooperativa de eletrificação ruralNão se aplicaNão se aplicaFora ponta",Mercado_Receita!$L$2:$L$379)+SUMIF(Mercado_Receita!$S$2:$S$379,"44501B2Convencional pré-pagamentoRuralCooperativa de eletrificação ruralNão se aplicaNão se aplicaIntermediário",Mercado_Receita!$L$2:$L$379)+SUMIF(Mercado_Receita!$S$2:$S$379,"44501B2Convencional pré-pagamentoRuralCooperativa de eletrificação ruralNão se aplicaNão se aplicaNão se aplica",Mercado_Receita!$L$2:$L$379)</f>
        <v>0</v>
      </c>
      <c r="M40" s="13">
        <f>SUMIF(Mercado_Receita!$S$2:$S$379,"44531B2Convencional pré-pagamentoRuralCooperativa de eletrificação ruralNão se aplicaNão se aplicaPonta",Mercado_Receita!$L$2:$L$379)+SUMIF(Mercado_Receita!$S$2:$S$379,"44531B2Convencional pré-pagamentoRuralCooperativa de eletrificação ruralNão se aplicaNão se aplicaFora ponta",Mercado_Receita!$L$2:$L$379)+SUMIF(Mercado_Receita!$S$2:$S$379,"44531B2Convencional pré-pagamentoRuralCooperativa de eletrificação ruralNão se aplicaNão se aplicaIntermediário",Mercado_Receita!$L$2:$L$379)+SUMIF(Mercado_Receita!$S$2:$S$379,"44531B2Convencional pré-pagamentoRuralCooperativa de eletrificação ruralNão se aplicaNão se aplicaNão se aplica",Mercado_Receita!$L$2:$L$379)</f>
        <v>0</v>
      </c>
      <c r="N40" s="13">
        <f>SUMIF(Mercado_Receita!$S$2:$S$379,"44562B2Convencional pré-pagamentoRuralCooperativa de eletrificação ruralNão se aplicaNão se aplicaPonta",Mercado_Receita!$L$2:$L$379)+SUMIF(Mercado_Receita!$S$2:$S$379,"44562B2Convencional pré-pagamentoRuralCooperativa de eletrificação ruralNão se aplicaNão se aplicaFora ponta",Mercado_Receita!$L$2:$L$379)+SUMIF(Mercado_Receita!$S$2:$S$379,"44562B2Convencional pré-pagamentoRuralCooperativa de eletrificação ruralNão se aplicaNão se aplicaIntermediário",Mercado_Receita!$L$2:$L$379)+SUMIF(Mercado_Receita!$S$2:$S$379,"44562B2Convencional pré-pagamentoRuralCooperativa de eletrificação ruralNão se aplicaNão se aplicaNão se aplica",Mercado_Receita!$L$2:$L$379)</f>
        <v>0</v>
      </c>
      <c r="O40" s="13">
        <f>SUMIF(Mercado_Receita!$S$2:$S$379,"44593B2Convencional pré-pagamentoRuralCooperativa de eletrificação ruralNão se aplicaNão se aplicaPonta",Mercado_Receita!$L$2:$L$379)+SUMIF(Mercado_Receita!$S$2:$S$379,"44593B2Convencional pré-pagamentoRuralCooperativa de eletrificação ruralNão se aplicaNão se aplicaFora ponta",Mercado_Receita!$L$2:$L$379)+SUMIF(Mercado_Receita!$S$2:$S$379,"44593B2Convencional pré-pagamentoRuralCooperativa de eletrificação ruralNão se aplicaNão se aplicaIntermediário",Mercado_Receita!$L$2:$L$379)+SUMIF(Mercado_Receita!$S$2:$S$379,"44593B2Convencional pré-pagamentoRuralCooperativa de eletrificação ruralNão se aplicaNão se aplicaNão se aplica",Mercado_Receita!$L$2:$L$379)</f>
        <v>0</v>
      </c>
      <c r="P40" s="13">
        <f>SUMIF(Mercado_Receita!$S$2:$S$379,"44621B2Convencional pré-pagamentoRuralCooperativa de eletrificação ruralNão se aplicaNão se aplicaPonta",Mercado_Receita!$L$2:$L$379)+SUMIF(Mercado_Receita!$S$2:$S$379,"44621B2Convencional pré-pagamentoRuralCooperativa de eletrificação ruralNão se aplicaNão se aplicaFora ponta",Mercado_Receita!$L$2:$L$379)+SUMIF(Mercado_Receita!$S$2:$S$379,"44621B2Convencional pré-pagamentoRuralCooperativa de eletrificação ruralNão se aplicaNão se aplicaIntermediário",Mercado_Receita!$L$2:$L$379)+SUMIF(Mercado_Receita!$S$2:$S$379,"44621B2Convencional pré-pagamentoRuralCooperativa de eletrificação ruralNão se aplicaNão se aplicaNão se aplica",Mercado_Receita!$L$2:$L$379)</f>
        <v>0</v>
      </c>
      <c r="Q40" s="13">
        <f>SUMIF(Mercado_Receita!$S$2:$S$379,"44652B2Convencional pré-pagamentoRuralCooperativa de eletrificação ruralNão se aplicaNão se aplicaPonta",Mercado_Receita!$L$2:$L$379)+SUMIF(Mercado_Receita!$S$2:$S$379,"44652B2Convencional pré-pagamentoRuralCooperativa de eletrificação ruralNão se aplicaNão se aplicaFora ponta",Mercado_Receita!$L$2:$L$379)+SUMIF(Mercado_Receita!$S$2:$S$379,"44652B2Convencional pré-pagamentoRuralCooperativa de eletrificação ruralNão se aplicaNão se aplicaIntermediário",Mercado_Receita!$L$2:$L$379)+SUMIF(Mercado_Receita!$S$2:$S$379,"44652B2Convencional pré-pagamentoRuralCooperativa de eletrificação ruralNão se aplicaNão se aplicaNão se aplica",Mercado_Receita!$L$2:$L$379)</f>
        <v>0</v>
      </c>
      <c r="R40" s="13">
        <f>SUMIF(Mercado_Receita!$S$2:$S$379,"44682B2Convencional pré-pagamentoRuralCooperativa de eletrificação ruralNão se aplicaNão se aplicaPonta",Mercado_Receita!$L$2:$L$379)+SUMIF(Mercado_Receita!$S$2:$S$379,"44682B2Convencional pré-pagamentoRuralCooperativa de eletrificação ruralNão se aplicaNão se aplicaFora ponta",Mercado_Receita!$L$2:$L$379)+SUMIF(Mercado_Receita!$S$2:$S$379,"44682B2Convencional pré-pagamentoRuralCooperativa de eletrificação ruralNão se aplicaNão se aplicaIntermediário",Mercado_Receita!$L$2:$L$379)+SUMIF(Mercado_Receita!$S$2:$S$379,"44682B2Convencional pré-pagamentoRuralCooperativa de eletrificação ruralNão se aplicaNão se aplicaNão se aplica",Mercado_Receita!$L$2:$L$379)</f>
        <v>0</v>
      </c>
      <c r="S40" s="13">
        <f>SUMIF(Mercado_Receita!$S$2:$S$379,"44713B2Convencional pré-pagamentoRuralCooperativa de eletrificação ruralNão se aplicaNão se aplicaPonta",Mercado_Receita!$L$2:$L$379)+SUMIF(Mercado_Receita!$S$2:$S$379,"44713B2Convencional pré-pagamentoRuralCooperativa de eletrificação ruralNão se aplicaNão se aplicaFora ponta",Mercado_Receita!$L$2:$L$379)+SUMIF(Mercado_Receita!$S$2:$S$379,"44713B2Convencional pré-pagamentoRuralCooperativa de eletrificação ruralNão se aplicaNão se aplicaIntermediário",Mercado_Receita!$L$2:$L$379)+SUMIF(Mercado_Receita!$S$2:$S$379,"44713B2Convencional pré-pagamentoRuralCooperativa de eletrificação ruralNão se aplicaNão se aplicaNão se aplica",Mercado_Receita!$L$2:$L$379)</f>
        <v>0</v>
      </c>
      <c r="T40" s="13">
        <f>SUMIF(Mercado_Receita!$S$2:$S$379,"44743B2Convencional pré-pagamentoRuralCooperativa de eletrificação ruralNão se aplicaNão se aplicaPonta",Mercado_Receita!$L$2:$L$379)+SUMIF(Mercado_Receita!$S$2:$S$379,"44743B2Convencional pré-pagamentoRuralCooperativa de eletrificação ruralNão se aplicaNão se aplicaFora ponta",Mercado_Receita!$L$2:$L$379)+SUMIF(Mercado_Receita!$S$2:$S$379,"44743B2Convencional pré-pagamentoRuralCooperativa de eletrificação ruralNão se aplicaNão se aplicaIntermediário",Mercado_Receita!$L$2:$L$379)+SUMIF(Mercado_Receita!$S$2:$S$379,"44743B2Convencional pré-pagamentoRuralCooperativa de eletrificação ruralNão se aplicaNão se aplicaNão se aplica",Mercado_Receita!$L$2:$L$379)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125"/>
      <c r="B41" s="125"/>
      <c r="C41" s="125"/>
      <c r="D41" s="12" t="s">
        <v>86</v>
      </c>
      <c r="E41" s="12" t="s">
        <v>25</v>
      </c>
      <c r="F41" s="12" t="s">
        <v>25</v>
      </c>
      <c r="G41" s="13" t="s">
        <v>72</v>
      </c>
      <c r="H41" s="13" t="s">
        <v>68</v>
      </c>
      <c r="I41" s="13">
        <f>SUMIF(Mercado_Receita!$S$2:$S$379,"44409B2Convencional pré-pagamentoRuralServiço público de irrigação ruralNão se aplicaNão se aplicaPonta",Mercado_Receita!$L$2:$L$379)+SUMIF(Mercado_Receita!$S$2:$S$379,"44409B2Convencional pré-pagamentoRuralServiço público de irrigação ruralNão se aplicaNão se aplicaFora ponta",Mercado_Receita!$L$2:$L$379)+SUMIF(Mercado_Receita!$S$2:$S$379,"44409B2Convencional pré-pagamentoRuralServiço público de irrigação ruralNão se aplicaNão se aplicaIntermediário",Mercado_Receita!$L$2:$L$379)+SUMIF(Mercado_Receita!$S$2:$S$379,"44409B2Convencional pré-pagamentoRuralServiço público de irrigação ruralNão se aplicaNão se aplicaNão se aplica",Mercado_Receita!$L$2:$L$379)</f>
        <v>0</v>
      </c>
      <c r="J41" s="13">
        <f>SUMIF(Mercado_Receita!$S$2:$S$379,"44440B2Convencional pré-pagamentoRuralServiço público de irrigação ruralNão se aplicaNão se aplicaPonta",Mercado_Receita!$L$2:$L$379)+SUMIF(Mercado_Receita!$S$2:$S$379,"44440B2Convencional pré-pagamentoRuralServiço público de irrigação ruralNão se aplicaNão se aplicaFora ponta",Mercado_Receita!$L$2:$L$379)+SUMIF(Mercado_Receita!$S$2:$S$379,"44440B2Convencional pré-pagamentoRuralServiço público de irrigação ruralNão se aplicaNão se aplicaIntermediário",Mercado_Receita!$L$2:$L$379)+SUMIF(Mercado_Receita!$S$2:$S$379,"44440B2Convencional pré-pagamentoRuralServiço público de irrigação ruralNão se aplicaNão se aplicaNão se aplica",Mercado_Receita!$L$2:$L$379)</f>
        <v>0</v>
      </c>
      <c r="K41" s="13">
        <f>SUMIF(Mercado_Receita!$S$2:$S$379,"44470B2Convencional pré-pagamentoRuralServiço público de irrigação ruralNão se aplicaNão se aplicaPonta",Mercado_Receita!$L$2:$L$379)+SUMIF(Mercado_Receita!$S$2:$S$379,"44470B2Convencional pré-pagamentoRuralServiço público de irrigação ruralNão se aplicaNão se aplicaFora ponta",Mercado_Receita!$L$2:$L$379)+SUMIF(Mercado_Receita!$S$2:$S$379,"44470B2Convencional pré-pagamentoRuralServiço público de irrigação ruralNão se aplicaNão se aplicaIntermediário",Mercado_Receita!$L$2:$L$379)+SUMIF(Mercado_Receita!$S$2:$S$379,"44470B2Convencional pré-pagamentoRuralServiço público de irrigação ruralNão se aplicaNão se aplicaNão se aplica",Mercado_Receita!$L$2:$L$379)</f>
        <v>0</v>
      </c>
      <c r="L41" s="13">
        <f>SUMIF(Mercado_Receita!$S$2:$S$379,"44501B2Convencional pré-pagamentoRuralServiço público de irrigação ruralNão se aplicaNão se aplicaPonta",Mercado_Receita!$L$2:$L$379)+SUMIF(Mercado_Receita!$S$2:$S$379,"44501B2Convencional pré-pagamentoRuralServiço público de irrigação ruralNão se aplicaNão se aplicaFora ponta",Mercado_Receita!$L$2:$L$379)+SUMIF(Mercado_Receita!$S$2:$S$379,"44501B2Convencional pré-pagamentoRuralServiço público de irrigação ruralNão se aplicaNão se aplicaIntermediário",Mercado_Receita!$L$2:$L$379)+SUMIF(Mercado_Receita!$S$2:$S$379,"44501B2Convencional pré-pagamentoRuralServiço público de irrigação ruralNão se aplicaNão se aplicaNão se aplica",Mercado_Receita!$L$2:$L$379)</f>
        <v>0</v>
      </c>
      <c r="M41" s="13">
        <f>SUMIF(Mercado_Receita!$S$2:$S$379,"44531B2Convencional pré-pagamentoRuralServiço público de irrigação ruralNão se aplicaNão se aplicaPonta",Mercado_Receita!$L$2:$L$379)+SUMIF(Mercado_Receita!$S$2:$S$379,"44531B2Convencional pré-pagamentoRuralServiço público de irrigação ruralNão se aplicaNão se aplicaFora ponta",Mercado_Receita!$L$2:$L$379)+SUMIF(Mercado_Receita!$S$2:$S$379,"44531B2Convencional pré-pagamentoRuralServiço público de irrigação ruralNão se aplicaNão se aplicaIntermediário",Mercado_Receita!$L$2:$L$379)+SUMIF(Mercado_Receita!$S$2:$S$379,"44531B2Convencional pré-pagamentoRuralServiço público de irrigação ruralNão se aplicaNão se aplicaNão se aplica",Mercado_Receita!$L$2:$L$379)</f>
        <v>0</v>
      </c>
      <c r="N41" s="13">
        <f>SUMIF(Mercado_Receita!$S$2:$S$379,"44562B2Convencional pré-pagamentoRuralServiço público de irrigação ruralNão se aplicaNão se aplicaPonta",Mercado_Receita!$L$2:$L$379)+SUMIF(Mercado_Receita!$S$2:$S$379,"44562B2Convencional pré-pagamentoRuralServiço público de irrigação ruralNão se aplicaNão se aplicaFora ponta",Mercado_Receita!$L$2:$L$379)+SUMIF(Mercado_Receita!$S$2:$S$379,"44562B2Convencional pré-pagamentoRuralServiço público de irrigação ruralNão se aplicaNão se aplicaIntermediário",Mercado_Receita!$L$2:$L$379)+SUMIF(Mercado_Receita!$S$2:$S$379,"44562B2Convencional pré-pagamentoRuralServiço público de irrigação ruralNão se aplicaNão se aplicaNão se aplica",Mercado_Receita!$L$2:$L$379)</f>
        <v>0</v>
      </c>
      <c r="O41" s="13">
        <f>SUMIF(Mercado_Receita!$S$2:$S$379,"44593B2Convencional pré-pagamentoRuralServiço público de irrigação ruralNão se aplicaNão se aplicaPonta",Mercado_Receita!$L$2:$L$379)+SUMIF(Mercado_Receita!$S$2:$S$379,"44593B2Convencional pré-pagamentoRuralServiço público de irrigação ruralNão se aplicaNão se aplicaFora ponta",Mercado_Receita!$L$2:$L$379)+SUMIF(Mercado_Receita!$S$2:$S$379,"44593B2Convencional pré-pagamentoRuralServiço público de irrigação ruralNão se aplicaNão se aplicaIntermediário",Mercado_Receita!$L$2:$L$379)+SUMIF(Mercado_Receita!$S$2:$S$379,"44593B2Convencional pré-pagamentoRuralServiço público de irrigação ruralNão se aplicaNão se aplicaNão se aplica",Mercado_Receita!$L$2:$L$379)</f>
        <v>0</v>
      </c>
      <c r="P41" s="13">
        <f>SUMIF(Mercado_Receita!$S$2:$S$379,"44621B2Convencional pré-pagamentoRuralServiço público de irrigação ruralNão se aplicaNão se aplicaPonta",Mercado_Receita!$L$2:$L$379)+SUMIF(Mercado_Receita!$S$2:$S$379,"44621B2Convencional pré-pagamentoRuralServiço público de irrigação ruralNão se aplicaNão se aplicaFora ponta",Mercado_Receita!$L$2:$L$379)+SUMIF(Mercado_Receita!$S$2:$S$379,"44621B2Convencional pré-pagamentoRuralServiço público de irrigação ruralNão se aplicaNão se aplicaIntermediário",Mercado_Receita!$L$2:$L$379)+SUMIF(Mercado_Receita!$S$2:$S$379,"44621B2Convencional pré-pagamentoRuralServiço público de irrigação ruralNão se aplicaNão se aplicaNão se aplica",Mercado_Receita!$L$2:$L$379)</f>
        <v>0</v>
      </c>
      <c r="Q41" s="13">
        <f>SUMIF(Mercado_Receita!$S$2:$S$379,"44652B2Convencional pré-pagamentoRuralServiço público de irrigação ruralNão se aplicaNão se aplicaPonta",Mercado_Receita!$L$2:$L$379)+SUMIF(Mercado_Receita!$S$2:$S$379,"44652B2Convencional pré-pagamentoRuralServiço público de irrigação ruralNão se aplicaNão se aplicaFora ponta",Mercado_Receita!$L$2:$L$379)+SUMIF(Mercado_Receita!$S$2:$S$379,"44652B2Convencional pré-pagamentoRuralServiço público de irrigação ruralNão se aplicaNão se aplicaIntermediário",Mercado_Receita!$L$2:$L$379)+SUMIF(Mercado_Receita!$S$2:$S$379,"44652B2Convencional pré-pagamentoRuralServiço público de irrigação ruralNão se aplicaNão se aplicaNão se aplica",Mercado_Receita!$L$2:$L$379)</f>
        <v>0</v>
      </c>
      <c r="R41" s="13">
        <f>SUMIF(Mercado_Receita!$S$2:$S$379,"44682B2Convencional pré-pagamentoRuralServiço público de irrigação ruralNão se aplicaNão se aplicaPonta",Mercado_Receita!$L$2:$L$379)+SUMIF(Mercado_Receita!$S$2:$S$379,"44682B2Convencional pré-pagamentoRuralServiço público de irrigação ruralNão se aplicaNão se aplicaFora ponta",Mercado_Receita!$L$2:$L$379)+SUMIF(Mercado_Receita!$S$2:$S$379,"44682B2Convencional pré-pagamentoRuralServiço público de irrigação ruralNão se aplicaNão se aplicaIntermediário",Mercado_Receita!$L$2:$L$379)+SUMIF(Mercado_Receita!$S$2:$S$379,"44682B2Convencional pré-pagamentoRuralServiço público de irrigação ruralNão se aplicaNão se aplicaNão se aplica",Mercado_Receita!$L$2:$L$379)</f>
        <v>0</v>
      </c>
      <c r="S41" s="13">
        <f>SUMIF(Mercado_Receita!$S$2:$S$379,"44713B2Convencional pré-pagamentoRuralServiço público de irrigação ruralNão se aplicaNão se aplicaPonta",Mercado_Receita!$L$2:$L$379)+SUMIF(Mercado_Receita!$S$2:$S$379,"44713B2Convencional pré-pagamentoRuralServiço público de irrigação ruralNão se aplicaNão se aplicaFora ponta",Mercado_Receita!$L$2:$L$379)+SUMIF(Mercado_Receita!$S$2:$S$379,"44713B2Convencional pré-pagamentoRuralServiço público de irrigação ruralNão se aplicaNão se aplicaIntermediário",Mercado_Receita!$L$2:$L$379)+SUMIF(Mercado_Receita!$S$2:$S$379,"44713B2Convencional pré-pagamentoRuralServiço público de irrigação ruralNão se aplicaNão se aplicaNão se aplica",Mercado_Receita!$L$2:$L$379)</f>
        <v>0</v>
      </c>
      <c r="T41" s="13">
        <f>SUMIF(Mercado_Receita!$S$2:$S$379,"44743B2Convencional pré-pagamentoRuralServiço público de irrigação ruralNão se aplicaNão se aplicaPonta",Mercado_Receita!$L$2:$L$379)+SUMIF(Mercado_Receita!$S$2:$S$379,"44743B2Convencional pré-pagamentoRuralServiço público de irrigação ruralNão se aplicaNão se aplicaFora ponta",Mercado_Receita!$L$2:$L$379)+SUMIF(Mercado_Receita!$S$2:$S$379,"44743B2Convencional pré-pagamentoRuralServiço público de irrigação ruralNão se aplicaNão se aplicaIntermediário",Mercado_Receita!$L$2:$L$379)+SUMIF(Mercado_Receita!$S$2:$S$379,"44743B2Convencional pré-pagamentoRuralServiço público de irrigação ruralNão se aplicaNão se aplicaNão se aplica",Mercado_Receita!$L$2:$L$379)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124" t="s">
        <v>32</v>
      </c>
      <c r="B42" s="124" t="s">
        <v>38</v>
      </c>
      <c r="C42" s="124" t="s">
        <v>25</v>
      </c>
      <c r="D42" s="124" t="s">
        <v>25</v>
      </c>
      <c r="E42" s="124" t="s">
        <v>25</v>
      </c>
      <c r="F42" s="124" t="s">
        <v>25</v>
      </c>
      <c r="G42" s="13" t="s">
        <v>69</v>
      </c>
      <c r="H42" s="13" t="s">
        <v>68</v>
      </c>
      <c r="I42" s="13">
        <f>SUMIF(Mercado_Receita!$S$2:$S$379,"44409B3BrancaNão se aplicaNão se aplicaNão se aplicaNão se aplicaPonta",Mercado_Receita!$L$2:$L$379)</f>
        <v>1.1179999999999999</v>
      </c>
      <c r="J42" s="13">
        <f>SUMIF(Mercado_Receita!$S$2:$S$379,"44440B3BrancaNão se aplicaNão se aplicaNão se aplicaNão se aplicaPonta",Mercado_Receita!$L$2:$L$379)</f>
        <v>0.91700000000000004</v>
      </c>
      <c r="K42" s="13">
        <f>SUMIF(Mercado_Receita!$S$2:$S$379,"44470B3BrancaNão se aplicaNão se aplicaNão se aplicaNão se aplicaPonta",Mercado_Receita!$L$2:$L$379)</f>
        <v>0.80300000000000005</v>
      </c>
      <c r="L42" s="13">
        <f>SUMIF(Mercado_Receita!$S$2:$S$379,"44501B3BrancaNão se aplicaNão se aplicaNão se aplicaNão se aplicaPonta",Mercado_Receita!$L$2:$L$379)</f>
        <v>0.85400000000000009</v>
      </c>
      <c r="M42" s="13">
        <f>SUMIF(Mercado_Receita!$S$2:$S$379,"44531B3BrancaNão se aplicaNão se aplicaNão se aplicaNão se aplicaPonta",Mercado_Receita!$L$2:$L$379)</f>
        <v>0.94799999999999995</v>
      </c>
      <c r="N42" s="13">
        <f>SUMIF(Mercado_Receita!$S$2:$S$379,"44562B3BrancaNão se aplicaNão se aplicaNão se aplicaNão se aplicaPonta",Mercado_Receita!$L$2:$L$379)</f>
        <v>0.97499999999999998</v>
      </c>
      <c r="O42" s="13">
        <f>SUMIF(Mercado_Receita!$S$2:$S$379,"44593B3BrancaNão se aplicaNão se aplicaNão se aplicaNão se aplicaPonta",Mercado_Receita!$L$2:$L$379)</f>
        <v>0.78800000000000003</v>
      </c>
      <c r="P42" s="13">
        <f>SUMIF(Mercado_Receita!$S$2:$S$379,"44621B3BrancaNão se aplicaNão se aplicaNão se aplicaNão se aplicaPonta",Mercado_Receita!$L$2:$L$379)</f>
        <v>0.56399999999999995</v>
      </c>
      <c r="Q42" s="13">
        <f>SUMIF(Mercado_Receita!$S$2:$S$379,"44652B3BrancaNão se aplicaNão se aplicaNão se aplicaNão se aplicaPonta",Mercado_Receita!$L$2:$L$379)</f>
        <v>0.59899999999999998</v>
      </c>
      <c r="R42" s="13">
        <f>SUMIF(Mercado_Receita!$S$2:$S$379,"44682B3BrancaNão se aplicaNão se aplicaNão se aplicaNão se aplicaPonta",Mercado_Receita!$L$2:$L$379)</f>
        <v>0.438</v>
      </c>
      <c r="S42" s="13">
        <f>SUMIF(Mercado_Receita!$S$2:$S$379,"44713B3BrancaNão se aplicaNão se aplicaNão se aplicaNão se aplicaPonta",Mercado_Receita!$L$2:$L$379)</f>
        <v>0.44199999999999995</v>
      </c>
      <c r="T42" s="13">
        <f>SUMIF(Mercado_Receita!$S$2:$S$379,"44743B3BrancaNão se aplicaNão se aplicaNão se aplicaNão se aplicaPonta",Mercado_Receita!$L$2:$L$379)</f>
        <v>0.45099999999999996</v>
      </c>
      <c r="U42" s="13">
        <f t="shared" si="0"/>
        <v>8.897000000000002</v>
      </c>
      <c r="V42" s="13"/>
      <c r="W42" s="13"/>
    </row>
    <row r="43" spans="1:23" ht="11.25" customHeight="1" x14ac:dyDescent="0.25">
      <c r="A43" s="125"/>
      <c r="B43" s="125"/>
      <c r="C43" s="125"/>
      <c r="D43" s="125"/>
      <c r="E43" s="125"/>
      <c r="F43" s="125"/>
      <c r="G43" s="13" t="s">
        <v>82</v>
      </c>
      <c r="H43" s="13" t="s">
        <v>68</v>
      </c>
      <c r="I43" s="13">
        <f>SUMIF(Mercado_Receita!$S$2:$S$379,"44409B3BrancaNão se aplicaNão se aplicaNão se aplicaNão se aplicaIntermediário",Mercado_Receita!$L$2:$L$379)</f>
        <v>0.67500000000000004</v>
      </c>
      <c r="J43" s="13">
        <f>SUMIF(Mercado_Receita!$S$2:$S$379,"44440B3BrancaNão se aplicaNão se aplicaNão se aplicaNão se aplicaIntermediário",Mercado_Receita!$L$2:$L$379)</f>
        <v>0.59800000000000009</v>
      </c>
      <c r="K43" s="13">
        <f>SUMIF(Mercado_Receita!$S$2:$S$379,"44470B3BrancaNão se aplicaNão se aplicaNão se aplicaNão se aplicaIntermediário",Mercado_Receita!$L$2:$L$379)</f>
        <v>0.52600000000000002</v>
      </c>
      <c r="L43" s="13">
        <f>SUMIF(Mercado_Receita!$S$2:$S$379,"44501B3BrancaNão se aplicaNão se aplicaNão se aplicaNão se aplicaIntermediário",Mercado_Receita!$L$2:$L$379)</f>
        <v>0.54299999999999993</v>
      </c>
      <c r="M43" s="13">
        <f>SUMIF(Mercado_Receita!$S$2:$S$379,"44531B3BrancaNão se aplicaNão se aplicaNão se aplicaNão se aplicaIntermediário",Mercado_Receita!$L$2:$L$379)</f>
        <v>0.72199999999999998</v>
      </c>
      <c r="N43" s="13">
        <f>SUMIF(Mercado_Receita!$S$2:$S$379,"44562B3BrancaNão se aplicaNão se aplicaNão se aplicaNão se aplicaIntermediário",Mercado_Receita!$L$2:$L$379)</f>
        <v>0.78900000000000003</v>
      </c>
      <c r="O43" s="13">
        <f>SUMIF(Mercado_Receita!$S$2:$S$379,"44593B3BrancaNão se aplicaNão se aplicaNão se aplicaNão se aplicaIntermediário",Mercado_Receita!$L$2:$L$379)</f>
        <v>0.91300000000000003</v>
      </c>
      <c r="P43" s="13">
        <f>SUMIF(Mercado_Receita!$S$2:$S$379,"44621B3BrancaNão se aplicaNão se aplicaNão se aplicaNão se aplicaIntermediário",Mercado_Receita!$L$2:$L$379)</f>
        <v>0.55899999999999994</v>
      </c>
      <c r="Q43" s="13">
        <f>SUMIF(Mercado_Receita!$S$2:$S$379,"44652B3BrancaNão se aplicaNão se aplicaNão se aplicaNão se aplicaIntermediário",Mercado_Receita!$L$2:$L$379)</f>
        <v>0.56299999999999994</v>
      </c>
      <c r="R43" s="13">
        <f>SUMIF(Mercado_Receita!$S$2:$S$379,"44682B3BrancaNão se aplicaNão se aplicaNão se aplicaNão se aplicaIntermediário",Mercado_Receita!$L$2:$L$379)</f>
        <v>0.39400000000000002</v>
      </c>
      <c r="S43" s="13">
        <f>SUMIF(Mercado_Receita!$S$2:$S$379,"44713B3BrancaNão se aplicaNão se aplicaNão se aplicaNão se aplicaIntermediário",Mercado_Receita!$L$2:$L$379)</f>
        <v>0.372</v>
      </c>
      <c r="T43" s="13">
        <f>SUMIF(Mercado_Receita!$S$2:$S$379,"44743B3BrancaNão se aplicaNão se aplicaNão se aplicaNão se aplicaIntermediário",Mercado_Receita!$L$2:$L$379)</f>
        <v>0.379</v>
      </c>
      <c r="U43" s="13">
        <f t="shared" si="0"/>
        <v>7.0329999999999995</v>
      </c>
      <c r="V43" s="13"/>
      <c r="W43" s="13"/>
    </row>
    <row r="44" spans="1:23" ht="11.25" customHeight="1" x14ac:dyDescent="0.25">
      <c r="A44" s="125"/>
      <c r="B44" s="125"/>
      <c r="C44" s="125"/>
      <c r="D44" s="125"/>
      <c r="E44" s="125"/>
      <c r="F44" s="125"/>
      <c r="G44" s="13" t="s">
        <v>70</v>
      </c>
      <c r="H44" s="13" t="s">
        <v>68</v>
      </c>
      <c r="I44" s="13">
        <f>SUMIF(Mercado_Receita!$S$2:$S$379,"44409B3BrancaNão se aplicaNão se aplicaNão se aplicaNão se aplicaFora ponta",Mercado_Receita!$L$2:$L$379)</f>
        <v>14.997</v>
      </c>
      <c r="J44" s="13">
        <f>SUMIF(Mercado_Receita!$S$2:$S$379,"44440B3BrancaNão se aplicaNão se aplicaNão se aplicaNão se aplicaFora ponta",Mercado_Receita!$L$2:$L$379)</f>
        <v>15.103</v>
      </c>
      <c r="K44" s="13">
        <f>SUMIF(Mercado_Receita!$S$2:$S$379,"44470B3BrancaNão se aplicaNão se aplicaNão se aplicaNão se aplicaFora ponta",Mercado_Receita!$L$2:$L$379)</f>
        <v>15.309000000000001</v>
      </c>
      <c r="L44" s="13">
        <f>SUMIF(Mercado_Receita!$S$2:$S$379,"44501B3BrancaNão se aplicaNão se aplicaNão se aplicaNão se aplicaFora ponta",Mercado_Receita!$L$2:$L$379)</f>
        <v>15.247</v>
      </c>
      <c r="M44" s="13">
        <f>SUMIF(Mercado_Receita!$S$2:$S$379,"44531B3BrancaNão se aplicaNão se aplicaNão se aplicaNão se aplicaFora ponta",Mercado_Receita!$L$2:$L$379)</f>
        <v>17.603000000000002</v>
      </c>
      <c r="N44" s="13">
        <f>SUMIF(Mercado_Receita!$S$2:$S$379,"44562B3BrancaNão se aplicaNão se aplicaNão se aplicaNão se aplicaFora ponta",Mercado_Receita!$L$2:$L$379)</f>
        <v>15.328000000000001</v>
      </c>
      <c r="O44" s="13">
        <f>SUMIF(Mercado_Receita!$S$2:$S$379,"44593B3BrancaNão se aplicaNão se aplicaNão se aplicaNão se aplicaFora ponta",Mercado_Receita!$L$2:$L$379)</f>
        <v>18.745999999999999</v>
      </c>
      <c r="P44" s="13">
        <f>SUMIF(Mercado_Receita!$S$2:$S$379,"44621B3BrancaNão se aplicaNão se aplicaNão se aplicaNão se aplicaFora ponta",Mercado_Receita!$L$2:$L$379)</f>
        <v>17.094000000000001</v>
      </c>
      <c r="Q44" s="13">
        <f>SUMIF(Mercado_Receita!$S$2:$S$379,"44652B3BrancaNão se aplicaNão se aplicaNão se aplicaNão se aplicaFora ponta",Mercado_Receita!$L$2:$L$379)</f>
        <v>17.474</v>
      </c>
      <c r="R44" s="13">
        <f>SUMIF(Mercado_Receita!$S$2:$S$379,"44682B3BrancaNão se aplicaNão se aplicaNão se aplicaNão se aplicaFora ponta",Mercado_Receita!$L$2:$L$379)</f>
        <v>13.515000000000001</v>
      </c>
      <c r="S44" s="13">
        <f>SUMIF(Mercado_Receita!$S$2:$S$379,"44713B3BrancaNão se aplicaNão se aplicaNão se aplicaNão se aplicaFora ponta",Mercado_Receita!$L$2:$L$379)</f>
        <v>12.3</v>
      </c>
      <c r="T44" s="13">
        <f>SUMIF(Mercado_Receita!$S$2:$S$379,"44743B3BrancaNão se aplicaNão se aplicaNão se aplicaNão se aplicaFora ponta",Mercado_Receita!$L$2:$L$379)</f>
        <v>11.189</v>
      </c>
      <c r="U44" s="13">
        <f t="shared" si="0"/>
        <v>183.905</v>
      </c>
      <c r="V44" s="13"/>
      <c r="W44" s="13"/>
    </row>
    <row r="45" spans="1:23" ht="11.25" customHeight="1" x14ac:dyDescent="0.25">
      <c r="A45" s="125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72</v>
      </c>
      <c r="H45" s="13" t="s">
        <v>68</v>
      </c>
      <c r="I45" s="13">
        <f>SUMIF(Mercado_Receita!$S$2:$S$379,"44409B3ConvencionalNão se aplicaNão se aplicaNão se aplicaNão se aplicaPonta",Mercado_Receita!$L$2:$L$379)+SUMIF(Mercado_Receita!$S$2:$S$379,"44409B3ConvencionalNão se aplicaNão se aplicaNão se aplicaNão se aplicaFora ponta",Mercado_Receita!$L$2:$L$379)+SUMIF(Mercado_Receita!$S$2:$S$379,"44409B3ConvencionalNão se aplicaNão se aplicaNão se aplicaNão se aplicaIntermediário",Mercado_Receita!$L$2:$L$379)+SUMIF(Mercado_Receita!$S$2:$S$379,"44409B3ConvencionalNão se aplicaNão se aplicaNão se aplicaNão se aplicaNão se aplica",Mercado_Receita!$L$2:$L$379)</f>
        <v>357.49199999999996</v>
      </c>
      <c r="J45" s="13">
        <f>SUMIF(Mercado_Receita!$S$2:$S$379,"44440B3ConvencionalNão se aplicaNão se aplicaNão se aplicaNão se aplicaPonta",Mercado_Receita!$L$2:$L$379)+SUMIF(Mercado_Receita!$S$2:$S$379,"44440B3ConvencionalNão se aplicaNão se aplicaNão se aplicaNão se aplicaFora ponta",Mercado_Receita!$L$2:$L$379)+SUMIF(Mercado_Receita!$S$2:$S$379,"44440B3ConvencionalNão se aplicaNão se aplicaNão se aplicaNão se aplicaIntermediário",Mercado_Receita!$L$2:$L$379)+SUMIF(Mercado_Receita!$S$2:$S$379,"44440B3ConvencionalNão se aplicaNão se aplicaNão se aplicaNão se aplicaNão se aplica",Mercado_Receita!$L$2:$L$379)</f>
        <v>333.63400000000001</v>
      </c>
      <c r="K45" s="13">
        <f>SUMIF(Mercado_Receita!$S$2:$S$379,"44470B3ConvencionalNão se aplicaNão se aplicaNão se aplicaNão se aplicaPonta",Mercado_Receita!$L$2:$L$379)+SUMIF(Mercado_Receita!$S$2:$S$379,"44470B3ConvencionalNão se aplicaNão se aplicaNão se aplicaNão se aplicaFora ponta",Mercado_Receita!$L$2:$L$379)+SUMIF(Mercado_Receita!$S$2:$S$379,"44470B3ConvencionalNão se aplicaNão se aplicaNão se aplicaNão se aplicaIntermediário",Mercado_Receita!$L$2:$L$379)+SUMIF(Mercado_Receita!$S$2:$S$379,"44470B3ConvencionalNão se aplicaNão se aplicaNão se aplicaNão se aplicaNão se aplica",Mercado_Receita!$L$2:$L$379)</f>
        <v>397.52400000000006</v>
      </c>
      <c r="L45" s="13">
        <f>SUMIF(Mercado_Receita!$S$2:$S$379,"44501B3ConvencionalNão se aplicaNão se aplicaNão se aplicaNão se aplicaPonta",Mercado_Receita!$L$2:$L$379)+SUMIF(Mercado_Receita!$S$2:$S$379,"44501B3ConvencionalNão se aplicaNão se aplicaNão se aplicaNão se aplicaFora ponta",Mercado_Receita!$L$2:$L$379)+SUMIF(Mercado_Receita!$S$2:$S$379,"44501B3ConvencionalNão se aplicaNão se aplicaNão se aplicaNão se aplicaIntermediário",Mercado_Receita!$L$2:$L$379)+SUMIF(Mercado_Receita!$S$2:$S$379,"44501B3ConvencionalNão se aplicaNão se aplicaNão se aplicaNão se aplicaNão se aplica",Mercado_Receita!$L$2:$L$379)</f>
        <v>339.73700000000008</v>
      </c>
      <c r="M45" s="13">
        <f>SUMIF(Mercado_Receita!$S$2:$S$379,"44531B3ConvencionalNão se aplicaNão se aplicaNão se aplicaNão se aplicaPonta",Mercado_Receita!$L$2:$L$379)+SUMIF(Mercado_Receita!$S$2:$S$379,"44531B3ConvencionalNão se aplicaNão se aplicaNão se aplicaNão se aplicaFora ponta",Mercado_Receita!$L$2:$L$379)+SUMIF(Mercado_Receita!$S$2:$S$379,"44531B3ConvencionalNão se aplicaNão se aplicaNão se aplicaNão se aplicaIntermediário",Mercado_Receita!$L$2:$L$379)+SUMIF(Mercado_Receita!$S$2:$S$379,"44531B3ConvencionalNão se aplicaNão se aplicaNão se aplicaNão se aplicaNão se aplica",Mercado_Receita!$L$2:$L$379)</f>
        <v>388.88500000000005</v>
      </c>
      <c r="N45" s="13">
        <f>SUMIF(Mercado_Receita!$S$2:$S$379,"44562B3ConvencionalNão se aplicaNão se aplicaNão se aplicaNão se aplicaPonta",Mercado_Receita!$L$2:$L$379)+SUMIF(Mercado_Receita!$S$2:$S$379,"44562B3ConvencionalNão se aplicaNão se aplicaNão se aplicaNão se aplicaFora ponta",Mercado_Receita!$L$2:$L$379)+SUMIF(Mercado_Receita!$S$2:$S$379,"44562B3ConvencionalNão se aplicaNão se aplicaNão se aplicaNão se aplicaIntermediário",Mercado_Receita!$L$2:$L$379)+SUMIF(Mercado_Receita!$S$2:$S$379,"44562B3ConvencionalNão se aplicaNão se aplicaNão se aplicaNão se aplicaNão se aplica",Mercado_Receita!$L$2:$L$379)</f>
        <v>382.88399999999996</v>
      </c>
      <c r="O45" s="13">
        <f>SUMIF(Mercado_Receita!$S$2:$S$379,"44593B3ConvencionalNão se aplicaNão se aplicaNão se aplicaNão se aplicaPonta",Mercado_Receita!$L$2:$L$379)+SUMIF(Mercado_Receita!$S$2:$S$379,"44593B3ConvencionalNão se aplicaNão se aplicaNão se aplicaNão se aplicaFora ponta",Mercado_Receita!$L$2:$L$379)+SUMIF(Mercado_Receita!$S$2:$S$379,"44593B3ConvencionalNão se aplicaNão se aplicaNão se aplicaNão se aplicaIntermediário",Mercado_Receita!$L$2:$L$379)+SUMIF(Mercado_Receita!$S$2:$S$379,"44593B3ConvencionalNão se aplicaNão se aplicaNão se aplicaNão se aplicaNão se aplica",Mercado_Receita!$L$2:$L$379)</f>
        <v>470.29300000000006</v>
      </c>
      <c r="P45" s="13">
        <f>SUMIF(Mercado_Receita!$S$2:$S$379,"44621B3ConvencionalNão se aplicaNão se aplicaNão se aplicaNão se aplicaPonta",Mercado_Receita!$L$2:$L$379)+SUMIF(Mercado_Receita!$S$2:$S$379,"44621B3ConvencionalNão se aplicaNão se aplicaNão se aplicaNão se aplicaFora ponta",Mercado_Receita!$L$2:$L$379)+SUMIF(Mercado_Receita!$S$2:$S$379,"44621B3ConvencionalNão se aplicaNão se aplicaNão se aplicaNão se aplicaIntermediário",Mercado_Receita!$L$2:$L$379)+SUMIF(Mercado_Receita!$S$2:$S$379,"44621B3ConvencionalNão se aplicaNão se aplicaNão se aplicaNão se aplicaNão se aplica",Mercado_Receita!$L$2:$L$379)</f>
        <v>424.69900000000007</v>
      </c>
      <c r="Q45" s="13">
        <f>SUMIF(Mercado_Receita!$S$2:$S$379,"44652B3ConvencionalNão se aplicaNão se aplicaNão se aplicaNão se aplicaPonta",Mercado_Receita!$L$2:$L$379)+SUMIF(Mercado_Receita!$S$2:$S$379,"44652B3ConvencionalNão se aplicaNão se aplicaNão se aplicaNão se aplicaFora ponta",Mercado_Receita!$L$2:$L$379)+SUMIF(Mercado_Receita!$S$2:$S$379,"44652B3ConvencionalNão se aplicaNão se aplicaNão se aplicaNão se aplicaIntermediário",Mercado_Receita!$L$2:$L$379)+SUMIF(Mercado_Receita!$S$2:$S$379,"44652B3ConvencionalNão se aplicaNão se aplicaNão se aplicaNão se aplicaNão se aplica",Mercado_Receita!$L$2:$L$379)</f>
        <v>431.69200000000006</v>
      </c>
      <c r="R45" s="13">
        <f>SUMIF(Mercado_Receita!$S$2:$S$379,"44682B3ConvencionalNão se aplicaNão se aplicaNão se aplicaNão se aplicaPonta",Mercado_Receita!$L$2:$L$379)+SUMIF(Mercado_Receita!$S$2:$S$379,"44682B3ConvencionalNão se aplicaNão se aplicaNão se aplicaNão se aplicaFora ponta",Mercado_Receita!$L$2:$L$379)+SUMIF(Mercado_Receita!$S$2:$S$379,"44682B3ConvencionalNão se aplicaNão se aplicaNão se aplicaNão se aplicaIntermediário",Mercado_Receita!$L$2:$L$379)+SUMIF(Mercado_Receita!$S$2:$S$379,"44682B3ConvencionalNão se aplicaNão se aplicaNão se aplicaNão se aplicaNão se aplica",Mercado_Receita!$L$2:$L$379)</f>
        <v>381.54699999999997</v>
      </c>
      <c r="S45" s="13">
        <f>SUMIF(Mercado_Receita!$S$2:$S$379,"44713B3ConvencionalNão se aplicaNão se aplicaNão se aplicaNão se aplicaPonta",Mercado_Receita!$L$2:$L$379)+SUMIF(Mercado_Receita!$S$2:$S$379,"44713B3ConvencionalNão se aplicaNão se aplicaNão se aplicaNão se aplicaFora ponta",Mercado_Receita!$L$2:$L$379)+SUMIF(Mercado_Receita!$S$2:$S$379,"44713B3ConvencionalNão se aplicaNão se aplicaNão se aplicaNão se aplicaIntermediário",Mercado_Receita!$L$2:$L$379)+SUMIF(Mercado_Receita!$S$2:$S$379,"44713B3ConvencionalNão se aplicaNão se aplicaNão se aplicaNão se aplicaNão se aplica",Mercado_Receita!$L$2:$L$379)</f>
        <v>348.28200000000004</v>
      </c>
      <c r="T45" s="13">
        <f>SUMIF(Mercado_Receita!$S$2:$S$379,"44743B3ConvencionalNão se aplicaNão se aplicaNão se aplicaNão se aplicaPonta",Mercado_Receita!$L$2:$L$379)+SUMIF(Mercado_Receita!$S$2:$S$379,"44743B3ConvencionalNão se aplicaNão se aplicaNão se aplicaNão se aplicaFora ponta",Mercado_Receita!$L$2:$L$379)+SUMIF(Mercado_Receita!$S$2:$S$379,"44743B3ConvencionalNão se aplicaNão se aplicaNão se aplicaNão se aplicaIntermediário",Mercado_Receita!$L$2:$L$379)+SUMIF(Mercado_Receita!$S$2:$S$379,"44743B3ConvencionalNão se aplicaNão se aplicaNão se aplicaNão se aplicaNão se aplica",Mercado_Receita!$L$2:$L$379)</f>
        <v>376.07199999999995</v>
      </c>
      <c r="U45" s="13">
        <f t="shared" si="0"/>
        <v>4632.741</v>
      </c>
      <c r="V45" s="13"/>
      <c r="W45" s="13"/>
    </row>
    <row r="46" spans="1:23" ht="11.25" customHeight="1" x14ac:dyDescent="0.25">
      <c r="A46" s="125"/>
      <c r="B46" s="12" t="s">
        <v>84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72</v>
      </c>
      <c r="H46" s="13" t="s">
        <v>68</v>
      </c>
      <c r="I46" s="13">
        <f>SUMIF(Mercado_Receita!$S$2:$S$379,"44409B3Convencional pré-pagamentoNão se aplicaNão se aplicaNão se aplicaNão se aplicaPonta",Mercado_Receita!$L$2:$L$379)+SUMIF(Mercado_Receita!$S$2:$S$379,"44409B3Convencional pré-pagamentoNão se aplicaNão se aplicaNão se aplicaNão se aplicaFora ponta",Mercado_Receita!$L$2:$L$379)+SUMIF(Mercado_Receita!$S$2:$S$379,"44409B3Convencional pré-pagamentoNão se aplicaNão se aplicaNão se aplicaNão se aplicaIntermediário",Mercado_Receita!$L$2:$L$379)+SUMIF(Mercado_Receita!$S$2:$S$379,"44409B3Convencional pré-pagamentoNão se aplicaNão se aplicaNão se aplicaNão se aplicaNão se aplica",Mercado_Receita!$L$2:$L$379)</f>
        <v>0</v>
      </c>
      <c r="J46" s="13">
        <f>SUMIF(Mercado_Receita!$S$2:$S$379,"44440B3Convencional pré-pagamentoNão se aplicaNão se aplicaNão se aplicaNão se aplicaPonta",Mercado_Receita!$L$2:$L$379)+SUMIF(Mercado_Receita!$S$2:$S$379,"44440B3Convencional pré-pagamentoNão se aplicaNão se aplicaNão se aplicaNão se aplicaFora ponta",Mercado_Receita!$L$2:$L$379)+SUMIF(Mercado_Receita!$S$2:$S$379,"44440B3Convencional pré-pagamentoNão se aplicaNão se aplicaNão se aplicaNão se aplicaIntermediário",Mercado_Receita!$L$2:$L$379)+SUMIF(Mercado_Receita!$S$2:$S$379,"44440B3Convencional pré-pagamentoNão se aplicaNão se aplicaNão se aplicaNão se aplicaNão se aplica",Mercado_Receita!$L$2:$L$379)</f>
        <v>0</v>
      </c>
      <c r="K46" s="13">
        <f>SUMIF(Mercado_Receita!$S$2:$S$379,"44470B3Convencional pré-pagamentoNão se aplicaNão se aplicaNão se aplicaNão se aplicaPonta",Mercado_Receita!$L$2:$L$379)+SUMIF(Mercado_Receita!$S$2:$S$379,"44470B3Convencional pré-pagamentoNão se aplicaNão se aplicaNão se aplicaNão se aplicaFora ponta",Mercado_Receita!$L$2:$L$379)+SUMIF(Mercado_Receita!$S$2:$S$379,"44470B3Convencional pré-pagamentoNão se aplicaNão se aplicaNão se aplicaNão se aplicaIntermediário",Mercado_Receita!$L$2:$L$379)+SUMIF(Mercado_Receita!$S$2:$S$379,"44470B3Convencional pré-pagamentoNão se aplicaNão se aplicaNão se aplicaNão se aplicaNão se aplica",Mercado_Receita!$L$2:$L$379)</f>
        <v>0</v>
      </c>
      <c r="L46" s="13">
        <f>SUMIF(Mercado_Receita!$S$2:$S$379,"44501B3Convencional pré-pagamentoNão se aplicaNão se aplicaNão se aplicaNão se aplicaPonta",Mercado_Receita!$L$2:$L$379)+SUMIF(Mercado_Receita!$S$2:$S$379,"44501B3Convencional pré-pagamentoNão se aplicaNão se aplicaNão se aplicaNão se aplicaFora ponta",Mercado_Receita!$L$2:$L$379)+SUMIF(Mercado_Receita!$S$2:$S$379,"44501B3Convencional pré-pagamentoNão se aplicaNão se aplicaNão se aplicaNão se aplicaIntermediário",Mercado_Receita!$L$2:$L$379)+SUMIF(Mercado_Receita!$S$2:$S$379,"44501B3Convencional pré-pagamentoNão se aplicaNão se aplicaNão se aplicaNão se aplicaNão se aplica",Mercado_Receita!$L$2:$L$379)</f>
        <v>0</v>
      </c>
      <c r="M46" s="13">
        <f>SUMIF(Mercado_Receita!$S$2:$S$379,"44531B3Convencional pré-pagamentoNão se aplicaNão se aplicaNão se aplicaNão se aplicaPonta",Mercado_Receita!$L$2:$L$379)+SUMIF(Mercado_Receita!$S$2:$S$379,"44531B3Convencional pré-pagamentoNão se aplicaNão se aplicaNão se aplicaNão se aplicaFora ponta",Mercado_Receita!$L$2:$L$379)+SUMIF(Mercado_Receita!$S$2:$S$379,"44531B3Convencional pré-pagamentoNão se aplicaNão se aplicaNão se aplicaNão se aplicaIntermediário",Mercado_Receita!$L$2:$L$379)+SUMIF(Mercado_Receita!$S$2:$S$379,"44531B3Convencional pré-pagamentoNão se aplicaNão se aplicaNão se aplicaNão se aplicaNão se aplica",Mercado_Receita!$L$2:$L$379)</f>
        <v>0</v>
      </c>
      <c r="N46" s="13">
        <f>SUMIF(Mercado_Receita!$S$2:$S$379,"44562B3Convencional pré-pagamentoNão se aplicaNão se aplicaNão se aplicaNão se aplicaPonta",Mercado_Receita!$L$2:$L$379)+SUMIF(Mercado_Receita!$S$2:$S$379,"44562B3Convencional pré-pagamentoNão se aplicaNão se aplicaNão se aplicaNão se aplicaFora ponta",Mercado_Receita!$L$2:$L$379)+SUMIF(Mercado_Receita!$S$2:$S$379,"44562B3Convencional pré-pagamentoNão se aplicaNão se aplicaNão se aplicaNão se aplicaIntermediário",Mercado_Receita!$L$2:$L$379)+SUMIF(Mercado_Receita!$S$2:$S$379,"44562B3Convencional pré-pagamentoNão se aplicaNão se aplicaNão se aplicaNão se aplicaNão se aplica",Mercado_Receita!$L$2:$L$379)</f>
        <v>0</v>
      </c>
      <c r="O46" s="13">
        <f>SUMIF(Mercado_Receita!$S$2:$S$379,"44593B3Convencional pré-pagamentoNão se aplicaNão se aplicaNão se aplicaNão se aplicaPonta",Mercado_Receita!$L$2:$L$379)+SUMIF(Mercado_Receita!$S$2:$S$379,"44593B3Convencional pré-pagamentoNão se aplicaNão se aplicaNão se aplicaNão se aplicaFora ponta",Mercado_Receita!$L$2:$L$379)+SUMIF(Mercado_Receita!$S$2:$S$379,"44593B3Convencional pré-pagamentoNão se aplicaNão se aplicaNão se aplicaNão se aplicaIntermediário",Mercado_Receita!$L$2:$L$379)+SUMIF(Mercado_Receita!$S$2:$S$379,"44593B3Convencional pré-pagamentoNão se aplicaNão se aplicaNão se aplicaNão se aplicaNão se aplica",Mercado_Receita!$L$2:$L$379)</f>
        <v>0</v>
      </c>
      <c r="P46" s="13">
        <f>SUMIF(Mercado_Receita!$S$2:$S$379,"44621B3Convencional pré-pagamentoNão se aplicaNão se aplicaNão se aplicaNão se aplicaPonta",Mercado_Receita!$L$2:$L$379)+SUMIF(Mercado_Receita!$S$2:$S$379,"44621B3Convencional pré-pagamentoNão se aplicaNão se aplicaNão se aplicaNão se aplicaFora ponta",Mercado_Receita!$L$2:$L$379)+SUMIF(Mercado_Receita!$S$2:$S$379,"44621B3Convencional pré-pagamentoNão se aplicaNão se aplicaNão se aplicaNão se aplicaIntermediário",Mercado_Receita!$L$2:$L$379)+SUMIF(Mercado_Receita!$S$2:$S$379,"44621B3Convencional pré-pagamentoNão se aplicaNão se aplicaNão se aplicaNão se aplicaNão se aplica",Mercado_Receita!$L$2:$L$379)</f>
        <v>0</v>
      </c>
      <c r="Q46" s="13">
        <f>SUMIF(Mercado_Receita!$S$2:$S$379,"44652B3Convencional pré-pagamentoNão se aplicaNão se aplicaNão se aplicaNão se aplicaPonta",Mercado_Receita!$L$2:$L$379)+SUMIF(Mercado_Receita!$S$2:$S$379,"44652B3Convencional pré-pagamentoNão se aplicaNão se aplicaNão se aplicaNão se aplicaFora ponta",Mercado_Receita!$L$2:$L$379)+SUMIF(Mercado_Receita!$S$2:$S$379,"44652B3Convencional pré-pagamentoNão se aplicaNão se aplicaNão se aplicaNão se aplicaIntermediário",Mercado_Receita!$L$2:$L$379)+SUMIF(Mercado_Receita!$S$2:$S$379,"44652B3Convencional pré-pagamentoNão se aplicaNão se aplicaNão se aplicaNão se aplicaNão se aplica",Mercado_Receita!$L$2:$L$379)</f>
        <v>0</v>
      </c>
      <c r="R46" s="13">
        <f>SUMIF(Mercado_Receita!$S$2:$S$379,"44682B3Convencional pré-pagamentoNão se aplicaNão se aplicaNão se aplicaNão se aplicaPonta",Mercado_Receita!$L$2:$L$379)+SUMIF(Mercado_Receita!$S$2:$S$379,"44682B3Convencional pré-pagamentoNão se aplicaNão se aplicaNão se aplicaNão se aplicaFora ponta",Mercado_Receita!$L$2:$L$379)+SUMIF(Mercado_Receita!$S$2:$S$379,"44682B3Convencional pré-pagamentoNão se aplicaNão se aplicaNão se aplicaNão se aplicaIntermediário",Mercado_Receita!$L$2:$L$379)+SUMIF(Mercado_Receita!$S$2:$S$379,"44682B3Convencional pré-pagamentoNão se aplicaNão se aplicaNão se aplicaNão se aplicaNão se aplica",Mercado_Receita!$L$2:$L$379)</f>
        <v>0</v>
      </c>
      <c r="S46" s="13">
        <f>SUMIF(Mercado_Receita!$S$2:$S$379,"44713B3Convencional pré-pagamentoNão se aplicaNão se aplicaNão se aplicaNão se aplicaPonta",Mercado_Receita!$L$2:$L$379)+SUMIF(Mercado_Receita!$S$2:$S$379,"44713B3Convencional pré-pagamentoNão se aplicaNão se aplicaNão se aplicaNão se aplicaFora ponta",Mercado_Receita!$L$2:$L$379)+SUMIF(Mercado_Receita!$S$2:$S$379,"44713B3Convencional pré-pagamentoNão se aplicaNão se aplicaNão se aplicaNão se aplicaIntermediário",Mercado_Receita!$L$2:$L$379)+SUMIF(Mercado_Receita!$S$2:$S$379,"44713B3Convencional pré-pagamentoNão se aplicaNão se aplicaNão se aplicaNão se aplicaNão se aplica",Mercado_Receita!$L$2:$L$379)</f>
        <v>0</v>
      </c>
      <c r="T46" s="13">
        <f>SUMIF(Mercado_Receita!$S$2:$S$379,"44743B3Convencional pré-pagamentoNão se aplicaNão se aplicaNão se aplicaNão se aplicaPonta",Mercado_Receita!$L$2:$L$379)+SUMIF(Mercado_Receita!$S$2:$S$379,"44743B3Convencional pré-pagamentoNão se aplicaNão se aplicaNão se aplicaNão se aplicaFora ponta",Mercado_Receita!$L$2:$L$379)+SUMIF(Mercado_Receita!$S$2:$S$379,"44743B3Convencional pré-pagamentoNão se aplicaNão se aplicaNão se aplicaNão se aplicaIntermediário",Mercado_Receita!$L$2:$L$379)+SUMIF(Mercado_Receita!$S$2:$S$379,"44743B3Convencional pré-pagamentoNão se aplicaNão se aplicaNão se aplicaNão se aplicaNão se aplica",Mercado_Receita!$L$2:$L$379)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124" t="s">
        <v>44</v>
      </c>
      <c r="B47" s="124" t="s">
        <v>23</v>
      </c>
      <c r="C47" s="124" t="s">
        <v>45</v>
      </c>
      <c r="D47" s="12" t="s">
        <v>46</v>
      </c>
      <c r="E47" s="12" t="s">
        <v>25</v>
      </c>
      <c r="F47" s="12" t="s">
        <v>25</v>
      </c>
      <c r="G47" s="13" t="s">
        <v>72</v>
      </c>
      <c r="H47" s="13" t="s">
        <v>68</v>
      </c>
      <c r="I47" s="13">
        <f>SUMIF(Mercado_Receita!$S$2:$S$379,"44409B4ConvencionalIluminação públicaIluminação pública – B4aNão se aplicaNão se aplicaPonta",Mercado_Receita!$L$2:$L$379)+SUMIF(Mercado_Receita!$S$2:$S$379,"44409B4ConvencionalIluminação públicaIluminação pública – B4aNão se aplicaNão se aplicaFora ponta",Mercado_Receita!$L$2:$L$379)+SUMIF(Mercado_Receita!$S$2:$S$379,"44409B4ConvencionalIluminação públicaIluminação pública – B4aNão se aplicaNão se aplicaIntermediário",Mercado_Receita!$L$2:$L$379)+SUMIF(Mercado_Receita!$S$2:$S$379,"44409B4ConvencionalIluminação públicaIluminação pública – B4aNão se aplicaNão se aplicaNão se aplica",Mercado_Receita!$L$2:$L$379)</f>
        <v>30.279</v>
      </c>
      <c r="J47" s="13">
        <f>SUMIF(Mercado_Receita!$S$2:$S$379,"44440B4ConvencionalIluminação públicaIluminação pública – B4aNão se aplicaNão se aplicaPonta",Mercado_Receita!$L$2:$L$379)+SUMIF(Mercado_Receita!$S$2:$S$379,"44440B4ConvencionalIluminação públicaIluminação pública – B4aNão se aplicaNão se aplicaFora ponta",Mercado_Receita!$L$2:$L$379)+SUMIF(Mercado_Receita!$S$2:$S$379,"44440B4ConvencionalIluminação públicaIluminação pública – B4aNão se aplicaNão se aplicaIntermediário",Mercado_Receita!$L$2:$L$379)+SUMIF(Mercado_Receita!$S$2:$S$379,"44440B4ConvencionalIluminação públicaIluminação pública – B4aNão se aplicaNão se aplicaNão se aplica",Mercado_Receita!$L$2:$L$379)</f>
        <v>29.314</v>
      </c>
      <c r="K47" s="13">
        <f>SUMIF(Mercado_Receita!$S$2:$S$379,"44470B4ConvencionalIluminação públicaIluminação pública – B4aNão se aplicaNão se aplicaPonta",Mercado_Receita!$L$2:$L$379)+SUMIF(Mercado_Receita!$S$2:$S$379,"44470B4ConvencionalIluminação públicaIluminação pública – B4aNão se aplicaNão se aplicaFora ponta",Mercado_Receita!$L$2:$L$379)+SUMIF(Mercado_Receita!$S$2:$S$379,"44470B4ConvencionalIluminação públicaIluminação pública – B4aNão se aplicaNão se aplicaIntermediário",Mercado_Receita!$L$2:$L$379)+SUMIF(Mercado_Receita!$S$2:$S$379,"44470B4ConvencionalIluminação públicaIluminação pública – B4aNão se aplicaNão se aplicaNão se aplica",Mercado_Receita!$L$2:$L$379)</f>
        <v>30.283999999999999</v>
      </c>
      <c r="L47" s="13">
        <f>SUMIF(Mercado_Receita!$S$2:$S$379,"44501B4ConvencionalIluminação públicaIluminação pública – B4aNão se aplicaNão se aplicaPonta",Mercado_Receita!$L$2:$L$379)+SUMIF(Mercado_Receita!$S$2:$S$379,"44501B4ConvencionalIluminação públicaIluminação pública – B4aNão se aplicaNão se aplicaFora ponta",Mercado_Receita!$L$2:$L$379)+SUMIF(Mercado_Receita!$S$2:$S$379,"44501B4ConvencionalIluminação públicaIluminação pública – B4aNão se aplicaNão se aplicaIntermediário",Mercado_Receita!$L$2:$L$379)+SUMIF(Mercado_Receita!$S$2:$S$379,"44501B4ConvencionalIluminação públicaIluminação pública – B4aNão se aplicaNão se aplicaNão se aplica",Mercado_Receita!$L$2:$L$379)</f>
        <v>29.344999999999999</v>
      </c>
      <c r="M47" s="13">
        <f>SUMIF(Mercado_Receita!$S$2:$S$379,"44531B4ConvencionalIluminação públicaIluminação pública – B4aNão se aplicaNão se aplicaPonta",Mercado_Receita!$L$2:$L$379)+SUMIF(Mercado_Receita!$S$2:$S$379,"44531B4ConvencionalIluminação públicaIluminação pública – B4aNão se aplicaNão se aplicaFora ponta",Mercado_Receita!$L$2:$L$379)+SUMIF(Mercado_Receita!$S$2:$S$379,"44531B4ConvencionalIluminação públicaIluminação pública – B4aNão se aplicaNão se aplicaIntermediário",Mercado_Receita!$L$2:$L$379)+SUMIF(Mercado_Receita!$S$2:$S$379,"44531B4ConvencionalIluminação públicaIluminação pública – B4aNão se aplicaNão se aplicaNão se aplica",Mercado_Receita!$L$2:$L$379)</f>
        <v>31.134</v>
      </c>
      <c r="N47" s="13">
        <f>SUMIF(Mercado_Receita!$S$2:$S$379,"44562B4ConvencionalIluminação públicaIluminação pública – B4aNão se aplicaNão se aplicaPonta",Mercado_Receita!$L$2:$L$379)+SUMIF(Mercado_Receita!$S$2:$S$379,"44562B4ConvencionalIluminação públicaIluminação pública – B4aNão se aplicaNão se aplicaFora ponta",Mercado_Receita!$L$2:$L$379)+SUMIF(Mercado_Receita!$S$2:$S$379,"44562B4ConvencionalIluminação públicaIluminação pública – B4aNão se aplicaNão se aplicaIntermediário",Mercado_Receita!$L$2:$L$379)+SUMIF(Mercado_Receita!$S$2:$S$379,"44562B4ConvencionalIluminação públicaIluminação pública – B4aNão se aplicaNão se aplicaNão se aplica",Mercado_Receita!$L$2:$L$379)</f>
        <v>30.346</v>
      </c>
      <c r="O47" s="13">
        <f>SUMIF(Mercado_Receita!$S$2:$S$379,"44593B4ConvencionalIluminação públicaIluminação pública – B4aNão se aplicaNão se aplicaPonta",Mercado_Receita!$L$2:$L$379)+SUMIF(Mercado_Receita!$S$2:$S$379,"44593B4ConvencionalIluminação públicaIluminação pública – B4aNão se aplicaNão se aplicaFora ponta",Mercado_Receita!$L$2:$L$379)+SUMIF(Mercado_Receita!$S$2:$S$379,"44593B4ConvencionalIluminação públicaIluminação pública – B4aNão se aplicaNão se aplicaIntermediário",Mercado_Receita!$L$2:$L$379)+SUMIF(Mercado_Receita!$S$2:$S$379,"44593B4ConvencionalIluminação públicaIluminação pública – B4aNão se aplicaNão se aplicaNão se aplica",Mercado_Receita!$L$2:$L$379)</f>
        <v>27.167000000000002</v>
      </c>
      <c r="P47" s="13">
        <f>SUMIF(Mercado_Receita!$S$2:$S$379,"44621B4ConvencionalIluminação públicaIluminação pública – B4aNão se aplicaNão se aplicaPonta",Mercado_Receita!$L$2:$L$379)+SUMIF(Mercado_Receita!$S$2:$S$379,"44621B4ConvencionalIluminação públicaIluminação pública – B4aNão se aplicaNão se aplicaFora ponta",Mercado_Receita!$L$2:$L$379)+SUMIF(Mercado_Receita!$S$2:$S$379,"44621B4ConvencionalIluminação públicaIluminação pública – B4aNão se aplicaNão se aplicaIntermediário",Mercado_Receita!$L$2:$L$379)+SUMIF(Mercado_Receita!$S$2:$S$379,"44621B4ConvencionalIluminação públicaIluminação pública – B4aNão se aplicaNão se aplicaNão se aplica",Mercado_Receita!$L$2:$L$379)</f>
        <v>30.222000000000001</v>
      </c>
      <c r="Q47" s="13">
        <f>SUMIF(Mercado_Receita!$S$2:$S$379,"44652B4ConvencionalIluminação públicaIluminação pública – B4aNão se aplicaNão se aplicaPonta",Mercado_Receita!$L$2:$L$379)+SUMIF(Mercado_Receita!$S$2:$S$379,"44652B4ConvencionalIluminação públicaIluminação pública – B4aNão se aplicaNão se aplicaFora ponta",Mercado_Receita!$L$2:$L$379)+SUMIF(Mercado_Receita!$S$2:$S$379,"44652B4ConvencionalIluminação públicaIluminação pública – B4aNão se aplicaNão se aplicaIntermediário",Mercado_Receita!$L$2:$L$379)+SUMIF(Mercado_Receita!$S$2:$S$379,"44652B4ConvencionalIluminação públicaIluminação pública – B4aNão se aplicaNão se aplicaNão se aplica",Mercado_Receita!$L$2:$L$379)</f>
        <v>29.305</v>
      </c>
      <c r="R47" s="13">
        <f>SUMIF(Mercado_Receita!$S$2:$S$379,"44682B4ConvencionalIluminação públicaIluminação pública – B4aNão se aplicaNão se aplicaPonta",Mercado_Receita!$L$2:$L$379)+SUMIF(Mercado_Receita!$S$2:$S$379,"44682B4ConvencionalIluminação públicaIluminação pública – B4aNão se aplicaNão se aplicaFora ponta",Mercado_Receita!$L$2:$L$379)+SUMIF(Mercado_Receita!$S$2:$S$379,"44682B4ConvencionalIluminação públicaIluminação pública – B4aNão se aplicaNão se aplicaIntermediário",Mercado_Receita!$L$2:$L$379)+SUMIF(Mercado_Receita!$S$2:$S$379,"44682B4ConvencionalIluminação públicaIluminação pública – B4aNão se aplicaNão se aplicaNão se aplica",Mercado_Receita!$L$2:$L$379)</f>
        <v>30.077000000000002</v>
      </c>
      <c r="S47" s="13">
        <f>SUMIF(Mercado_Receita!$S$2:$S$379,"44713B4ConvencionalIluminação públicaIluminação pública – B4aNão se aplicaNão se aplicaPonta",Mercado_Receita!$L$2:$L$379)+SUMIF(Mercado_Receita!$S$2:$S$379,"44713B4ConvencionalIluminação públicaIluminação pública – B4aNão se aplicaNão se aplicaFora ponta",Mercado_Receita!$L$2:$L$379)+SUMIF(Mercado_Receita!$S$2:$S$379,"44713B4ConvencionalIluminação públicaIluminação pública – B4aNão se aplicaNão se aplicaIntermediário",Mercado_Receita!$L$2:$L$379)+SUMIF(Mercado_Receita!$S$2:$S$379,"44713B4ConvencionalIluminação públicaIluminação pública – B4aNão se aplicaNão se aplicaNão se aplica",Mercado_Receita!$L$2:$L$379)</f>
        <v>29.158000000000001</v>
      </c>
      <c r="T47" s="13">
        <f>SUMIF(Mercado_Receita!$S$2:$S$379,"44743B4ConvencionalIluminação públicaIluminação pública – B4aNão se aplicaNão se aplicaPonta",Mercado_Receita!$L$2:$L$379)+SUMIF(Mercado_Receita!$S$2:$S$379,"44743B4ConvencionalIluminação públicaIluminação pública – B4aNão se aplicaNão se aplicaFora ponta",Mercado_Receita!$L$2:$L$379)+SUMIF(Mercado_Receita!$S$2:$S$379,"44743B4ConvencionalIluminação públicaIluminação pública – B4aNão se aplicaNão se aplicaIntermediário",Mercado_Receita!$L$2:$L$379)+SUMIF(Mercado_Receita!$S$2:$S$379,"44743B4ConvencionalIluminação públicaIluminação pública – B4aNão se aplicaNão se aplicaNão se aplica",Mercado_Receita!$L$2:$L$379)</f>
        <v>30.065000000000001</v>
      </c>
      <c r="U47" s="13">
        <f t="shared" si="0"/>
        <v>356.69600000000003</v>
      </c>
      <c r="V47" s="13"/>
      <c r="W47" s="13"/>
    </row>
    <row r="48" spans="1:23" ht="11.25" customHeight="1" x14ac:dyDescent="0.25">
      <c r="A48" s="125"/>
      <c r="B48" s="125"/>
      <c r="C48" s="125"/>
      <c r="D48" s="13" t="s">
        <v>87</v>
      </c>
      <c r="E48" s="13" t="s">
        <v>25</v>
      </c>
      <c r="F48" s="13" t="s">
        <v>25</v>
      </c>
      <c r="G48" s="13" t="s">
        <v>72</v>
      </c>
      <c r="H48" s="13" t="s">
        <v>68</v>
      </c>
      <c r="I48" s="13">
        <f>SUMIF(Mercado_Receita!$S$2:$S$379,"44409B4ConvencionalIluminação públicaIluminação pública – B4bNão se aplicaNão se aplicaPonta",Mercado_Receita!$L$2:$L$379)+SUMIF(Mercado_Receita!$S$2:$S$379,"44409B4ConvencionalIluminação públicaIluminação pública – B4bNão se aplicaNão se aplicaFora ponta",Mercado_Receita!$L$2:$L$379)+SUMIF(Mercado_Receita!$S$2:$S$379,"44409B4ConvencionalIluminação públicaIluminação pública – B4bNão se aplicaNão se aplicaIntermediário",Mercado_Receita!$L$2:$L$379)+SUMIF(Mercado_Receita!$S$2:$S$379,"44409B4ConvencionalIluminação públicaIluminação pública – B4bNão se aplicaNão se aplicaNão se aplica",Mercado_Receita!$L$2:$L$379)</f>
        <v>0</v>
      </c>
      <c r="J48" s="13">
        <f>SUMIF(Mercado_Receita!$S$2:$S$379,"44440B4ConvencionalIluminação públicaIluminação pública – B4bNão se aplicaNão se aplicaPonta",Mercado_Receita!$L$2:$L$379)+SUMIF(Mercado_Receita!$S$2:$S$379,"44440B4ConvencionalIluminação públicaIluminação pública – B4bNão se aplicaNão se aplicaFora ponta",Mercado_Receita!$L$2:$L$379)+SUMIF(Mercado_Receita!$S$2:$S$379,"44440B4ConvencionalIluminação públicaIluminação pública – B4bNão se aplicaNão se aplicaIntermediário",Mercado_Receita!$L$2:$L$379)+SUMIF(Mercado_Receita!$S$2:$S$379,"44440B4ConvencionalIluminação públicaIluminação pública – B4bNão se aplicaNão se aplicaNão se aplica",Mercado_Receita!$L$2:$L$379)</f>
        <v>0</v>
      </c>
      <c r="K48" s="13">
        <f>SUMIF(Mercado_Receita!$S$2:$S$379,"44470B4ConvencionalIluminação públicaIluminação pública – B4bNão se aplicaNão se aplicaPonta",Mercado_Receita!$L$2:$L$379)+SUMIF(Mercado_Receita!$S$2:$S$379,"44470B4ConvencionalIluminação públicaIluminação pública – B4bNão se aplicaNão se aplicaFora ponta",Mercado_Receita!$L$2:$L$379)+SUMIF(Mercado_Receita!$S$2:$S$379,"44470B4ConvencionalIluminação públicaIluminação pública – B4bNão se aplicaNão se aplicaIntermediário",Mercado_Receita!$L$2:$L$379)+SUMIF(Mercado_Receita!$S$2:$S$379,"44470B4ConvencionalIluminação públicaIluminação pública – B4bNão se aplicaNão se aplicaNão se aplica",Mercado_Receita!$L$2:$L$379)</f>
        <v>0</v>
      </c>
      <c r="L48" s="13">
        <f>SUMIF(Mercado_Receita!$S$2:$S$379,"44501B4ConvencionalIluminação públicaIluminação pública – B4bNão se aplicaNão se aplicaPonta",Mercado_Receita!$L$2:$L$379)+SUMIF(Mercado_Receita!$S$2:$S$379,"44501B4ConvencionalIluminação públicaIluminação pública – B4bNão se aplicaNão se aplicaFora ponta",Mercado_Receita!$L$2:$L$379)+SUMIF(Mercado_Receita!$S$2:$S$379,"44501B4ConvencionalIluminação públicaIluminação pública – B4bNão se aplicaNão se aplicaIntermediário",Mercado_Receita!$L$2:$L$379)+SUMIF(Mercado_Receita!$S$2:$S$379,"44501B4ConvencionalIluminação públicaIluminação pública – B4bNão se aplicaNão se aplicaNão se aplica",Mercado_Receita!$L$2:$L$379)</f>
        <v>0</v>
      </c>
      <c r="M48" s="13">
        <f>SUMIF(Mercado_Receita!$S$2:$S$379,"44531B4ConvencionalIluminação públicaIluminação pública – B4bNão se aplicaNão se aplicaPonta",Mercado_Receita!$L$2:$L$379)+SUMIF(Mercado_Receita!$S$2:$S$379,"44531B4ConvencionalIluminação públicaIluminação pública – B4bNão se aplicaNão se aplicaFora ponta",Mercado_Receita!$L$2:$L$379)+SUMIF(Mercado_Receita!$S$2:$S$379,"44531B4ConvencionalIluminação públicaIluminação pública – B4bNão se aplicaNão se aplicaIntermediário",Mercado_Receita!$L$2:$L$379)+SUMIF(Mercado_Receita!$S$2:$S$379,"44531B4ConvencionalIluminação públicaIluminação pública – B4bNão se aplicaNão se aplicaNão se aplica",Mercado_Receita!$L$2:$L$379)</f>
        <v>0</v>
      </c>
      <c r="N48" s="13">
        <f>SUMIF(Mercado_Receita!$S$2:$S$379,"44562B4ConvencionalIluminação públicaIluminação pública – B4bNão se aplicaNão se aplicaPonta",Mercado_Receita!$L$2:$L$379)+SUMIF(Mercado_Receita!$S$2:$S$379,"44562B4ConvencionalIluminação públicaIluminação pública – B4bNão se aplicaNão se aplicaFora ponta",Mercado_Receita!$L$2:$L$379)+SUMIF(Mercado_Receita!$S$2:$S$379,"44562B4ConvencionalIluminação públicaIluminação pública – B4bNão se aplicaNão se aplicaIntermediário",Mercado_Receita!$L$2:$L$379)+SUMIF(Mercado_Receita!$S$2:$S$379,"44562B4ConvencionalIluminação públicaIluminação pública – B4bNão se aplicaNão se aplicaNão se aplica",Mercado_Receita!$L$2:$L$379)</f>
        <v>0</v>
      </c>
      <c r="O48" s="13">
        <f>SUMIF(Mercado_Receita!$S$2:$S$379,"44593B4ConvencionalIluminação públicaIluminação pública – B4bNão se aplicaNão se aplicaPonta",Mercado_Receita!$L$2:$L$379)+SUMIF(Mercado_Receita!$S$2:$S$379,"44593B4ConvencionalIluminação públicaIluminação pública – B4bNão se aplicaNão se aplicaFora ponta",Mercado_Receita!$L$2:$L$379)+SUMIF(Mercado_Receita!$S$2:$S$379,"44593B4ConvencionalIluminação públicaIluminação pública – B4bNão se aplicaNão se aplicaIntermediário",Mercado_Receita!$L$2:$L$379)+SUMIF(Mercado_Receita!$S$2:$S$379,"44593B4ConvencionalIluminação públicaIluminação pública – B4bNão se aplicaNão se aplicaNão se aplica",Mercado_Receita!$L$2:$L$379)</f>
        <v>0</v>
      </c>
      <c r="P48" s="13">
        <f>SUMIF(Mercado_Receita!$S$2:$S$379,"44621B4ConvencionalIluminação públicaIluminação pública – B4bNão se aplicaNão se aplicaPonta",Mercado_Receita!$L$2:$L$379)+SUMIF(Mercado_Receita!$S$2:$S$379,"44621B4ConvencionalIluminação públicaIluminação pública – B4bNão se aplicaNão se aplicaFora ponta",Mercado_Receita!$L$2:$L$379)+SUMIF(Mercado_Receita!$S$2:$S$379,"44621B4ConvencionalIluminação públicaIluminação pública – B4bNão se aplicaNão se aplicaIntermediário",Mercado_Receita!$L$2:$L$379)+SUMIF(Mercado_Receita!$S$2:$S$379,"44621B4ConvencionalIluminação públicaIluminação pública – B4bNão se aplicaNão se aplicaNão se aplica",Mercado_Receita!$L$2:$L$379)</f>
        <v>0</v>
      </c>
      <c r="Q48" s="13">
        <f>SUMIF(Mercado_Receita!$S$2:$S$379,"44652B4ConvencionalIluminação públicaIluminação pública – B4bNão se aplicaNão se aplicaPonta",Mercado_Receita!$L$2:$L$379)+SUMIF(Mercado_Receita!$S$2:$S$379,"44652B4ConvencionalIluminação públicaIluminação pública – B4bNão se aplicaNão se aplicaFora ponta",Mercado_Receita!$L$2:$L$379)+SUMIF(Mercado_Receita!$S$2:$S$379,"44652B4ConvencionalIluminação públicaIluminação pública – B4bNão se aplicaNão se aplicaIntermediário",Mercado_Receita!$L$2:$L$379)+SUMIF(Mercado_Receita!$S$2:$S$379,"44652B4ConvencionalIluminação públicaIluminação pública – B4bNão se aplicaNão se aplicaNão se aplica",Mercado_Receita!$L$2:$L$379)</f>
        <v>0</v>
      </c>
      <c r="R48" s="13">
        <f>SUMIF(Mercado_Receita!$S$2:$S$379,"44682B4ConvencionalIluminação públicaIluminação pública – B4bNão se aplicaNão se aplicaPonta",Mercado_Receita!$L$2:$L$379)+SUMIF(Mercado_Receita!$S$2:$S$379,"44682B4ConvencionalIluminação públicaIluminação pública – B4bNão se aplicaNão se aplicaFora ponta",Mercado_Receita!$L$2:$L$379)+SUMIF(Mercado_Receita!$S$2:$S$379,"44682B4ConvencionalIluminação públicaIluminação pública – B4bNão se aplicaNão se aplicaIntermediário",Mercado_Receita!$L$2:$L$379)+SUMIF(Mercado_Receita!$S$2:$S$379,"44682B4ConvencionalIluminação públicaIluminação pública – B4bNão se aplicaNão se aplicaNão se aplica",Mercado_Receita!$L$2:$L$379)</f>
        <v>0</v>
      </c>
      <c r="S48" s="13">
        <f>SUMIF(Mercado_Receita!$S$2:$S$379,"44713B4ConvencionalIluminação públicaIluminação pública – B4bNão se aplicaNão se aplicaPonta",Mercado_Receita!$L$2:$L$379)+SUMIF(Mercado_Receita!$S$2:$S$379,"44713B4ConvencionalIluminação públicaIluminação pública – B4bNão se aplicaNão se aplicaFora ponta",Mercado_Receita!$L$2:$L$379)+SUMIF(Mercado_Receita!$S$2:$S$379,"44713B4ConvencionalIluminação públicaIluminação pública – B4bNão se aplicaNão se aplicaIntermediário",Mercado_Receita!$L$2:$L$379)+SUMIF(Mercado_Receita!$S$2:$S$379,"44713B4ConvencionalIluminação públicaIluminação pública – B4bNão se aplicaNão se aplicaNão se aplica",Mercado_Receita!$L$2:$L$379)</f>
        <v>0</v>
      </c>
      <c r="T48" s="13">
        <f>SUMIF(Mercado_Receita!$S$2:$S$379,"44743B4ConvencionalIluminação públicaIluminação pública – B4bNão se aplicaNão se aplicaPonta",Mercado_Receita!$L$2:$L$379)+SUMIF(Mercado_Receita!$S$2:$S$379,"44743B4ConvencionalIluminação públicaIluminação pública – B4bNão se aplicaNão se aplicaFora ponta",Mercado_Receita!$L$2:$L$379)+SUMIF(Mercado_Receita!$S$2:$S$379,"44743B4ConvencionalIluminação públicaIluminação pública – B4bNão se aplicaNão se aplicaIntermediário",Mercado_Receita!$L$2:$L$379)+SUMIF(Mercado_Receita!$S$2:$S$379,"44743B4ConvencionalIluminação públicaIluminação pública – B4bNão se aplicaNão se aplicaNão se aplica",Mercado_Receita!$L$2:$L$379)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126" t="s">
        <v>418</v>
      </c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1DE6-58E4-4E8B-B18D-26A48D873183}">
  <sheetPr codeName="Planilha6"/>
  <dimension ref="A1:AD40"/>
  <sheetViews>
    <sheetView showGridLines="0" workbookViewId="0">
      <selection sqref="A1:W40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6.140625" style="9" bestFit="1" customWidth="1"/>
    <col min="10" max="11" width="5.85546875" style="9" bestFit="1" customWidth="1"/>
    <col min="12" max="13" width="6.140625" style="9" bestFit="1" customWidth="1"/>
    <col min="14" max="15" width="5.7109375" style="9" bestFit="1" customWidth="1"/>
    <col min="16" max="16" width="6.42578125" style="9" bestFit="1" customWidth="1"/>
    <col min="17" max="17" width="5.85546875" style="9" bestFit="1" customWidth="1"/>
    <col min="18" max="18" width="6.140625" style="9" bestFit="1" customWidth="1"/>
    <col min="19" max="20" width="5.71093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1">
        <v>44409</v>
      </c>
      <c r="J1" s="11">
        <v>44440</v>
      </c>
      <c r="K1" s="11">
        <v>44470</v>
      </c>
      <c r="L1" s="11">
        <v>44501</v>
      </c>
      <c r="M1" s="11">
        <v>44531</v>
      </c>
      <c r="N1" s="11">
        <v>44562</v>
      </c>
      <c r="O1" s="11">
        <v>44593</v>
      </c>
      <c r="P1" s="11">
        <v>44621</v>
      </c>
      <c r="Q1" s="11">
        <v>44652</v>
      </c>
      <c r="R1" s="11">
        <v>44682</v>
      </c>
      <c r="S1" s="11">
        <v>44713</v>
      </c>
      <c r="T1" s="11">
        <v>44743</v>
      </c>
      <c r="U1" s="10" t="s">
        <v>66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24" t="s">
        <v>34</v>
      </c>
      <c r="B2" s="124" t="s">
        <v>67</v>
      </c>
      <c r="C2" s="124" t="s">
        <v>25</v>
      </c>
      <c r="D2" s="124" t="s">
        <v>25</v>
      </c>
      <c r="E2" s="124" t="s">
        <v>25</v>
      </c>
      <c r="F2" s="124" t="s">
        <v>25</v>
      </c>
      <c r="G2" s="13" t="s">
        <v>69</v>
      </c>
      <c r="H2" s="13" t="s">
        <v>68</v>
      </c>
      <c r="I2" s="13">
        <f>SUMIF(Mercado_Receita!$T$2:$T$379,"44409A4Energia horáriaNão se aplicaNão se aplicaNão se aplicaNão se aplicaPonta",Mercado_Receita!$N$2:$N$379)</f>
        <v>12.005000000000001</v>
      </c>
      <c r="J2" s="13">
        <f>SUMIF(Mercado_Receita!$T$2:$T$379,"44440A4Energia horáriaNão se aplicaNão se aplicaNão se aplicaNão se aplicaPonta",Mercado_Receita!$N$2:$N$379)</f>
        <v>11.266</v>
      </c>
      <c r="K2" s="13">
        <f>SUMIF(Mercado_Receita!$T$2:$T$379,"44470A4Energia horáriaNão se aplicaNão se aplicaNão se aplicaNão se aplicaPonta",Mercado_Receita!$N$2:$N$379)</f>
        <v>10.228</v>
      </c>
      <c r="L2" s="13">
        <f>SUMIF(Mercado_Receita!$T$2:$T$379,"44501A4Energia horáriaNão se aplicaNão se aplicaNão se aplicaNão se aplicaPonta",Mercado_Receita!$N$2:$N$379)</f>
        <v>10.494999999999999</v>
      </c>
      <c r="M2" s="13">
        <f>SUMIF(Mercado_Receita!$T$2:$T$379,"44531A4Energia horáriaNão se aplicaNão se aplicaNão se aplicaNão se aplicaPonta",Mercado_Receita!$N$2:$N$379)</f>
        <v>5.8570000000000002</v>
      </c>
      <c r="N2" s="13">
        <f>SUMIF(Mercado_Receita!$T$2:$T$379,"44562A4Energia horáriaNão se aplicaNão se aplicaNão se aplicaNão se aplicaPonta",Mercado_Receita!$N$2:$N$379)</f>
        <v>4.923</v>
      </c>
      <c r="O2" s="13">
        <f>SUMIF(Mercado_Receita!$T$2:$T$379,"44593A4Energia horáriaNão se aplicaNão se aplicaNão se aplicaNão se aplicaPonta",Mercado_Receita!$N$2:$N$379)</f>
        <v>4.9779999999999998</v>
      </c>
      <c r="P2" s="13">
        <f>SUMIF(Mercado_Receita!$T$2:$T$379,"44621A4Energia horáriaNão se aplicaNão se aplicaNão se aplicaNão se aplicaPonta",Mercado_Receita!$N$2:$N$379)</f>
        <v>5.7530000000000001</v>
      </c>
      <c r="Q2" s="13">
        <f>SUMIF(Mercado_Receita!$T$2:$T$379,"44652A4Energia horáriaNão se aplicaNão se aplicaNão se aplicaNão se aplicaPonta",Mercado_Receita!$N$2:$N$379)</f>
        <v>4.1100000000000003</v>
      </c>
      <c r="R2" s="13">
        <f>SUMIF(Mercado_Receita!$T$2:$T$379,"44682A4Energia horáriaNão se aplicaNão se aplicaNão se aplicaNão se aplicaPonta",Mercado_Receita!$N$2:$N$379)</f>
        <v>5.8570000000000002</v>
      </c>
      <c r="S2" s="13">
        <f>SUMIF(Mercado_Receita!$T$2:$T$379,"44713A4Energia horáriaNão se aplicaNão se aplicaNão se aplicaNão se aplicaPonta",Mercado_Receita!$N$2:$N$379)</f>
        <v>5.87</v>
      </c>
      <c r="T2" s="13">
        <f>SUMIF(Mercado_Receita!$T$2:$T$379,"44743A4Energia horáriaNão se aplicaNão se aplicaNão se aplicaNão se aplicaPonta",Mercado_Receita!$N$2:$N$379)</f>
        <v>4.923</v>
      </c>
      <c r="U2" s="13">
        <f t="shared" ref="U2:U39" si="0">SUM(I2:T2)</f>
        <v>86.265000000000001</v>
      </c>
      <c r="V2" s="13"/>
      <c r="W2" s="13"/>
    </row>
    <row r="3" spans="1:30" ht="11.25" customHeight="1" x14ac:dyDescent="0.25">
      <c r="A3" s="125"/>
      <c r="B3" s="125"/>
      <c r="C3" s="125"/>
      <c r="D3" s="125"/>
      <c r="E3" s="125"/>
      <c r="F3" s="125"/>
      <c r="G3" s="13" t="s">
        <v>70</v>
      </c>
      <c r="H3" s="13" t="s">
        <v>68</v>
      </c>
      <c r="I3" s="13">
        <f>SUMIF(Mercado_Receita!$T$2:$T$379,"44409A4Energia horáriaNão se aplicaNão se aplicaNão se aplicaNão se aplicaFora ponta",Mercado_Receita!$N$2:$N$379)</f>
        <v>222.262</v>
      </c>
      <c r="J3" s="13">
        <f>SUMIF(Mercado_Receita!$T$2:$T$379,"44440A4Energia horáriaNão se aplicaNão se aplicaNão se aplicaNão se aplicaFora ponta",Mercado_Receita!$N$2:$N$379)</f>
        <v>215.47499999999999</v>
      </c>
      <c r="K3" s="13">
        <f>SUMIF(Mercado_Receita!$T$2:$T$379,"44470A4Energia horáriaNão se aplicaNão se aplicaNão se aplicaNão se aplicaFora ponta",Mercado_Receita!$N$2:$N$379)</f>
        <v>233.19300000000001</v>
      </c>
      <c r="L3" s="13">
        <f>SUMIF(Mercado_Receita!$T$2:$T$379,"44501A4Energia horáriaNão se aplicaNão se aplicaNão se aplicaNão se aplicaFora ponta",Mercado_Receita!$N$2:$N$379)</f>
        <v>249.93600000000001</v>
      </c>
      <c r="M3" s="13">
        <f>SUMIF(Mercado_Receita!$T$2:$T$379,"44531A4Energia horáriaNão se aplicaNão se aplicaNão se aplicaNão se aplicaFora ponta",Mercado_Receita!$N$2:$N$379)</f>
        <v>176.89</v>
      </c>
      <c r="N3" s="13">
        <f>SUMIF(Mercado_Receita!$T$2:$T$379,"44562A4Energia horáriaNão se aplicaNão se aplicaNão se aplicaNão se aplicaFora ponta",Mercado_Receita!$N$2:$N$379)</f>
        <v>152.101</v>
      </c>
      <c r="O3" s="13">
        <f>SUMIF(Mercado_Receita!$T$2:$T$379,"44593A4Energia horáriaNão se aplicaNão se aplicaNão se aplicaNão se aplicaFora ponta",Mercado_Receita!$N$2:$N$379)</f>
        <v>158.00200000000001</v>
      </c>
      <c r="P3" s="13">
        <f>SUMIF(Mercado_Receita!$T$2:$T$379,"44621A4Energia horáriaNão se aplicaNão se aplicaNão se aplicaNão se aplicaFora ponta",Mercado_Receita!$N$2:$N$379)</f>
        <v>173.42899999999997</v>
      </c>
      <c r="Q3" s="13">
        <f>SUMIF(Mercado_Receita!$T$2:$T$379,"44652A4Energia horáriaNão se aplicaNão se aplicaNão se aplicaNão se aplicaFora ponta",Mercado_Receita!$N$2:$N$379)</f>
        <v>138.994</v>
      </c>
      <c r="R3" s="13">
        <f>SUMIF(Mercado_Receita!$T$2:$T$379,"44682A4Energia horáriaNão se aplicaNão se aplicaNão se aplicaNão se aplicaFora ponta",Mercado_Receita!$N$2:$N$379)</f>
        <v>169.64099999999999</v>
      </c>
      <c r="S3" s="13">
        <f>SUMIF(Mercado_Receita!$T$2:$T$379,"44713A4Energia horáriaNão se aplicaNão se aplicaNão se aplicaNão se aplicaFora ponta",Mercado_Receita!$N$2:$N$379)</f>
        <v>163.988</v>
      </c>
      <c r="T3" s="13">
        <f>SUMIF(Mercado_Receita!$T$2:$T$379,"44743A4Energia horáriaNão se aplicaNão se aplicaNão se aplicaNão se aplicaFora ponta",Mercado_Receita!$N$2:$N$379)</f>
        <v>164.67099999999999</v>
      </c>
      <c r="U3" s="13">
        <f t="shared" si="0"/>
        <v>2218.5819999999999</v>
      </c>
      <c r="V3" s="13"/>
      <c r="W3" s="13"/>
    </row>
    <row r="4" spans="1:30" ht="11.25" customHeight="1" x14ac:dyDescent="0.25">
      <c r="A4" s="125"/>
      <c r="B4" s="12" t="s">
        <v>71</v>
      </c>
      <c r="C4" s="12" t="s">
        <v>25</v>
      </c>
      <c r="D4" s="12" t="s">
        <v>25</v>
      </c>
      <c r="E4" s="12" t="s">
        <v>25</v>
      </c>
      <c r="F4" s="12" t="s">
        <v>25</v>
      </c>
      <c r="G4" s="13" t="s">
        <v>72</v>
      </c>
      <c r="H4" s="13" t="s">
        <v>68</v>
      </c>
      <c r="I4" s="13">
        <f>SUMIF(Mercado_Receita!$T$2:$T$379,"44409A4Energia convencionalNão se aplicaNão se aplicaNão se aplicaNão se aplicaNão se aplica",Mercado_Receita!$N$2:$N$379)</f>
        <v>0</v>
      </c>
      <c r="J4" s="13">
        <f>SUMIF(Mercado_Receita!$T$2:$T$379,"44440A4Energia convencionalNão se aplicaNão se aplicaNão se aplicaNão se aplicaNão se aplica",Mercado_Receita!$N$2:$N$379)</f>
        <v>0</v>
      </c>
      <c r="K4" s="13">
        <f>SUMIF(Mercado_Receita!$T$2:$T$379,"44470A4Energia convencionalNão se aplicaNão se aplicaNão se aplicaNão se aplicaNão se aplica",Mercado_Receita!$N$2:$N$379)</f>
        <v>0</v>
      </c>
      <c r="L4" s="13">
        <f>SUMIF(Mercado_Receita!$T$2:$T$379,"44501A4Energia convencionalNão se aplicaNão se aplicaNão se aplicaNão se aplicaNão se aplica",Mercado_Receita!$N$2:$N$379)</f>
        <v>0</v>
      </c>
      <c r="M4" s="13">
        <f>SUMIF(Mercado_Receita!$T$2:$T$379,"44531A4Energia convencionalNão se aplicaNão se aplicaNão se aplicaNão se aplicaNão se aplica",Mercado_Receita!$N$2:$N$379)</f>
        <v>0</v>
      </c>
      <c r="N4" s="13">
        <f>SUMIF(Mercado_Receita!$T$2:$T$379,"44562A4Energia convencionalNão se aplicaNão se aplicaNão se aplicaNão se aplicaNão se aplica",Mercado_Receita!$N$2:$N$379)</f>
        <v>0</v>
      </c>
      <c r="O4" s="13">
        <f>SUMIF(Mercado_Receita!$T$2:$T$379,"44593A4Energia convencionalNão se aplicaNão se aplicaNão se aplicaNão se aplicaNão se aplica",Mercado_Receita!$N$2:$N$379)</f>
        <v>0</v>
      </c>
      <c r="P4" s="13">
        <f>SUMIF(Mercado_Receita!$T$2:$T$379,"44621A4Energia convencionalNão se aplicaNão se aplicaNão se aplicaNão se aplicaNão se aplica",Mercado_Receita!$N$2:$N$379)</f>
        <v>0</v>
      </c>
      <c r="Q4" s="13">
        <f>SUMIF(Mercado_Receita!$T$2:$T$379,"44652A4Energia convencionalNão se aplicaNão se aplicaNão se aplicaNão se aplicaNão se aplica",Mercado_Receita!$N$2:$N$379)</f>
        <v>0</v>
      </c>
      <c r="R4" s="13">
        <f>SUMIF(Mercado_Receita!$T$2:$T$379,"44682A4Energia convencionalNão se aplicaNão se aplicaNão se aplicaNão se aplicaNão se aplica",Mercado_Receita!$N$2:$N$379)</f>
        <v>0</v>
      </c>
      <c r="S4" s="13">
        <f>SUMIF(Mercado_Receita!$T$2:$T$379,"44713A4Energia convencionalNão se aplicaNão se aplicaNão se aplicaNão se aplicaNão se aplica",Mercado_Receita!$N$2:$N$379)</f>
        <v>0</v>
      </c>
      <c r="T4" s="13">
        <f>SUMIF(Mercado_Receita!$T$2:$T$379,"44743A4Energia convencionalNão se aplicaNão se aplicaNão se aplicaNão se aplicaNão se aplica",Mercado_Receita!$N$2:$N$379)</f>
        <v>0</v>
      </c>
      <c r="U4" s="13">
        <f t="shared" si="0"/>
        <v>0</v>
      </c>
      <c r="V4" s="13"/>
      <c r="W4" s="13"/>
    </row>
    <row r="5" spans="1:30" ht="11.25" customHeight="1" x14ac:dyDescent="0.25">
      <c r="A5" s="124" t="s">
        <v>22</v>
      </c>
      <c r="B5" s="124" t="s">
        <v>67</v>
      </c>
      <c r="C5" s="124" t="s">
        <v>24</v>
      </c>
      <c r="D5" s="124" t="s">
        <v>24</v>
      </c>
      <c r="E5" s="124" t="s">
        <v>25</v>
      </c>
      <c r="F5" s="124" t="s">
        <v>25</v>
      </c>
      <c r="G5" s="13" t="s">
        <v>69</v>
      </c>
      <c r="H5" s="13" t="s">
        <v>68</v>
      </c>
      <c r="I5" s="13">
        <f>SUMIF(Mercado_Receita!$T$2:$T$379,"44409B1Energia horáriaResidencialResidencialNão se aplicaNão se aplicaPonta",Mercado_Receita!$N$2:$N$379)</f>
        <v>0</v>
      </c>
      <c r="J5" s="13">
        <f>SUMIF(Mercado_Receita!$T$2:$T$379,"44440B1Energia horáriaResidencialResidencialNão se aplicaNão se aplicaPonta",Mercado_Receita!$N$2:$N$379)</f>
        <v>0</v>
      </c>
      <c r="K5" s="13">
        <f>SUMIF(Mercado_Receita!$T$2:$T$379,"44470B1Energia horáriaResidencialResidencialNão se aplicaNão se aplicaPonta",Mercado_Receita!$N$2:$N$379)</f>
        <v>0</v>
      </c>
      <c r="L5" s="13">
        <f>SUMIF(Mercado_Receita!$T$2:$T$379,"44501B1Energia horáriaResidencialResidencialNão se aplicaNão se aplicaPonta",Mercado_Receita!$N$2:$N$379)</f>
        <v>0</v>
      </c>
      <c r="M5" s="13">
        <f>SUMIF(Mercado_Receita!$T$2:$T$379,"44531B1Energia horáriaResidencialResidencialNão se aplicaNão se aplicaPonta",Mercado_Receita!$N$2:$N$379)</f>
        <v>0</v>
      </c>
      <c r="N5" s="13">
        <f>SUMIF(Mercado_Receita!$T$2:$T$379,"44562B1Energia horáriaResidencialResidencialNão se aplicaNão se aplicaPonta",Mercado_Receita!$N$2:$N$379)</f>
        <v>0</v>
      </c>
      <c r="O5" s="13">
        <f>SUMIF(Mercado_Receita!$T$2:$T$379,"44593B1Energia horáriaResidencialResidencialNão se aplicaNão se aplicaPonta",Mercado_Receita!$N$2:$N$379)</f>
        <v>0</v>
      </c>
      <c r="P5" s="13">
        <f>SUMIF(Mercado_Receita!$T$2:$T$379,"44621B1Energia horáriaResidencialResidencialNão se aplicaNão se aplicaPonta",Mercado_Receita!$N$2:$N$379)</f>
        <v>0</v>
      </c>
      <c r="Q5" s="13">
        <f>SUMIF(Mercado_Receita!$T$2:$T$379,"44652B1Energia horáriaResidencialResidencialNão se aplicaNão se aplicaPonta",Mercado_Receita!$N$2:$N$379)</f>
        <v>0</v>
      </c>
      <c r="R5" s="13">
        <f>SUMIF(Mercado_Receita!$T$2:$T$379,"44682B1Energia horáriaResidencialResidencialNão se aplicaNão se aplicaPonta",Mercado_Receita!$N$2:$N$379)</f>
        <v>0</v>
      </c>
      <c r="S5" s="13">
        <f>SUMIF(Mercado_Receita!$T$2:$T$379,"44713B1Energia horáriaResidencialResidencialNão se aplicaNão se aplicaPonta",Mercado_Receita!$N$2:$N$379)</f>
        <v>0</v>
      </c>
      <c r="T5" s="13">
        <f>SUMIF(Mercado_Receita!$T$2:$T$379,"44743B1Energia horáriaResidencialResidencialNão se aplicaNão se aplicaPonta",Mercado_Receita!$N$2:$N$379)</f>
        <v>0</v>
      </c>
      <c r="U5" s="13">
        <f t="shared" si="0"/>
        <v>0</v>
      </c>
      <c r="V5" s="13"/>
      <c r="W5" s="13"/>
    </row>
    <row r="6" spans="1:30" ht="11.25" customHeight="1" x14ac:dyDescent="0.25">
      <c r="A6" s="125"/>
      <c r="B6" s="125"/>
      <c r="C6" s="125"/>
      <c r="D6" s="125"/>
      <c r="E6" s="125"/>
      <c r="F6" s="125"/>
      <c r="G6" s="13" t="s">
        <v>82</v>
      </c>
      <c r="H6" s="13" t="s">
        <v>68</v>
      </c>
      <c r="I6" s="13">
        <f>SUMIF(Mercado_Receita!$T$2:$T$379,"44409B1Energia horáriaResidencialResidencialNão se aplicaNão se aplicaIntermediário",Mercado_Receita!$N$2:$N$379)</f>
        <v>0</v>
      </c>
      <c r="J6" s="13">
        <f>SUMIF(Mercado_Receita!$T$2:$T$379,"44440B1Energia horáriaResidencialResidencialNão se aplicaNão se aplicaIntermediário",Mercado_Receita!$N$2:$N$379)</f>
        <v>0</v>
      </c>
      <c r="K6" s="13">
        <f>SUMIF(Mercado_Receita!$T$2:$T$379,"44470B1Energia horáriaResidencialResidencialNão se aplicaNão se aplicaIntermediário",Mercado_Receita!$N$2:$N$379)</f>
        <v>0</v>
      </c>
      <c r="L6" s="13">
        <f>SUMIF(Mercado_Receita!$T$2:$T$379,"44501B1Energia horáriaResidencialResidencialNão se aplicaNão se aplicaIntermediário",Mercado_Receita!$N$2:$N$379)</f>
        <v>0</v>
      </c>
      <c r="M6" s="13">
        <f>SUMIF(Mercado_Receita!$T$2:$T$379,"44531B1Energia horáriaResidencialResidencialNão se aplicaNão se aplicaIntermediário",Mercado_Receita!$N$2:$N$379)</f>
        <v>0</v>
      </c>
      <c r="N6" s="13">
        <f>SUMIF(Mercado_Receita!$T$2:$T$379,"44562B1Energia horáriaResidencialResidencialNão se aplicaNão se aplicaIntermediário",Mercado_Receita!$N$2:$N$379)</f>
        <v>0</v>
      </c>
      <c r="O6" s="13">
        <f>SUMIF(Mercado_Receita!$T$2:$T$379,"44593B1Energia horáriaResidencialResidencialNão se aplicaNão se aplicaIntermediário",Mercado_Receita!$N$2:$N$379)</f>
        <v>0</v>
      </c>
      <c r="P6" s="13">
        <f>SUMIF(Mercado_Receita!$T$2:$T$379,"44621B1Energia horáriaResidencialResidencialNão se aplicaNão se aplicaIntermediário",Mercado_Receita!$N$2:$N$379)</f>
        <v>0</v>
      </c>
      <c r="Q6" s="13">
        <f>SUMIF(Mercado_Receita!$T$2:$T$379,"44652B1Energia horáriaResidencialResidencialNão se aplicaNão se aplicaIntermediário",Mercado_Receita!$N$2:$N$379)</f>
        <v>0</v>
      </c>
      <c r="R6" s="13">
        <f>SUMIF(Mercado_Receita!$T$2:$T$379,"44682B1Energia horáriaResidencialResidencialNão se aplicaNão se aplicaIntermediário",Mercado_Receita!$N$2:$N$379)</f>
        <v>0</v>
      </c>
      <c r="S6" s="13">
        <f>SUMIF(Mercado_Receita!$T$2:$T$379,"44713B1Energia horáriaResidencialResidencialNão se aplicaNão se aplicaIntermediário",Mercado_Receita!$N$2:$N$379)</f>
        <v>0</v>
      </c>
      <c r="T6" s="13">
        <f>SUMIF(Mercado_Receita!$T$2:$T$379,"44743B1Energia horáriaResidencialResidencialNão se aplicaNão se aplicaIntermediário",Mercado_Receita!$N$2:$N$379)</f>
        <v>0</v>
      </c>
      <c r="U6" s="13">
        <f t="shared" si="0"/>
        <v>0</v>
      </c>
      <c r="V6" s="13"/>
      <c r="W6" s="13"/>
    </row>
    <row r="7" spans="1:30" ht="11.25" customHeight="1" x14ac:dyDescent="0.25">
      <c r="A7" s="125"/>
      <c r="B7" s="125"/>
      <c r="C7" s="125"/>
      <c r="D7" s="125"/>
      <c r="E7" s="125"/>
      <c r="F7" s="125"/>
      <c r="G7" s="13" t="s">
        <v>70</v>
      </c>
      <c r="H7" s="13" t="s">
        <v>68</v>
      </c>
      <c r="I7" s="13">
        <f>SUMIF(Mercado_Receita!$T$2:$T$379,"44409B1Energia horáriaResidencialResidencialNão se aplicaNão se aplicaFora ponta",Mercado_Receita!$N$2:$N$379)</f>
        <v>0</v>
      </c>
      <c r="J7" s="13">
        <f>SUMIF(Mercado_Receita!$T$2:$T$379,"44440B1Energia horáriaResidencialResidencialNão se aplicaNão se aplicaFora ponta",Mercado_Receita!$N$2:$N$379)</f>
        <v>0</v>
      </c>
      <c r="K7" s="13">
        <f>SUMIF(Mercado_Receita!$T$2:$T$379,"44470B1Energia horáriaResidencialResidencialNão se aplicaNão se aplicaFora ponta",Mercado_Receita!$N$2:$N$379)</f>
        <v>0</v>
      </c>
      <c r="L7" s="13">
        <f>SUMIF(Mercado_Receita!$T$2:$T$379,"44501B1Energia horáriaResidencialResidencialNão se aplicaNão se aplicaFora ponta",Mercado_Receita!$N$2:$N$379)</f>
        <v>0</v>
      </c>
      <c r="M7" s="13">
        <f>SUMIF(Mercado_Receita!$T$2:$T$379,"44531B1Energia horáriaResidencialResidencialNão se aplicaNão se aplicaFora ponta",Mercado_Receita!$N$2:$N$379)</f>
        <v>0</v>
      </c>
      <c r="N7" s="13">
        <f>SUMIF(Mercado_Receita!$T$2:$T$379,"44562B1Energia horáriaResidencialResidencialNão se aplicaNão se aplicaFora ponta",Mercado_Receita!$N$2:$N$379)</f>
        <v>0</v>
      </c>
      <c r="O7" s="13">
        <f>SUMIF(Mercado_Receita!$T$2:$T$379,"44593B1Energia horáriaResidencialResidencialNão se aplicaNão se aplicaFora ponta",Mercado_Receita!$N$2:$N$379)</f>
        <v>0</v>
      </c>
      <c r="P7" s="13">
        <f>SUMIF(Mercado_Receita!$T$2:$T$379,"44621B1Energia horáriaResidencialResidencialNão se aplicaNão se aplicaFora ponta",Mercado_Receita!$N$2:$N$379)</f>
        <v>0</v>
      </c>
      <c r="Q7" s="13">
        <f>SUMIF(Mercado_Receita!$T$2:$T$379,"44652B1Energia horáriaResidencialResidencialNão se aplicaNão se aplicaFora ponta",Mercado_Receita!$N$2:$N$379)</f>
        <v>0</v>
      </c>
      <c r="R7" s="13">
        <f>SUMIF(Mercado_Receita!$T$2:$T$379,"44682B1Energia horáriaResidencialResidencialNão se aplicaNão se aplicaFora ponta",Mercado_Receita!$N$2:$N$379)</f>
        <v>0</v>
      </c>
      <c r="S7" s="13">
        <f>SUMIF(Mercado_Receita!$T$2:$T$379,"44713B1Energia horáriaResidencialResidencialNão se aplicaNão se aplicaFora ponta",Mercado_Receita!$N$2:$N$379)</f>
        <v>0</v>
      </c>
      <c r="T7" s="13">
        <f>SUMIF(Mercado_Receita!$T$2:$T$379,"44743B1Energia horáriaResidencialResidencialNão se aplicaNão se aplicaFora ponta",Mercado_Receita!$N$2:$N$379)</f>
        <v>0</v>
      </c>
      <c r="U7" s="13">
        <f t="shared" si="0"/>
        <v>0</v>
      </c>
      <c r="V7" s="13"/>
      <c r="W7" s="13"/>
    </row>
    <row r="8" spans="1:30" ht="11.25" customHeight="1" x14ac:dyDescent="0.25">
      <c r="A8" s="125"/>
      <c r="B8" s="124" t="s">
        <v>71</v>
      </c>
      <c r="C8" s="124" t="s">
        <v>24</v>
      </c>
      <c r="D8" s="12" t="s">
        <v>24</v>
      </c>
      <c r="E8" s="12" t="s">
        <v>25</v>
      </c>
      <c r="F8" s="12" t="s">
        <v>25</v>
      </c>
      <c r="G8" s="13" t="s">
        <v>72</v>
      </c>
      <c r="H8" s="13" t="s">
        <v>68</v>
      </c>
      <c r="I8" s="13">
        <f>SUMIF(Mercado_Receita!$T$2:$T$379,"44409B1Energia convencionalResidencialResidencialNão se aplicaNão se aplicaNão se aplica",Mercado_Receita!$N$2:$N$379)</f>
        <v>545.02800000000002</v>
      </c>
      <c r="J8" s="13">
        <f>SUMIF(Mercado_Receita!$T$2:$T$379,"44440B1Energia convencionalResidencialResidencialNão se aplicaNão se aplicaNão se aplica",Mercado_Receita!$N$2:$N$379)</f>
        <v>505.18699999999995</v>
      </c>
      <c r="K8" s="13">
        <f>SUMIF(Mercado_Receita!$T$2:$T$379,"44470B1Energia convencionalResidencialResidencialNão se aplicaNão se aplicaNão se aplica",Mercado_Receita!$N$2:$N$379)</f>
        <v>565.274</v>
      </c>
      <c r="L8" s="13">
        <f>SUMIF(Mercado_Receita!$T$2:$T$379,"44501B1Energia convencionalResidencialResidencialNão se aplicaNão se aplicaNão se aplica",Mercado_Receita!$N$2:$N$379)</f>
        <v>561.39800000000002</v>
      </c>
      <c r="M8" s="13">
        <f>SUMIF(Mercado_Receita!$T$2:$T$379,"44531B1Energia convencionalResidencialResidencialNão se aplicaNão se aplicaNão se aplica",Mercado_Receita!$N$2:$N$379)</f>
        <v>532.19000000000005</v>
      </c>
      <c r="N8" s="13">
        <f>SUMIF(Mercado_Receita!$T$2:$T$379,"44562B1Energia convencionalResidencialResidencialNão se aplicaNão se aplicaNão se aplica",Mercado_Receita!$N$2:$N$379)</f>
        <v>514.07400000000007</v>
      </c>
      <c r="O8" s="13">
        <f>SUMIF(Mercado_Receita!$T$2:$T$379,"44593B1Energia convencionalResidencialResidencialNão se aplicaNão se aplicaNão se aplica",Mercado_Receita!$N$2:$N$379)</f>
        <v>687.62099999999998</v>
      </c>
      <c r="P8" s="13">
        <f>SUMIF(Mercado_Receita!$T$2:$T$379,"44621B1Energia convencionalResidencialResidencialNão se aplicaNão se aplicaNão se aplica",Mercado_Receita!$N$2:$N$379)</f>
        <v>547.61400000000003</v>
      </c>
      <c r="Q8" s="13">
        <f>SUMIF(Mercado_Receita!$T$2:$T$379,"44652B1Energia convencionalResidencialResidencialNão se aplicaNão se aplicaNão se aplica",Mercado_Receita!$N$2:$N$379)</f>
        <v>593.69499999999994</v>
      </c>
      <c r="R8" s="13">
        <f>SUMIF(Mercado_Receita!$T$2:$T$379,"44682B1Energia convencionalResidencialResidencialNão se aplicaNão se aplicaNão se aplica",Mercado_Receita!$N$2:$N$379)</f>
        <v>527.87799999999993</v>
      </c>
      <c r="S8" s="13">
        <f>SUMIF(Mercado_Receita!$T$2:$T$379,"44713B1Energia convencionalResidencialResidencialNão se aplicaNão se aplicaNão se aplica",Mercado_Receita!$N$2:$N$379)</f>
        <v>509.25799999999998</v>
      </c>
      <c r="T8" s="13">
        <f>SUMIF(Mercado_Receita!$T$2:$T$379,"44743B1Energia convencionalResidencialResidencialNão se aplicaNão se aplicaNão se aplica",Mercado_Receita!$N$2:$N$379)</f>
        <v>580.80700000000002</v>
      </c>
      <c r="U8" s="13">
        <f t="shared" si="0"/>
        <v>6670.0239999999994</v>
      </c>
      <c r="V8" s="13"/>
      <c r="W8" s="13"/>
    </row>
    <row r="9" spans="1:30" ht="11.25" customHeight="1" x14ac:dyDescent="0.25">
      <c r="A9" s="125"/>
      <c r="B9" s="125"/>
      <c r="C9" s="125"/>
      <c r="D9" s="12" t="s">
        <v>28</v>
      </c>
      <c r="E9" s="12" t="s">
        <v>25</v>
      </c>
      <c r="F9" s="12" t="s">
        <v>25</v>
      </c>
      <c r="G9" s="13" t="s">
        <v>72</v>
      </c>
      <c r="H9" s="13" t="s">
        <v>68</v>
      </c>
      <c r="I9" s="13">
        <f>SUMIF(Mercado_Receita!$T$2:$T$379,"44409B1Energia convencionalResidencialResidencial baixa renda – faixa 01Não se aplicaNão se aplicaNão se aplica",Mercado_Receita!$N$2:$N$379)</f>
        <v>10.5</v>
      </c>
      <c r="J9" s="13">
        <f>SUMIF(Mercado_Receita!$T$2:$T$379,"44440B1Energia convencionalResidencialResidencial baixa renda – faixa 01Não se aplicaNão se aplicaNão se aplica",Mercado_Receita!$N$2:$N$379)</f>
        <v>10.35</v>
      </c>
      <c r="K9" s="13">
        <f>SUMIF(Mercado_Receita!$T$2:$T$379,"44470B1Energia convencionalResidencialResidencial baixa renda – faixa 01Não se aplicaNão se aplicaNão se aplica",Mercado_Receita!$N$2:$N$379)</f>
        <v>10.38</v>
      </c>
      <c r="L9" s="13">
        <f>SUMIF(Mercado_Receita!$T$2:$T$379,"44501B1Energia convencionalResidencialResidencial baixa renda – faixa 01Não se aplicaNão se aplicaNão se aplica",Mercado_Receita!$N$2:$N$379)</f>
        <v>10.59</v>
      </c>
      <c r="M9" s="13">
        <f>SUMIF(Mercado_Receita!$T$2:$T$379,"44531B1Energia convencionalResidencialResidencial baixa renda – faixa 01Não se aplicaNão se aplicaNão se aplica",Mercado_Receita!$N$2:$N$379)</f>
        <v>10.74</v>
      </c>
      <c r="N9" s="13">
        <f>SUMIF(Mercado_Receita!$T$2:$T$379,"44562B1Energia convencionalResidencialResidencial baixa renda – faixa 01Não se aplicaNão se aplicaNão se aplica",Mercado_Receita!$N$2:$N$379)</f>
        <v>10.8</v>
      </c>
      <c r="O9" s="13">
        <f>SUMIF(Mercado_Receita!$T$2:$T$379,"44593B1Energia convencionalResidencialResidencial baixa renda – faixa 01Não se aplicaNão se aplicaNão se aplica",Mercado_Receita!$N$2:$N$379)</f>
        <v>10.8</v>
      </c>
      <c r="P9" s="13">
        <f>SUMIF(Mercado_Receita!$T$2:$T$379,"44621B1Energia convencionalResidencialResidencial baixa renda – faixa 01Não se aplicaNão se aplicaNão se aplica",Mercado_Receita!$N$2:$N$379)</f>
        <v>10.92</v>
      </c>
      <c r="Q9" s="13">
        <f>SUMIF(Mercado_Receita!$T$2:$T$379,"44652B1Energia convencionalResidencialResidencial baixa renda – faixa 01Não se aplicaNão se aplicaNão se aplica",Mercado_Receita!$N$2:$N$379)</f>
        <v>11.13</v>
      </c>
      <c r="R9" s="13">
        <f>SUMIF(Mercado_Receita!$T$2:$T$379,"44682B1Energia convencionalResidencialResidencial baixa renda – faixa 01Não se aplicaNão se aplicaNão se aplica",Mercado_Receita!$N$2:$N$379)</f>
        <v>11.34</v>
      </c>
      <c r="S9" s="13">
        <f>SUMIF(Mercado_Receita!$T$2:$T$379,"44713B1Energia convencionalResidencialResidencial baixa renda – faixa 01Não se aplicaNão se aplicaNão se aplica",Mercado_Receita!$N$2:$N$379)</f>
        <v>9.99</v>
      </c>
      <c r="T9" s="13">
        <f>SUMIF(Mercado_Receita!$T$2:$T$379,"44743B1Energia convencionalResidencialResidencial baixa renda – faixa 01Não se aplicaNão se aplicaNão se aplica",Mercado_Receita!$N$2:$N$379)</f>
        <v>9.8699999999999992</v>
      </c>
      <c r="U9" s="13">
        <f t="shared" si="0"/>
        <v>127.41000000000001</v>
      </c>
      <c r="V9" s="13"/>
      <c r="W9" s="13"/>
    </row>
    <row r="10" spans="1:30" ht="11.25" customHeight="1" x14ac:dyDescent="0.25">
      <c r="A10" s="125"/>
      <c r="B10" s="125"/>
      <c r="C10" s="125"/>
      <c r="D10" s="12" t="s">
        <v>29</v>
      </c>
      <c r="E10" s="12" t="s">
        <v>25</v>
      </c>
      <c r="F10" s="12" t="s">
        <v>25</v>
      </c>
      <c r="G10" s="13" t="s">
        <v>72</v>
      </c>
      <c r="H10" s="13" t="s">
        <v>68</v>
      </c>
      <c r="I10" s="13">
        <f>SUMIF(Mercado_Receita!$T$2:$T$379,"44409B1Energia convencionalResidencialResidencial baixa renda – faixa 02Não se aplicaNão se aplicaNão se aplica",Mercado_Receita!$N$2:$N$379)</f>
        <v>21.623999999999999</v>
      </c>
      <c r="J10" s="13">
        <f>SUMIF(Mercado_Receita!$T$2:$T$379,"44440B1Energia convencionalResidencialResidencial baixa renda – faixa 02Não se aplicaNão se aplicaNão se aplica",Mercado_Receita!$N$2:$N$379)</f>
        <v>21.747</v>
      </c>
      <c r="K10" s="13">
        <f>SUMIF(Mercado_Receita!$T$2:$T$379,"44470B1Energia convencionalResidencialResidencial baixa renda – faixa 02Não se aplicaNão se aplicaNão se aplica",Mercado_Receita!$N$2:$N$379)</f>
        <v>22.292000000000002</v>
      </c>
      <c r="L10" s="13">
        <f>SUMIF(Mercado_Receita!$T$2:$T$379,"44501B1Energia convencionalResidencialResidencial baixa renda – faixa 02Não se aplicaNão se aplicaNão se aplica",Mercado_Receita!$N$2:$N$379)</f>
        <v>22.673999999999999</v>
      </c>
      <c r="M10" s="13">
        <f>SUMIF(Mercado_Receita!$T$2:$T$379,"44531B1Energia convencionalResidencialResidencial baixa renda – faixa 02Não se aplicaNão se aplicaNão se aplica",Mercado_Receita!$N$2:$N$379)</f>
        <v>23.405999999999999</v>
      </c>
      <c r="N10" s="13">
        <f>SUMIF(Mercado_Receita!$T$2:$T$379,"44562B1Energia convencionalResidencialResidencial baixa renda – faixa 02Não se aplicaNão se aplicaNão se aplica",Mercado_Receita!$N$2:$N$379)</f>
        <v>23.407</v>
      </c>
      <c r="O10" s="13">
        <f>SUMIF(Mercado_Receita!$T$2:$T$379,"44593B1Energia convencionalResidencialResidencial baixa renda – faixa 02Não se aplicaNão se aplicaNão se aplica",Mercado_Receita!$N$2:$N$379)</f>
        <v>24.22</v>
      </c>
      <c r="P10" s="13">
        <f>SUMIF(Mercado_Receita!$T$2:$T$379,"44621B1Energia convencionalResidencialResidencial baixa renda – faixa 02Não se aplicaNão se aplicaNão se aplica",Mercado_Receita!$N$2:$N$379)</f>
        <v>24.114000000000001</v>
      </c>
      <c r="Q10" s="13">
        <f>SUMIF(Mercado_Receita!$T$2:$T$379,"44652B1Energia convencionalResidencialResidencial baixa renda – faixa 02Não se aplicaNão se aplicaNão se aplica",Mercado_Receita!$N$2:$N$379)</f>
        <v>24.617999999999999</v>
      </c>
      <c r="R10" s="13">
        <f>SUMIF(Mercado_Receita!$T$2:$T$379,"44682B1Energia convencionalResidencialResidencial baixa renda – faixa 02Não se aplicaNão se aplicaNão se aplica",Mercado_Receita!$N$2:$N$379)</f>
        <v>24.742000000000001</v>
      </c>
      <c r="S10" s="13">
        <f>SUMIF(Mercado_Receita!$T$2:$T$379,"44713B1Energia convencionalResidencialResidencial baixa renda – faixa 02Não se aplicaNão se aplicaNão se aplica",Mercado_Receita!$N$2:$N$379)</f>
        <v>21.544</v>
      </c>
      <c r="T10" s="13">
        <f>SUMIF(Mercado_Receita!$T$2:$T$379,"44743B1Energia convencionalResidencialResidencial baixa renda – faixa 02Não se aplicaNão se aplicaNão se aplica",Mercado_Receita!$N$2:$N$379)</f>
        <v>21.042999999999999</v>
      </c>
      <c r="U10" s="13">
        <f t="shared" si="0"/>
        <v>275.43099999999998</v>
      </c>
      <c r="V10" s="13"/>
      <c r="W10" s="13"/>
    </row>
    <row r="11" spans="1:30" ht="11.25" customHeight="1" x14ac:dyDescent="0.25">
      <c r="A11" s="125"/>
      <c r="B11" s="125"/>
      <c r="C11" s="125"/>
      <c r="D11" s="12" t="s">
        <v>30</v>
      </c>
      <c r="E11" s="12" t="s">
        <v>25</v>
      </c>
      <c r="F11" s="12" t="s">
        <v>25</v>
      </c>
      <c r="G11" s="13" t="s">
        <v>72</v>
      </c>
      <c r="H11" s="13" t="s">
        <v>68</v>
      </c>
      <c r="I11" s="13">
        <f>SUMIF(Mercado_Receita!$T$2:$T$379,"44409B1Energia convencionalResidencialResidencial baixa renda – faixa 03Não se aplicaNão se aplicaNão se aplica",Mercado_Receita!$N$2:$N$379)</f>
        <v>23.725999999999999</v>
      </c>
      <c r="J11" s="13">
        <f>SUMIF(Mercado_Receita!$T$2:$T$379,"44440B1Energia convencionalResidencialResidencial baixa renda – faixa 03Não se aplicaNão se aplicaNão se aplica",Mercado_Receita!$N$2:$N$379)</f>
        <v>21.268999999999998</v>
      </c>
      <c r="K11" s="13">
        <f>SUMIF(Mercado_Receita!$T$2:$T$379,"44470B1Energia convencionalResidencialResidencial baixa renda – faixa 03Não se aplicaNão se aplicaNão se aplica",Mercado_Receita!$N$2:$N$379)</f>
        <v>26.408000000000001</v>
      </c>
      <c r="L11" s="13">
        <f>SUMIF(Mercado_Receita!$T$2:$T$379,"44501B1Energia convencionalResidencialResidencial baixa renda – faixa 03Não se aplicaNão se aplicaNão se aplica",Mercado_Receita!$N$2:$N$379)</f>
        <v>22.603999999999999</v>
      </c>
      <c r="M11" s="13">
        <f>SUMIF(Mercado_Receita!$T$2:$T$379,"44531B1Energia convencionalResidencialResidencial baixa renda – faixa 03Não se aplicaNão se aplicaNão se aplica",Mercado_Receita!$N$2:$N$379)</f>
        <v>25.882999999999999</v>
      </c>
      <c r="N11" s="13">
        <f>SUMIF(Mercado_Receita!$T$2:$T$379,"44562B1Energia convencionalResidencialResidencial baixa renda – faixa 03Não se aplicaNão se aplicaNão se aplica",Mercado_Receita!$N$2:$N$379)</f>
        <v>24.427</v>
      </c>
      <c r="O11" s="13">
        <f>SUMIF(Mercado_Receita!$T$2:$T$379,"44593B1Energia convencionalResidencialResidencial baixa renda – faixa 03Não se aplicaNão se aplicaNão se aplica",Mercado_Receita!$N$2:$N$379)</f>
        <v>31.364000000000001</v>
      </c>
      <c r="P11" s="13">
        <f>SUMIF(Mercado_Receita!$T$2:$T$379,"44621B1Energia convencionalResidencialResidencial baixa renda – faixa 03Não se aplicaNão se aplicaNão se aplica",Mercado_Receita!$N$2:$N$379)</f>
        <v>26.513999999999999</v>
      </c>
      <c r="Q11" s="13">
        <f>SUMIF(Mercado_Receita!$T$2:$T$379,"44652B1Energia convencionalResidencialResidencial baixa renda – faixa 03Não se aplicaNão se aplicaNão se aplica",Mercado_Receita!$N$2:$N$379)</f>
        <v>29.779</v>
      </c>
      <c r="R11" s="13">
        <f>SUMIF(Mercado_Receita!$T$2:$T$379,"44682B1Energia convencionalResidencialResidencial baixa renda – faixa 03Não se aplicaNão se aplicaNão se aplica",Mercado_Receita!$N$2:$N$379)</f>
        <v>28.013000000000002</v>
      </c>
      <c r="S11" s="13">
        <f>SUMIF(Mercado_Receita!$T$2:$T$379,"44713B1Energia convencionalResidencialResidencial baixa renda – faixa 03Não se aplicaNão se aplicaNão se aplica",Mercado_Receita!$N$2:$N$379)</f>
        <v>22.375</v>
      </c>
      <c r="T11" s="13">
        <f>SUMIF(Mercado_Receita!$T$2:$T$379,"44743B1Energia convencionalResidencialResidencial baixa renda – faixa 03Não se aplicaNão se aplicaNão se aplica",Mercado_Receita!$N$2:$N$379)</f>
        <v>22.675000000000001</v>
      </c>
      <c r="U11" s="13">
        <f t="shared" si="0"/>
        <v>305.03699999999998</v>
      </c>
      <c r="V11" s="13"/>
      <c r="W11" s="13"/>
    </row>
    <row r="12" spans="1:30" ht="11.25" customHeight="1" x14ac:dyDescent="0.25">
      <c r="A12" s="125"/>
      <c r="B12" s="125"/>
      <c r="C12" s="125"/>
      <c r="D12" s="12" t="s">
        <v>31</v>
      </c>
      <c r="E12" s="12" t="s">
        <v>25</v>
      </c>
      <c r="F12" s="12" t="s">
        <v>25</v>
      </c>
      <c r="G12" s="13" t="s">
        <v>72</v>
      </c>
      <c r="H12" s="13" t="s">
        <v>68</v>
      </c>
      <c r="I12" s="13">
        <f>SUMIF(Mercado_Receita!$T$2:$T$379,"44409B1Energia convencionalResidencialResidencial baixa renda – faixa 04Não se aplicaNão se aplicaNão se aplica",Mercado_Receita!$N$2:$N$379)</f>
        <v>7.9669999999999996</v>
      </c>
      <c r="J12" s="13">
        <f>SUMIF(Mercado_Receita!$T$2:$T$379,"44440B1Energia convencionalResidencialResidencial baixa renda – faixa 04Não se aplicaNão se aplicaNão se aplica",Mercado_Receita!$N$2:$N$379)</f>
        <v>5.3879999999999999</v>
      </c>
      <c r="K12" s="13">
        <f>SUMIF(Mercado_Receita!$T$2:$T$379,"44470B1Energia convencionalResidencialResidencial baixa renda – faixa 04Não se aplicaNão se aplicaNão se aplica",Mercado_Receita!$N$2:$N$379)</f>
        <v>9.2989999999999995</v>
      </c>
      <c r="L12" s="13">
        <f>SUMIF(Mercado_Receita!$T$2:$T$379,"44501B1Energia convencionalResidencialResidencial baixa renda – faixa 04Não se aplicaNão se aplicaNão se aplica",Mercado_Receita!$N$2:$N$379)</f>
        <v>5.3890000000000002</v>
      </c>
      <c r="M12" s="13">
        <f>SUMIF(Mercado_Receita!$T$2:$T$379,"44531B1Energia convencionalResidencialResidencial baixa renda – faixa 04Não se aplicaNão se aplicaNão se aplica",Mercado_Receita!$N$2:$N$379)</f>
        <v>8.0939999999999994</v>
      </c>
      <c r="N12" s="13">
        <f>SUMIF(Mercado_Receita!$T$2:$T$379,"44562B1Energia convencionalResidencialResidencial baixa renda – faixa 04Não se aplicaNão se aplicaNão se aplica",Mercado_Receita!$N$2:$N$379)</f>
        <v>6.9139999999999997</v>
      </c>
      <c r="O12" s="13">
        <f>SUMIF(Mercado_Receita!$T$2:$T$379,"44593B1Energia convencionalResidencialResidencial baixa renda – faixa 04Não se aplicaNão se aplicaNão se aplica",Mercado_Receita!$N$2:$N$379)</f>
        <v>18.236999999999998</v>
      </c>
      <c r="P12" s="13">
        <f>SUMIF(Mercado_Receita!$T$2:$T$379,"44621B1Energia convencionalResidencialResidencial baixa renda – faixa 04Não se aplicaNão se aplicaNão se aplica",Mercado_Receita!$N$2:$N$379)</f>
        <v>9.5129999999999999</v>
      </c>
      <c r="Q12" s="13">
        <f>SUMIF(Mercado_Receita!$T$2:$T$379,"44652B1Energia convencionalResidencialResidencial baixa renda – faixa 04Não se aplicaNão se aplicaNão se aplica",Mercado_Receita!$N$2:$N$379)</f>
        <v>13.606999999999999</v>
      </c>
      <c r="R12" s="13">
        <f>SUMIF(Mercado_Receita!$T$2:$T$379,"44682B1Energia convencionalResidencialResidencial baixa renda – faixa 04Não se aplicaNão se aplicaNão se aplica",Mercado_Receita!$N$2:$N$379)</f>
        <v>8.8539999999999992</v>
      </c>
      <c r="S12" s="13">
        <f>SUMIF(Mercado_Receita!$T$2:$T$379,"44713B1Energia convencionalResidencialResidencial baixa renda – faixa 04Não se aplicaNão se aplicaNão se aplica",Mercado_Receita!$N$2:$N$379)</f>
        <v>5.9820000000000002</v>
      </c>
      <c r="T12" s="13">
        <f>SUMIF(Mercado_Receita!$T$2:$T$379,"44743B1Energia convencionalResidencialResidencial baixa renda – faixa 04Não se aplicaNão se aplicaNão se aplica",Mercado_Receita!$N$2:$N$379)</f>
        <v>10.238</v>
      </c>
      <c r="U12" s="13">
        <f t="shared" si="0"/>
        <v>109.482</v>
      </c>
      <c r="V12" s="13"/>
      <c r="W12" s="13"/>
    </row>
    <row r="13" spans="1:30" ht="11.25" customHeight="1" x14ac:dyDescent="0.25">
      <c r="A13" s="125"/>
      <c r="B13" s="124" t="s">
        <v>83</v>
      </c>
      <c r="C13" s="124" t="s">
        <v>24</v>
      </c>
      <c r="D13" s="12" t="s">
        <v>24</v>
      </c>
      <c r="E13" s="12" t="s">
        <v>25</v>
      </c>
      <c r="F13" s="12" t="s">
        <v>25</v>
      </c>
      <c r="G13" s="13" t="s">
        <v>72</v>
      </c>
      <c r="H13" s="13" t="s">
        <v>68</v>
      </c>
      <c r="I13" s="13">
        <f>SUMIF(Mercado_Receita!$T$2:$T$379,"44409B1Energia convencional pré-pagamentoResidencialResidencialNão se aplicaNão se aplicaNão se aplica",Mercado_Receita!$N$2:$N$379)</f>
        <v>0</v>
      </c>
      <c r="J13" s="13">
        <f>SUMIF(Mercado_Receita!$T$2:$T$379,"44440B1Energia convencional pré-pagamentoResidencialResidencialNão se aplicaNão se aplicaNão se aplica",Mercado_Receita!$N$2:$N$379)</f>
        <v>0</v>
      </c>
      <c r="K13" s="13">
        <f>SUMIF(Mercado_Receita!$T$2:$T$379,"44470B1Energia convencional pré-pagamentoResidencialResidencialNão se aplicaNão se aplicaNão se aplica",Mercado_Receita!$N$2:$N$379)</f>
        <v>0</v>
      </c>
      <c r="L13" s="13">
        <f>SUMIF(Mercado_Receita!$T$2:$T$379,"44501B1Energia convencional pré-pagamentoResidencialResidencialNão se aplicaNão se aplicaNão se aplica",Mercado_Receita!$N$2:$N$379)</f>
        <v>0</v>
      </c>
      <c r="M13" s="13">
        <f>SUMIF(Mercado_Receita!$T$2:$T$379,"44531B1Energia convencional pré-pagamentoResidencialResidencialNão se aplicaNão se aplicaNão se aplica",Mercado_Receita!$N$2:$N$379)</f>
        <v>0</v>
      </c>
      <c r="N13" s="13">
        <f>SUMIF(Mercado_Receita!$T$2:$T$379,"44562B1Energia convencional pré-pagamentoResidencialResidencialNão se aplicaNão se aplicaNão se aplica",Mercado_Receita!$N$2:$N$379)</f>
        <v>0</v>
      </c>
      <c r="O13" s="13">
        <f>SUMIF(Mercado_Receita!$T$2:$T$379,"44593B1Energia convencional pré-pagamentoResidencialResidencialNão se aplicaNão se aplicaNão se aplica",Mercado_Receita!$N$2:$N$379)</f>
        <v>0</v>
      </c>
      <c r="P13" s="13">
        <f>SUMIF(Mercado_Receita!$T$2:$T$379,"44621B1Energia convencional pré-pagamentoResidencialResidencialNão se aplicaNão se aplicaNão se aplica",Mercado_Receita!$N$2:$N$379)</f>
        <v>0</v>
      </c>
      <c r="Q13" s="13">
        <f>SUMIF(Mercado_Receita!$T$2:$T$379,"44652B1Energia convencional pré-pagamentoResidencialResidencialNão se aplicaNão se aplicaNão se aplica",Mercado_Receita!$N$2:$N$379)</f>
        <v>0</v>
      </c>
      <c r="R13" s="13">
        <f>SUMIF(Mercado_Receita!$T$2:$T$379,"44682B1Energia convencional pré-pagamentoResidencialResidencialNão se aplicaNão se aplicaNão se aplica",Mercado_Receita!$N$2:$N$379)</f>
        <v>0</v>
      </c>
      <c r="S13" s="13">
        <f>SUMIF(Mercado_Receita!$T$2:$T$379,"44713B1Energia convencional pré-pagamentoResidencialResidencialNão se aplicaNão se aplicaNão se aplica",Mercado_Receita!$N$2:$N$379)</f>
        <v>0</v>
      </c>
      <c r="T13" s="13">
        <f>SUMIF(Mercado_Receita!$T$2:$T$379,"44743B1Energia convencional pré-pagamentoResidencialResidencialNão se aplicaNão se aplicaNão se aplica",Mercado_Receita!$N$2:$N$379)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125"/>
      <c r="B14" s="125"/>
      <c r="C14" s="125"/>
      <c r="D14" s="12" t="s">
        <v>28</v>
      </c>
      <c r="E14" s="12" t="s">
        <v>25</v>
      </c>
      <c r="F14" s="12" t="s">
        <v>25</v>
      </c>
      <c r="G14" s="13" t="s">
        <v>72</v>
      </c>
      <c r="H14" s="13" t="s">
        <v>68</v>
      </c>
      <c r="I14" s="13">
        <f>SUMIF(Mercado_Receita!$T$2:$T$379,"44409B1Energia convencional pré-pagamentoResidencialResidencial baixa renda – faixa 01Não se aplicaNão se aplicaNão se aplica",Mercado_Receita!$N$2:$N$379)</f>
        <v>0</v>
      </c>
      <c r="J14" s="13">
        <f>SUMIF(Mercado_Receita!$T$2:$T$379,"44440B1Energia convencional pré-pagamentoResidencialResidencial baixa renda – faixa 01Não se aplicaNão se aplicaNão se aplica",Mercado_Receita!$N$2:$N$379)</f>
        <v>0</v>
      </c>
      <c r="K14" s="13">
        <f>SUMIF(Mercado_Receita!$T$2:$T$379,"44470B1Energia convencional pré-pagamentoResidencialResidencial baixa renda – faixa 01Não se aplicaNão se aplicaNão se aplica",Mercado_Receita!$N$2:$N$379)</f>
        <v>0</v>
      </c>
      <c r="L14" s="13">
        <f>SUMIF(Mercado_Receita!$T$2:$T$379,"44501B1Energia convencional pré-pagamentoResidencialResidencial baixa renda – faixa 01Não se aplicaNão se aplicaNão se aplica",Mercado_Receita!$N$2:$N$379)</f>
        <v>0</v>
      </c>
      <c r="M14" s="13">
        <f>SUMIF(Mercado_Receita!$T$2:$T$379,"44531B1Energia convencional pré-pagamentoResidencialResidencial baixa renda – faixa 01Não se aplicaNão se aplicaNão se aplica",Mercado_Receita!$N$2:$N$379)</f>
        <v>0</v>
      </c>
      <c r="N14" s="13">
        <f>SUMIF(Mercado_Receita!$T$2:$T$379,"44562B1Energia convencional pré-pagamentoResidencialResidencial baixa renda – faixa 01Não se aplicaNão se aplicaNão se aplica",Mercado_Receita!$N$2:$N$379)</f>
        <v>0</v>
      </c>
      <c r="O14" s="13">
        <f>SUMIF(Mercado_Receita!$T$2:$T$379,"44593B1Energia convencional pré-pagamentoResidencialResidencial baixa renda – faixa 01Não se aplicaNão se aplicaNão se aplica",Mercado_Receita!$N$2:$N$379)</f>
        <v>0</v>
      </c>
      <c r="P14" s="13">
        <f>SUMIF(Mercado_Receita!$T$2:$T$379,"44621B1Energia convencional pré-pagamentoResidencialResidencial baixa renda – faixa 01Não se aplicaNão se aplicaNão se aplica",Mercado_Receita!$N$2:$N$379)</f>
        <v>0</v>
      </c>
      <c r="Q14" s="13">
        <f>SUMIF(Mercado_Receita!$T$2:$T$379,"44652B1Energia convencional pré-pagamentoResidencialResidencial baixa renda – faixa 01Não se aplicaNão se aplicaNão se aplica",Mercado_Receita!$N$2:$N$379)</f>
        <v>0</v>
      </c>
      <c r="R14" s="13">
        <f>SUMIF(Mercado_Receita!$T$2:$T$379,"44682B1Energia convencional pré-pagamentoResidencialResidencial baixa renda – faixa 01Não se aplicaNão se aplicaNão se aplica",Mercado_Receita!$N$2:$N$379)</f>
        <v>0</v>
      </c>
      <c r="S14" s="13">
        <f>SUMIF(Mercado_Receita!$T$2:$T$379,"44713B1Energia convencional pré-pagamentoResidencialResidencial baixa renda – faixa 01Não se aplicaNão se aplicaNão se aplica",Mercado_Receita!$N$2:$N$379)</f>
        <v>0</v>
      </c>
      <c r="T14" s="13">
        <f>SUMIF(Mercado_Receita!$T$2:$T$379,"44743B1Energia convencional pré-pagamentoResidencialResidencial baixa renda – faixa 01Não se aplicaNão se aplicaNão se aplica",Mercado_Receita!$N$2:$N$379)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125"/>
      <c r="B15" s="125"/>
      <c r="C15" s="125"/>
      <c r="D15" s="12" t="s">
        <v>29</v>
      </c>
      <c r="E15" s="12" t="s">
        <v>25</v>
      </c>
      <c r="F15" s="12" t="s">
        <v>25</v>
      </c>
      <c r="G15" s="13" t="s">
        <v>72</v>
      </c>
      <c r="H15" s="13" t="s">
        <v>68</v>
      </c>
      <c r="I15" s="13">
        <f>SUMIF(Mercado_Receita!$T$2:$T$379,"44409B1Energia convencional pré-pagamentoResidencialResidencial baixa renda – faixa 02Não se aplicaNão se aplicaNão se aplica",Mercado_Receita!$N$2:$N$379)</f>
        <v>0</v>
      </c>
      <c r="J15" s="13">
        <f>SUMIF(Mercado_Receita!$T$2:$T$379,"44440B1Energia convencional pré-pagamentoResidencialResidencial baixa renda – faixa 02Não se aplicaNão se aplicaNão se aplica",Mercado_Receita!$N$2:$N$379)</f>
        <v>0</v>
      </c>
      <c r="K15" s="13">
        <f>SUMIF(Mercado_Receita!$T$2:$T$379,"44470B1Energia convencional pré-pagamentoResidencialResidencial baixa renda – faixa 02Não se aplicaNão se aplicaNão se aplica",Mercado_Receita!$N$2:$N$379)</f>
        <v>0</v>
      </c>
      <c r="L15" s="13">
        <f>SUMIF(Mercado_Receita!$T$2:$T$379,"44501B1Energia convencional pré-pagamentoResidencialResidencial baixa renda – faixa 02Não se aplicaNão se aplicaNão se aplica",Mercado_Receita!$N$2:$N$379)</f>
        <v>0</v>
      </c>
      <c r="M15" s="13">
        <f>SUMIF(Mercado_Receita!$T$2:$T$379,"44531B1Energia convencional pré-pagamentoResidencialResidencial baixa renda – faixa 02Não se aplicaNão se aplicaNão se aplica",Mercado_Receita!$N$2:$N$379)</f>
        <v>0</v>
      </c>
      <c r="N15" s="13">
        <f>SUMIF(Mercado_Receita!$T$2:$T$379,"44562B1Energia convencional pré-pagamentoResidencialResidencial baixa renda – faixa 02Não se aplicaNão se aplicaNão se aplica",Mercado_Receita!$N$2:$N$379)</f>
        <v>0</v>
      </c>
      <c r="O15" s="13">
        <f>SUMIF(Mercado_Receita!$T$2:$T$379,"44593B1Energia convencional pré-pagamentoResidencialResidencial baixa renda – faixa 02Não se aplicaNão se aplicaNão se aplica",Mercado_Receita!$N$2:$N$379)</f>
        <v>0</v>
      </c>
      <c r="P15" s="13">
        <f>SUMIF(Mercado_Receita!$T$2:$T$379,"44621B1Energia convencional pré-pagamentoResidencialResidencial baixa renda – faixa 02Não se aplicaNão se aplicaNão se aplica",Mercado_Receita!$N$2:$N$379)</f>
        <v>0</v>
      </c>
      <c r="Q15" s="13">
        <f>SUMIF(Mercado_Receita!$T$2:$T$379,"44652B1Energia convencional pré-pagamentoResidencialResidencial baixa renda – faixa 02Não se aplicaNão se aplicaNão se aplica",Mercado_Receita!$N$2:$N$379)</f>
        <v>0</v>
      </c>
      <c r="R15" s="13">
        <f>SUMIF(Mercado_Receita!$T$2:$T$379,"44682B1Energia convencional pré-pagamentoResidencialResidencial baixa renda – faixa 02Não se aplicaNão se aplicaNão se aplica",Mercado_Receita!$N$2:$N$379)</f>
        <v>0</v>
      </c>
      <c r="S15" s="13">
        <f>SUMIF(Mercado_Receita!$T$2:$T$379,"44713B1Energia convencional pré-pagamentoResidencialResidencial baixa renda – faixa 02Não se aplicaNão se aplicaNão se aplica",Mercado_Receita!$N$2:$N$379)</f>
        <v>0</v>
      </c>
      <c r="T15" s="13">
        <f>SUMIF(Mercado_Receita!$T$2:$T$379,"44743B1Energia convencional pré-pagamentoResidencialResidencial baixa renda – faixa 02Não se aplicaNão se aplicaNão se aplica",Mercado_Receita!$N$2:$N$379)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125"/>
      <c r="B16" s="125"/>
      <c r="C16" s="125"/>
      <c r="D16" s="12" t="s">
        <v>30</v>
      </c>
      <c r="E16" s="12" t="s">
        <v>25</v>
      </c>
      <c r="F16" s="12" t="s">
        <v>25</v>
      </c>
      <c r="G16" s="13" t="s">
        <v>72</v>
      </c>
      <c r="H16" s="13" t="s">
        <v>68</v>
      </c>
      <c r="I16" s="13">
        <f>SUMIF(Mercado_Receita!$T$2:$T$379,"44409B1Energia convencional pré-pagamentoResidencialResidencial baixa renda – faixa 03Não se aplicaNão se aplicaNão se aplica",Mercado_Receita!$N$2:$N$379)</f>
        <v>0</v>
      </c>
      <c r="J16" s="13">
        <f>SUMIF(Mercado_Receita!$T$2:$T$379,"44440B1Energia convencional pré-pagamentoResidencialResidencial baixa renda – faixa 03Não se aplicaNão se aplicaNão se aplica",Mercado_Receita!$N$2:$N$379)</f>
        <v>0</v>
      </c>
      <c r="K16" s="13">
        <f>SUMIF(Mercado_Receita!$T$2:$T$379,"44470B1Energia convencional pré-pagamentoResidencialResidencial baixa renda – faixa 03Não se aplicaNão se aplicaNão se aplica",Mercado_Receita!$N$2:$N$379)</f>
        <v>0</v>
      </c>
      <c r="L16" s="13">
        <f>SUMIF(Mercado_Receita!$T$2:$T$379,"44501B1Energia convencional pré-pagamentoResidencialResidencial baixa renda – faixa 03Não se aplicaNão se aplicaNão se aplica",Mercado_Receita!$N$2:$N$379)</f>
        <v>0</v>
      </c>
      <c r="M16" s="13">
        <f>SUMIF(Mercado_Receita!$T$2:$T$379,"44531B1Energia convencional pré-pagamentoResidencialResidencial baixa renda – faixa 03Não se aplicaNão se aplicaNão se aplica",Mercado_Receita!$N$2:$N$379)</f>
        <v>0</v>
      </c>
      <c r="N16" s="13">
        <f>SUMIF(Mercado_Receita!$T$2:$T$379,"44562B1Energia convencional pré-pagamentoResidencialResidencial baixa renda – faixa 03Não se aplicaNão se aplicaNão se aplica",Mercado_Receita!$N$2:$N$379)</f>
        <v>0</v>
      </c>
      <c r="O16" s="13">
        <f>SUMIF(Mercado_Receita!$T$2:$T$379,"44593B1Energia convencional pré-pagamentoResidencialResidencial baixa renda – faixa 03Não se aplicaNão se aplicaNão se aplica",Mercado_Receita!$N$2:$N$379)</f>
        <v>0</v>
      </c>
      <c r="P16" s="13">
        <f>SUMIF(Mercado_Receita!$T$2:$T$379,"44621B1Energia convencional pré-pagamentoResidencialResidencial baixa renda – faixa 03Não se aplicaNão se aplicaNão se aplica",Mercado_Receita!$N$2:$N$379)</f>
        <v>0</v>
      </c>
      <c r="Q16" s="13">
        <f>SUMIF(Mercado_Receita!$T$2:$T$379,"44652B1Energia convencional pré-pagamentoResidencialResidencial baixa renda – faixa 03Não se aplicaNão se aplicaNão se aplica",Mercado_Receita!$N$2:$N$379)</f>
        <v>0</v>
      </c>
      <c r="R16" s="13">
        <f>SUMIF(Mercado_Receita!$T$2:$T$379,"44682B1Energia convencional pré-pagamentoResidencialResidencial baixa renda – faixa 03Não se aplicaNão se aplicaNão se aplica",Mercado_Receita!$N$2:$N$379)</f>
        <v>0</v>
      </c>
      <c r="S16" s="13">
        <f>SUMIF(Mercado_Receita!$T$2:$T$379,"44713B1Energia convencional pré-pagamentoResidencialResidencial baixa renda – faixa 03Não se aplicaNão se aplicaNão se aplica",Mercado_Receita!$N$2:$N$379)</f>
        <v>0</v>
      </c>
      <c r="T16" s="13">
        <f>SUMIF(Mercado_Receita!$T$2:$T$379,"44743B1Energia convencional pré-pagamentoResidencialResidencial baixa renda – faixa 03Não se aplicaNão se aplicaNão se aplica",Mercado_Receita!$N$2:$N$379)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125"/>
      <c r="B17" s="125"/>
      <c r="C17" s="125"/>
      <c r="D17" s="12" t="s">
        <v>31</v>
      </c>
      <c r="E17" s="12" t="s">
        <v>25</v>
      </c>
      <c r="F17" s="12" t="s">
        <v>25</v>
      </c>
      <c r="G17" s="13" t="s">
        <v>72</v>
      </c>
      <c r="H17" s="13" t="s">
        <v>68</v>
      </c>
      <c r="I17" s="13">
        <f>SUMIF(Mercado_Receita!$T$2:$T$379,"44409B1Energia convencional pré-pagamentoResidencialResidencial baixa renda – faixa 04Não se aplicaNão se aplicaNão se aplica",Mercado_Receita!$N$2:$N$379)</f>
        <v>0</v>
      </c>
      <c r="J17" s="13">
        <f>SUMIF(Mercado_Receita!$T$2:$T$379,"44440B1Energia convencional pré-pagamentoResidencialResidencial baixa renda – faixa 04Não se aplicaNão se aplicaNão se aplica",Mercado_Receita!$N$2:$N$379)</f>
        <v>0</v>
      </c>
      <c r="K17" s="13">
        <f>SUMIF(Mercado_Receita!$T$2:$T$379,"44470B1Energia convencional pré-pagamentoResidencialResidencial baixa renda – faixa 04Não se aplicaNão se aplicaNão se aplica",Mercado_Receita!$N$2:$N$379)</f>
        <v>0</v>
      </c>
      <c r="L17" s="13">
        <f>SUMIF(Mercado_Receita!$T$2:$T$379,"44501B1Energia convencional pré-pagamentoResidencialResidencial baixa renda – faixa 04Não se aplicaNão se aplicaNão se aplica",Mercado_Receita!$N$2:$N$379)</f>
        <v>0</v>
      </c>
      <c r="M17" s="13">
        <f>SUMIF(Mercado_Receita!$T$2:$T$379,"44531B1Energia convencional pré-pagamentoResidencialResidencial baixa renda – faixa 04Não se aplicaNão se aplicaNão se aplica",Mercado_Receita!$N$2:$N$379)</f>
        <v>0</v>
      </c>
      <c r="N17" s="13">
        <f>SUMIF(Mercado_Receita!$T$2:$T$379,"44562B1Energia convencional pré-pagamentoResidencialResidencial baixa renda – faixa 04Não se aplicaNão se aplicaNão se aplica",Mercado_Receita!$N$2:$N$379)</f>
        <v>0</v>
      </c>
      <c r="O17" s="13">
        <f>SUMIF(Mercado_Receita!$T$2:$T$379,"44593B1Energia convencional pré-pagamentoResidencialResidencial baixa renda – faixa 04Não se aplicaNão se aplicaNão se aplica",Mercado_Receita!$N$2:$N$379)</f>
        <v>0</v>
      </c>
      <c r="P17" s="13">
        <f>SUMIF(Mercado_Receita!$T$2:$T$379,"44621B1Energia convencional pré-pagamentoResidencialResidencial baixa renda – faixa 04Não se aplicaNão se aplicaNão se aplica",Mercado_Receita!$N$2:$N$379)</f>
        <v>0</v>
      </c>
      <c r="Q17" s="13">
        <f>SUMIF(Mercado_Receita!$T$2:$T$379,"44652B1Energia convencional pré-pagamentoResidencialResidencial baixa renda – faixa 04Não se aplicaNão se aplicaNão se aplica",Mercado_Receita!$N$2:$N$379)</f>
        <v>0</v>
      </c>
      <c r="R17" s="13">
        <f>SUMIF(Mercado_Receita!$T$2:$T$379,"44682B1Energia convencional pré-pagamentoResidencialResidencial baixa renda – faixa 04Não se aplicaNão se aplicaNão se aplica",Mercado_Receita!$N$2:$N$379)</f>
        <v>0</v>
      </c>
      <c r="S17" s="13">
        <f>SUMIF(Mercado_Receita!$T$2:$T$379,"44713B1Energia convencional pré-pagamentoResidencialResidencial baixa renda – faixa 04Não se aplicaNão se aplicaNão se aplica",Mercado_Receita!$N$2:$N$379)</f>
        <v>0</v>
      </c>
      <c r="T17" s="13">
        <f>SUMIF(Mercado_Receita!$T$2:$T$379,"44743B1Energia convencional pré-pagamentoResidencialResidencial baixa renda – faixa 04Não se aplicaNão se aplicaNão se aplica",Mercado_Receita!$N$2:$N$379)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124" t="s">
        <v>41</v>
      </c>
      <c r="B18" s="124" t="s">
        <v>67</v>
      </c>
      <c r="C18" s="124" t="s">
        <v>42</v>
      </c>
      <c r="D18" s="124" t="s">
        <v>25</v>
      </c>
      <c r="E18" s="124" t="s">
        <v>25</v>
      </c>
      <c r="F18" s="124" t="s">
        <v>25</v>
      </c>
      <c r="G18" s="13" t="s">
        <v>69</v>
      </c>
      <c r="H18" s="13" t="s">
        <v>68</v>
      </c>
      <c r="I18" s="13">
        <f>SUMIF(Mercado_Receita!$T$2:$T$379,"44409B2Energia horáriaRuralNão se aplicaNão se aplicaNão se aplicaPonta",Mercado_Receita!$N$2:$N$379)</f>
        <v>0</v>
      </c>
      <c r="J18" s="13">
        <f>SUMIF(Mercado_Receita!$T$2:$T$379,"44440B2Energia horáriaRuralNão se aplicaNão se aplicaNão se aplicaPonta",Mercado_Receita!$N$2:$N$379)</f>
        <v>0</v>
      </c>
      <c r="K18" s="13">
        <f>SUMIF(Mercado_Receita!$T$2:$T$379,"44470B2Energia horáriaRuralNão se aplicaNão se aplicaNão se aplicaPonta",Mercado_Receita!$N$2:$N$379)</f>
        <v>0</v>
      </c>
      <c r="L18" s="13">
        <f>SUMIF(Mercado_Receita!$T$2:$T$379,"44501B2Energia horáriaRuralNão se aplicaNão se aplicaNão se aplicaPonta",Mercado_Receita!$N$2:$N$379)</f>
        <v>0</v>
      </c>
      <c r="M18" s="13">
        <f>SUMIF(Mercado_Receita!$T$2:$T$379,"44531B2Energia horáriaRuralNão se aplicaNão se aplicaNão se aplicaPonta",Mercado_Receita!$N$2:$N$379)</f>
        <v>0</v>
      </c>
      <c r="N18" s="13">
        <f>SUMIF(Mercado_Receita!$T$2:$T$379,"44562B2Energia horáriaRuralNão se aplicaNão se aplicaNão se aplicaPonta",Mercado_Receita!$N$2:$N$379)</f>
        <v>0</v>
      </c>
      <c r="O18" s="13">
        <f>SUMIF(Mercado_Receita!$T$2:$T$379,"44593B2Energia horáriaRuralNão se aplicaNão se aplicaNão se aplicaPonta",Mercado_Receita!$N$2:$N$379)</f>
        <v>0</v>
      </c>
      <c r="P18" s="13">
        <f>SUMIF(Mercado_Receita!$T$2:$T$379,"44621B2Energia horáriaRuralNão se aplicaNão se aplicaNão se aplicaPonta",Mercado_Receita!$N$2:$N$379)</f>
        <v>0</v>
      </c>
      <c r="Q18" s="13">
        <f>SUMIF(Mercado_Receita!$T$2:$T$379,"44652B2Energia horáriaRuralNão se aplicaNão se aplicaNão se aplicaPonta",Mercado_Receita!$N$2:$N$379)</f>
        <v>0</v>
      </c>
      <c r="R18" s="13">
        <f>SUMIF(Mercado_Receita!$T$2:$T$379,"44682B2Energia horáriaRuralNão se aplicaNão se aplicaNão se aplicaPonta",Mercado_Receita!$N$2:$N$379)</f>
        <v>0</v>
      </c>
      <c r="S18" s="13">
        <f>SUMIF(Mercado_Receita!$T$2:$T$379,"44713B2Energia horáriaRuralNão se aplicaNão se aplicaNão se aplicaPonta",Mercado_Receita!$N$2:$N$379)</f>
        <v>0</v>
      </c>
      <c r="T18" s="13">
        <f>SUMIF(Mercado_Receita!$T$2:$T$379,"44743B2Energia horáriaRuralNão se aplicaNão se aplicaNão se aplicaPonta",Mercado_Receita!$N$2:$N$379)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125"/>
      <c r="B19" s="125"/>
      <c r="C19" s="125"/>
      <c r="D19" s="125"/>
      <c r="E19" s="125"/>
      <c r="F19" s="125"/>
      <c r="G19" s="13" t="s">
        <v>82</v>
      </c>
      <c r="H19" s="13" t="s">
        <v>68</v>
      </c>
      <c r="I19" s="13">
        <f>SUMIF(Mercado_Receita!$T$2:$T$379,"44409B2Energia horáriaRuralNão se aplicaNão se aplicaNão se aplicaIntermediário",Mercado_Receita!$N$2:$N$379)</f>
        <v>0</v>
      </c>
      <c r="J19" s="13">
        <f>SUMIF(Mercado_Receita!$T$2:$T$379,"44440B2Energia horáriaRuralNão se aplicaNão se aplicaNão se aplicaIntermediário",Mercado_Receita!$N$2:$N$379)</f>
        <v>0</v>
      </c>
      <c r="K19" s="13">
        <f>SUMIF(Mercado_Receita!$T$2:$T$379,"44470B2Energia horáriaRuralNão se aplicaNão se aplicaNão se aplicaIntermediário",Mercado_Receita!$N$2:$N$379)</f>
        <v>0</v>
      </c>
      <c r="L19" s="13">
        <f>SUMIF(Mercado_Receita!$T$2:$T$379,"44501B2Energia horáriaRuralNão se aplicaNão se aplicaNão se aplicaIntermediário",Mercado_Receita!$N$2:$N$379)</f>
        <v>0</v>
      </c>
      <c r="M19" s="13">
        <f>SUMIF(Mercado_Receita!$T$2:$T$379,"44531B2Energia horáriaRuralNão se aplicaNão se aplicaNão se aplicaIntermediário",Mercado_Receita!$N$2:$N$379)</f>
        <v>0</v>
      </c>
      <c r="N19" s="13">
        <f>SUMIF(Mercado_Receita!$T$2:$T$379,"44562B2Energia horáriaRuralNão se aplicaNão se aplicaNão se aplicaIntermediário",Mercado_Receita!$N$2:$N$379)</f>
        <v>0</v>
      </c>
      <c r="O19" s="13">
        <f>SUMIF(Mercado_Receita!$T$2:$T$379,"44593B2Energia horáriaRuralNão se aplicaNão se aplicaNão se aplicaIntermediário",Mercado_Receita!$N$2:$N$379)</f>
        <v>0</v>
      </c>
      <c r="P19" s="13">
        <f>SUMIF(Mercado_Receita!$T$2:$T$379,"44621B2Energia horáriaRuralNão se aplicaNão se aplicaNão se aplicaIntermediário",Mercado_Receita!$N$2:$N$379)</f>
        <v>0</v>
      </c>
      <c r="Q19" s="13">
        <f>SUMIF(Mercado_Receita!$T$2:$T$379,"44652B2Energia horáriaRuralNão se aplicaNão se aplicaNão se aplicaIntermediário",Mercado_Receita!$N$2:$N$379)</f>
        <v>0</v>
      </c>
      <c r="R19" s="13">
        <f>SUMIF(Mercado_Receita!$T$2:$T$379,"44682B2Energia horáriaRuralNão se aplicaNão se aplicaNão se aplicaIntermediário",Mercado_Receita!$N$2:$N$379)</f>
        <v>0</v>
      </c>
      <c r="S19" s="13">
        <f>SUMIF(Mercado_Receita!$T$2:$T$379,"44713B2Energia horáriaRuralNão se aplicaNão se aplicaNão se aplicaIntermediário",Mercado_Receita!$N$2:$N$379)</f>
        <v>0</v>
      </c>
      <c r="T19" s="13">
        <f>SUMIF(Mercado_Receita!$T$2:$T$379,"44743B2Energia horáriaRuralNão se aplicaNão se aplicaNão se aplicaIntermediário",Mercado_Receita!$N$2:$N$379)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125"/>
      <c r="B20" s="125"/>
      <c r="C20" s="125"/>
      <c r="D20" s="125"/>
      <c r="E20" s="125"/>
      <c r="F20" s="125"/>
      <c r="G20" s="13" t="s">
        <v>70</v>
      </c>
      <c r="H20" s="13" t="s">
        <v>68</v>
      </c>
      <c r="I20" s="13">
        <f>SUMIF(Mercado_Receita!$T$2:$T$379,"44409B2Energia horáriaRuralNão se aplicaNão se aplicaNão se aplicaFora ponta",Mercado_Receita!$N$2:$N$379)</f>
        <v>0</v>
      </c>
      <c r="J20" s="13">
        <f>SUMIF(Mercado_Receita!$T$2:$T$379,"44440B2Energia horáriaRuralNão se aplicaNão se aplicaNão se aplicaFora ponta",Mercado_Receita!$N$2:$N$379)</f>
        <v>0</v>
      </c>
      <c r="K20" s="13">
        <f>SUMIF(Mercado_Receita!$T$2:$T$379,"44470B2Energia horáriaRuralNão se aplicaNão se aplicaNão se aplicaFora ponta",Mercado_Receita!$N$2:$N$379)</f>
        <v>0</v>
      </c>
      <c r="L20" s="13">
        <f>SUMIF(Mercado_Receita!$T$2:$T$379,"44501B2Energia horáriaRuralNão se aplicaNão se aplicaNão se aplicaFora ponta",Mercado_Receita!$N$2:$N$379)</f>
        <v>0</v>
      </c>
      <c r="M20" s="13">
        <f>SUMIF(Mercado_Receita!$T$2:$T$379,"44531B2Energia horáriaRuralNão se aplicaNão se aplicaNão se aplicaFora ponta",Mercado_Receita!$N$2:$N$379)</f>
        <v>0</v>
      </c>
      <c r="N20" s="13">
        <f>SUMIF(Mercado_Receita!$T$2:$T$379,"44562B2Energia horáriaRuralNão se aplicaNão se aplicaNão se aplicaFora ponta",Mercado_Receita!$N$2:$N$379)</f>
        <v>0</v>
      </c>
      <c r="O20" s="13">
        <f>SUMIF(Mercado_Receita!$T$2:$T$379,"44593B2Energia horáriaRuralNão se aplicaNão se aplicaNão se aplicaFora ponta",Mercado_Receita!$N$2:$N$379)</f>
        <v>0</v>
      </c>
      <c r="P20" s="13">
        <f>SUMIF(Mercado_Receita!$T$2:$T$379,"44621B2Energia horáriaRuralNão se aplicaNão se aplicaNão se aplicaFora ponta",Mercado_Receita!$N$2:$N$379)</f>
        <v>0</v>
      </c>
      <c r="Q20" s="13">
        <f>SUMIF(Mercado_Receita!$T$2:$T$379,"44652B2Energia horáriaRuralNão se aplicaNão se aplicaNão se aplicaFora ponta",Mercado_Receita!$N$2:$N$379)</f>
        <v>0</v>
      </c>
      <c r="R20" s="13">
        <f>SUMIF(Mercado_Receita!$T$2:$T$379,"44682B2Energia horáriaRuralNão se aplicaNão se aplicaNão se aplicaFora ponta",Mercado_Receita!$N$2:$N$379)</f>
        <v>0</v>
      </c>
      <c r="S20" s="13">
        <f>SUMIF(Mercado_Receita!$T$2:$T$379,"44713B2Energia horáriaRuralNão se aplicaNão se aplicaNão se aplicaFora ponta",Mercado_Receita!$N$2:$N$379)</f>
        <v>0</v>
      </c>
      <c r="T20" s="13">
        <f>SUMIF(Mercado_Receita!$T$2:$T$379,"44743B2Energia horáriaRuralNão se aplicaNão se aplicaNão se aplicaFora ponta",Mercado_Receita!$N$2:$N$379)</f>
        <v>0</v>
      </c>
      <c r="U20" s="13">
        <f t="shared" si="0"/>
        <v>0</v>
      </c>
      <c r="V20" s="13"/>
      <c r="W20" s="13"/>
    </row>
    <row r="21" spans="1:23" ht="11.25" customHeight="1" x14ac:dyDescent="0.25">
      <c r="A21" s="125"/>
      <c r="B21" s="12" t="s">
        <v>71</v>
      </c>
      <c r="C21" s="12" t="s">
        <v>42</v>
      </c>
      <c r="D21" s="12" t="s">
        <v>25</v>
      </c>
      <c r="E21" s="12" t="s">
        <v>25</v>
      </c>
      <c r="F21" s="12" t="s">
        <v>25</v>
      </c>
      <c r="G21" s="13" t="s">
        <v>72</v>
      </c>
      <c r="H21" s="13" t="s">
        <v>68</v>
      </c>
      <c r="I21" s="13">
        <f>SUMIF(Mercado_Receita!$T$2:$T$379,"44409B2Energia convencionalRuralNão se aplicaNão se aplicaNão se aplicaNão se aplica",Mercado_Receita!$N$2:$N$379)</f>
        <v>0.85299999999999998</v>
      </c>
      <c r="J21" s="13">
        <f>SUMIF(Mercado_Receita!$T$2:$T$379,"44440B2Energia convencionalRuralNão se aplicaNão se aplicaNão se aplicaNão se aplica",Mercado_Receita!$N$2:$N$379)</f>
        <v>0.92300000000000004</v>
      </c>
      <c r="K21" s="13">
        <f>SUMIF(Mercado_Receita!$T$2:$T$379,"44470B2Energia convencionalRuralNão se aplicaNão se aplicaNão se aplicaNão se aplica",Mercado_Receita!$N$2:$N$379)</f>
        <v>1.0189999999999999</v>
      </c>
      <c r="L21" s="13">
        <f>SUMIF(Mercado_Receita!$T$2:$T$379,"44501B2Energia convencionalRuralNão se aplicaNão se aplicaNão se aplicaNão se aplica",Mercado_Receita!$N$2:$N$379)</f>
        <v>0.93100000000000005</v>
      </c>
      <c r="M21" s="13">
        <f>SUMIF(Mercado_Receita!$T$2:$T$379,"44531B2Energia convencionalRuralNão se aplicaNão se aplicaNão se aplicaNão se aplica",Mercado_Receita!$N$2:$N$379)</f>
        <v>1.1719999999999999</v>
      </c>
      <c r="N21" s="13">
        <f>SUMIF(Mercado_Receita!$T$2:$T$379,"44562B2Energia convencionalRuralNão se aplicaNão se aplicaNão se aplicaNão se aplica",Mercado_Receita!$N$2:$N$379)</f>
        <v>1.1339999999999999</v>
      </c>
      <c r="O21" s="13">
        <f>SUMIF(Mercado_Receita!$T$2:$T$379,"44593B2Energia convencionalRuralNão se aplicaNão se aplicaNão se aplicaNão se aplica",Mercado_Receita!$N$2:$N$379)</f>
        <v>1.478</v>
      </c>
      <c r="P21" s="13">
        <f>SUMIF(Mercado_Receita!$T$2:$T$379,"44621B2Energia convencionalRuralNão se aplicaNão se aplicaNão se aplicaNão se aplica",Mercado_Receita!$N$2:$N$379)</f>
        <v>1.0720000000000001</v>
      </c>
      <c r="Q21" s="13">
        <f>SUMIF(Mercado_Receita!$T$2:$T$379,"44652B2Energia convencionalRuralNão se aplicaNão se aplicaNão se aplicaNão se aplica",Mercado_Receita!$N$2:$N$379)</f>
        <v>1.143</v>
      </c>
      <c r="R21" s="13">
        <f>SUMIF(Mercado_Receita!$T$2:$T$379,"44682B2Energia convencionalRuralNão se aplicaNão se aplicaNão se aplicaNão se aplica",Mercado_Receita!$N$2:$N$379)</f>
        <v>0.77100000000000002</v>
      </c>
      <c r="S21" s="13">
        <f>SUMIF(Mercado_Receita!$T$2:$T$379,"44713B2Energia convencionalRuralNão se aplicaNão se aplicaNão se aplicaNão se aplica",Mercado_Receita!$N$2:$N$379)</f>
        <v>0.69299999999999995</v>
      </c>
      <c r="T21" s="13">
        <f>SUMIF(Mercado_Receita!$T$2:$T$379,"44743B2Energia convencionalRuralNão se aplicaNão se aplicaNão se aplicaNão se aplica",Mercado_Receita!$N$2:$N$379)</f>
        <v>0.65100000000000002</v>
      </c>
      <c r="U21" s="13">
        <f t="shared" si="0"/>
        <v>11.840000000000002</v>
      </c>
      <c r="V21" s="13"/>
      <c r="W21" s="13"/>
    </row>
    <row r="22" spans="1:23" ht="11.25" customHeight="1" x14ac:dyDescent="0.25">
      <c r="A22" s="125"/>
      <c r="B22" s="124" t="s">
        <v>67</v>
      </c>
      <c r="C22" s="124" t="s">
        <v>42</v>
      </c>
      <c r="D22" s="124" t="s">
        <v>85</v>
      </c>
      <c r="E22" s="124" t="s">
        <v>25</v>
      </c>
      <c r="F22" s="124" t="s">
        <v>25</v>
      </c>
      <c r="G22" s="13" t="s">
        <v>69</v>
      </c>
      <c r="H22" s="13" t="s">
        <v>68</v>
      </c>
      <c r="I22" s="13">
        <f>SUMIF(Mercado_Receita!$T$2:$T$379,"44409B2Energia horáriaRuralCooperativa de eletrificação ruralNão se aplicaNão se aplicaPonta",Mercado_Receita!$N$2:$N$379)</f>
        <v>0</v>
      </c>
      <c r="J22" s="13">
        <f>SUMIF(Mercado_Receita!$T$2:$T$379,"44440B2Energia horáriaRuralCooperativa de eletrificação ruralNão se aplicaNão se aplicaPonta",Mercado_Receita!$N$2:$N$379)</f>
        <v>0</v>
      </c>
      <c r="K22" s="13">
        <f>SUMIF(Mercado_Receita!$T$2:$T$379,"44470B2Energia horáriaRuralCooperativa de eletrificação ruralNão se aplicaNão se aplicaPonta",Mercado_Receita!$N$2:$N$379)</f>
        <v>0</v>
      </c>
      <c r="L22" s="13">
        <f>SUMIF(Mercado_Receita!$T$2:$T$379,"44501B2Energia horáriaRuralCooperativa de eletrificação ruralNão se aplicaNão se aplicaPonta",Mercado_Receita!$N$2:$N$379)</f>
        <v>0</v>
      </c>
      <c r="M22" s="13">
        <f>SUMIF(Mercado_Receita!$T$2:$T$379,"44531B2Energia horáriaRuralCooperativa de eletrificação ruralNão se aplicaNão se aplicaPonta",Mercado_Receita!$N$2:$N$379)</f>
        <v>0</v>
      </c>
      <c r="N22" s="13">
        <f>SUMIF(Mercado_Receita!$T$2:$T$379,"44562B2Energia horáriaRuralCooperativa de eletrificação ruralNão se aplicaNão se aplicaPonta",Mercado_Receita!$N$2:$N$379)</f>
        <v>0</v>
      </c>
      <c r="O22" s="13">
        <f>SUMIF(Mercado_Receita!$T$2:$T$379,"44593B2Energia horáriaRuralCooperativa de eletrificação ruralNão se aplicaNão se aplicaPonta",Mercado_Receita!$N$2:$N$379)</f>
        <v>0</v>
      </c>
      <c r="P22" s="13">
        <f>SUMIF(Mercado_Receita!$T$2:$T$379,"44621B2Energia horáriaRuralCooperativa de eletrificação ruralNão se aplicaNão se aplicaPonta",Mercado_Receita!$N$2:$N$379)</f>
        <v>0</v>
      </c>
      <c r="Q22" s="13">
        <f>SUMIF(Mercado_Receita!$T$2:$T$379,"44652B2Energia horáriaRuralCooperativa de eletrificação ruralNão se aplicaNão se aplicaPonta",Mercado_Receita!$N$2:$N$379)</f>
        <v>0</v>
      </c>
      <c r="R22" s="13">
        <f>SUMIF(Mercado_Receita!$T$2:$T$379,"44682B2Energia horáriaRuralCooperativa de eletrificação ruralNão se aplicaNão se aplicaPonta",Mercado_Receita!$N$2:$N$379)</f>
        <v>0</v>
      </c>
      <c r="S22" s="13">
        <f>SUMIF(Mercado_Receita!$T$2:$T$379,"44713B2Energia horáriaRuralCooperativa de eletrificação ruralNão se aplicaNão se aplicaPonta",Mercado_Receita!$N$2:$N$379)</f>
        <v>0</v>
      </c>
      <c r="T22" s="13">
        <f>SUMIF(Mercado_Receita!$T$2:$T$379,"44743B2Energia horáriaRuralCooperativa de eletrificação ruralNão se aplicaNão se aplicaPonta",Mercado_Receita!$N$2:$N$379)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125"/>
      <c r="B23" s="125"/>
      <c r="C23" s="125"/>
      <c r="D23" s="125"/>
      <c r="E23" s="125"/>
      <c r="F23" s="125"/>
      <c r="G23" s="13" t="s">
        <v>82</v>
      </c>
      <c r="H23" s="13" t="s">
        <v>68</v>
      </c>
      <c r="I23" s="13">
        <f>SUMIF(Mercado_Receita!$T$2:$T$379,"44409B2Energia horáriaRuralCooperativa de eletrificação ruralNão se aplicaNão se aplicaIntermediário",Mercado_Receita!$N$2:$N$379)</f>
        <v>0</v>
      </c>
      <c r="J23" s="13">
        <f>SUMIF(Mercado_Receita!$T$2:$T$379,"44440B2Energia horáriaRuralCooperativa de eletrificação ruralNão se aplicaNão se aplicaIntermediário",Mercado_Receita!$N$2:$N$379)</f>
        <v>0</v>
      </c>
      <c r="K23" s="13">
        <f>SUMIF(Mercado_Receita!$T$2:$T$379,"44470B2Energia horáriaRuralCooperativa de eletrificação ruralNão se aplicaNão se aplicaIntermediário",Mercado_Receita!$N$2:$N$379)</f>
        <v>0</v>
      </c>
      <c r="L23" s="13">
        <f>SUMIF(Mercado_Receita!$T$2:$T$379,"44501B2Energia horáriaRuralCooperativa de eletrificação ruralNão se aplicaNão se aplicaIntermediário",Mercado_Receita!$N$2:$N$379)</f>
        <v>0</v>
      </c>
      <c r="M23" s="13">
        <f>SUMIF(Mercado_Receita!$T$2:$T$379,"44531B2Energia horáriaRuralCooperativa de eletrificação ruralNão se aplicaNão se aplicaIntermediário",Mercado_Receita!$N$2:$N$379)</f>
        <v>0</v>
      </c>
      <c r="N23" s="13">
        <f>SUMIF(Mercado_Receita!$T$2:$T$379,"44562B2Energia horáriaRuralCooperativa de eletrificação ruralNão se aplicaNão se aplicaIntermediário",Mercado_Receita!$N$2:$N$379)</f>
        <v>0</v>
      </c>
      <c r="O23" s="13">
        <f>SUMIF(Mercado_Receita!$T$2:$T$379,"44593B2Energia horáriaRuralCooperativa de eletrificação ruralNão se aplicaNão se aplicaIntermediário",Mercado_Receita!$N$2:$N$379)</f>
        <v>0</v>
      </c>
      <c r="P23" s="13">
        <f>SUMIF(Mercado_Receita!$T$2:$T$379,"44621B2Energia horáriaRuralCooperativa de eletrificação ruralNão se aplicaNão se aplicaIntermediário",Mercado_Receita!$N$2:$N$379)</f>
        <v>0</v>
      </c>
      <c r="Q23" s="13">
        <f>SUMIF(Mercado_Receita!$T$2:$T$379,"44652B2Energia horáriaRuralCooperativa de eletrificação ruralNão se aplicaNão se aplicaIntermediário",Mercado_Receita!$N$2:$N$379)</f>
        <v>0</v>
      </c>
      <c r="R23" s="13">
        <f>SUMIF(Mercado_Receita!$T$2:$T$379,"44682B2Energia horáriaRuralCooperativa de eletrificação ruralNão se aplicaNão se aplicaIntermediário",Mercado_Receita!$N$2:$N$379)</f>
        <v>0</v>
      </c>
      <c r="S23" s="13">
        <f>SUMIF(Mercado_Receita!$T$2:$T$379,"44713B2Energia horáriaRuralCooperativa de eletrificação ruralNão se aplicaNão se aplicaIntermediário",Mercado_Receita!$N$2:$N$379)</f>
        <v>0</v>
      </c>
      <c r="T23" s="13">
        <f>SUMIF(Mercado_Receita!$T$2:$T$379,"44743B2Energia horáriaRuralCooperativa de eletrificação ruralNão se aplicaNão se aplicaIntermediário",Mercado_Receita!$N$2:$N$379)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125"/>
      <c r="B24" s="125"/>
      <c r="C24" s="125"/>
      <c r="D24" s="125"/>
      <c r="E24" s="125"/>
      <c r="F24" s="125"/>
      <c r="G24" s="13" t="s">
        <v>70</v>
      </c>
      <c r="H24" s="13" t="s">
        <v>68</v>
      </c>
      <c r="I24" s="13">
        <f>SUMIF(Mercado_Receita!$T$2:$T$379,"44409B2Energia horáriaRuralCooperativa de eletrificação ruralNão se aplicaNão se aplicaFora ponta",Mercado_Receita!$N$2:$N$379)</f>
        <v>0</v>
      </c>
      <c r="J24" s="13">
        <f>SUMIF(Mercado_Receita!$T$2:$T$379,"44440B2Energia horáriaRuralCooperativa de eletrificação ruralNão se aplicaNão se aplicaFora ponta",Mercado_Receita!$N$2:$N$379)</f>
        <v>0</v>
      </c>
      <c r="K24" s="13">
        <f>SUMIF(Mercado_Receita!$T$2:$T$379,"44470B2Energia horáriaRuralCooperativa de eletrificação ruralNão se aplicaNão se aplicaFora ponta",Mercado_Receita!$N$2:$N$379)</f>
        <v>0</v>
      </c>
      <c r="L24" s="13">
        <f>SUMIF(Mercado_Receita!$T$2:$T$379,"44501B2Energia horáriaRuralCooperativa de eletrificação ruralNão se aplicaNão se aplicaFora ponta",Mercado_Receita!$N$2:$N$379)</f>
        <v>0</v>
      </c>
      <c r="M24" s="13">
        <f>SUMIF(Mercado_Receita!$T$2:$T$379,"44531B2Energia horáriaRuralCooperativa de eletrificação ruralNão se aplicaNão se aplicaFora ponta",Mercado_Receita!$N$2:$N$379)</f>
        <v>0</v>
      </c>
      <c r="N24" s="13">
        <f>SUMIF(Mercado_Receita!$T$2:$T$379,"44562B2Energia horáriaRuralCooperativa de eletrificação ruralNão se aplicaNão se aplicaFora ponta",Mercado_Receita!$N$2:$N$379)</f>
        <v>0</v>
      </c>
      <c r="O24" s="13">
        <f>SUMIF(Mercado_Receita!$T$2:$T$379,"44593B2Energia horáriaRuralCooperativa de eletrificação ruralNão se aplicaNão se aplicaFora ponta",Mercado_Receita!$N$2:$N$379)</f>
        <v>0</v>
      </c>
      <c r="P24" s="13">
        <f>SUMIF(Mercado_Receita!$T$2:$T$379,"44621B2Energia horáriaRuralCooperativa de eletrificação ruralNão se aplicaNão se aplicaFora ponta",Mercado_Receita!$N$2:$N$379)</f>
        <v>0</v>
      </c>
      <c r="Q24" s="13">
        <f>SUMIF(Mercado_Receita!$T$2:$T$379,"44652B2Energia horáriaRuralCooperativa de eletrificação ruralNão se aplicaNão se aplicaFora ponta",Mercado_Receita!$N$2:$N$379)</f>
        <v>0</v>
      </c>
      <c r="R24" s="13">
        <f>SUMIF(Mercado_Receita!$T$2:$T$379,"44682B2Energia horáriaRuralCooperativa de eletrificação ruralNão se aplicaNão se aplicaFora ponta",Mercado_Receita!$N$2:$N$379)</f>
        <v>0</v>
      </c>
      <c r="S24" s="13">
        <f>SUMIF(Mercado_Receita!$T$2:$T$379,"44713B2Energia horáriaRuralCooperativa de eletrificação ruralNão se aplicaNão se aplicaFora ponta",Mercado_Receita!$N$2:$N$379)</f>
        <v>0</v>
      </c>
      <c r="T24" s="13">
        <f>SUMIF(Mercado_Receita!$T$2:$T$379,"44743B2Energia horáriaRuralCooperativa de eletrificação ruralNão se aplicaNão se aplicaFora ponta",Mercado_Receita!$N$2:$N$379)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125"/>
      <c r="B25" s="12" t="s">
        <v>71</v>
      </c>
      <c r="C25" s="12" t="s">
        <v>42</v>
      </c>
      <c r="D25" s="12" t="s">
        <v>85</v>
      </c>
      <c r="E25" s="12" t="s">
        <v>25</v>
      </c>
      <c r="F25" s="12" t="s">
        <v>25</v>
      </c>
      <c r="G25" s="13" t="s">
        <v>72</v>
      </c>
      <c r="H25" s="13" t="s">
        <v>68</v>
      </c>
      <c r="I25" s="13">
        <f>SUMIF(Mercado_Receita!$T$2:$T$379,"44409B2Energia convencionalRuralCooperativa de eletrificação ruralNão se aplicaNão se aplicaNão se aplica",Mercado_Receita!$N$2:$N$379)</f>
        <v>0</v>
      </c>
      <c r="J25" s="13">
        <f>SUMIF(Mercado_Receita!$T$2:$T$379,"44440B2Energia convencionalRuralCooperativa de eletrificação ruralNão se aplicaNão se aplicaNão se aplica",Mercado_Receita!$N$2:$N$379)</f>
        <v>0</v>
      </c>
      <c r="K25" s="13">
        <f>SUMIF(Mercado_Receita!$T$2:$T$379,"44470B2Energia convencionalRuralCooperativa de eletrificação ruralNão se aplicaNão se aplicaNão se aplica",Mercado_Receita!$N$2:$N$379)</f>
        <v>0</v>
      </c>
      <c r="L25" s="13">
        <f>SUMIF(Mercado_Receita!$T$2:$T$379,"44501B2Energia convencionalRuralCooperativa de eletrificação ruralNão se aplicaNão se aplicaNão se aplica",Mercado_Receita!$N$2:$N$379)</f>
        <v>0</v>
      </c>
      <c r="M25" s="13">
        <f>SUMIF(Mercado_Receita!$T$2:$T$379,"44531B2Energia convencionalRuralCooperativa de eletrificação ruralNão se aplicaNão se aplicaNão se aplica",Mercado_Receita!$N$2:$N$379)</f>
        <v>0</v>
      </c>
      <c r="N25" s="13">
        <f>SUMIF(Mercado_Receita!$T$2:$T$379,"44562B2Energia convencionalRuralCooperativa de eletrificação ruralNão se aplicaNão se aplicaNão se aplica",Mercado_Receita!$N$2:$N$379)</f>
        <v>0</v>
      </c>
      <c r="O25" s="13">
        <f>SUMIF(Mercado_Receita!$T$2:$T$379,"44593B2Energia convencionalRuralCooperativa de eletrificação ruralNão se aplicaNão se aplicaNão se aplica",Mercado_Receita!$N$2:$N$379)</f>
        <v>0</v>
      </c>
      <c r="P25" s="13">
        <f>SUMIF(Mercado_Receita!$T$2:$T$379,"44621B2Energia convencionalRuralCooperativa de eletrificação ruralNão se aplicaNão se aplicaNão se aplica",Mercado_Receita!$N$2:$N$379)</f>
        <v>0</v>
      </c>
      <c r="Q25" s="13">
        <f>SUMIF(Mercado_Receita!$T$2:$T$379,"44652B2Energia convencionalRuralCooperativa de eletrificação ruralNão se aplicaNão se aplicaNão se aplica",Mercado_Receita!$N$2:$N$379)</f>
        <v>0</v>
      </c>
      <c r="R25" s="13">
        <f>SUMIF(Mercado_Receita!$T$2:$T$379,"44682B2Energia convencionalRuralCooperativa de eletrificação ruralNão se aplicaNão se aplicaNão se aplica",Mercado_Receita!$N$2:$N$379)</f>
        <v>0</v>
      </c>
      <c r="S25" s="13">
        <f>SUMIF(Mercado_Receita!$T$2:$T$379,"44713B2Energia convencionalRuralCooperativa de eletrificação ruralNão se aplicaNão se aplicaNão se aplica",Mercado_Receita!$N$2:$N$379)</f>
        <v>0</v>
      </c>
      <c r="T25" s="13">
        <f>SUMIF(Mercado_Receita!$T$2:$T$379,"44743B2Energia convencionalRuralCooperativa de eletrificação ruralNão se aplicaNão se aplicaNão se aplica",Mercado_Receita!$N$2:$N$379)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125"/>
      <c r="B26" s="124" t="s">
        <v>67</v>
      </c>
      <c r="C26" s="124" t="s">
        <v>42</v>
      </c>
      <c r="D26" s="124" t="s">
        <v>86</v>
      </c>
      <c r="E26" s="124" t="s">
        <v>25</v>
      </c>
      <c r="F26" s="124" t="s">
        <v>25</v>
      </c>
      <c r="G26" s="13" t="s">
        <v>69</v>
      </c>
      <c r="H26" s="13" t="s">
        <v>68</v>
      </c>
      <c r="I26" s="13">
        <f>SUMIF(Mercado_Receita!$T$2:$T$379,"44409B2Energia horáriaRuralServiço público de irrigação ruralNão se aplicaNão se aplicaPonta",Mercado_Receita!$N$2:$N$379)</f>
        <v>0</v>
      </c>
      <c r="J26" s="13">
        <f>SUMIF(Mercado_Receita!$T$2:$T$379,"44440B2Energia horáriaRuralServiço público de irrigação ruralNão se aplicaNão se aplicaPonta",Mercado_Receita!$N$2:$N$379)</f>
        <v>0</v>
      </c>
      <c r="K26" s="13">
        <f>SUMIF(Mercado_Receita!$T$2:$T$379,"44470B2Energia horáriaRuralServiço público de irrigação ruralNão se aplicaNão se aplicaPonta",Mercado_Receita!$N$2:$N$379)</f>
        <v>0</v>
      </c>
      <c r="L26" s="13">
        <f>SUMIF(Mercado_Receita!$T$2:$T$379,"44501B2Energia horáriaRuralServiço público de irrigação ruralNão se aplicaNão se aplicaPonta",Mercado_Receita!$N$2:$N$379)</f>
        <v>0</v>
      </c>
      <c r="M26" s="13">
        <f>SUMIF(Mercado_Receita!$T$2:$T$379,"44531B2Energia horáriaRuralServiço público de irrigação ruralNão se aplicaNão se aplicaPonta",Mercado_Receita!$N$2:$N$379)</f>
        <v>0</v>
      </c>
      <c r="N26" s="13">
        <f>SUMIF(Mercado_Receita!$T$2:$T$379,"44562B2Energia horáriaRuralServiço público de irrigação ruralNão se aplicaNão se aplicaPonta",Mercado_Receita!$N$2:$N$379)</f>
        <v>0</v>
      </c>
      <c r="O26" s="13">
        <f>SUMIF(Mercado_Receita!$T$2:$T$379,"44593B2Energia horáriaRuralServiço público de irrigação ruralNão se aplicaNão se aplicaPonta",Mercado_Receita!$N$2:$N$379)</f>
        <v>0</v>
      </c>
      <c r="P26" s="13">
        <f>SUMIF(Mercado_Receita!$T$2:$T$379,"44621B2Energia horáriaRuralServiço público de irrigação ruralNão se aplicaNão se aplicaPonta",Mercado_Receita!$N$2:$N$379)</f>
        <v>0</v>
      </c>
      <c r="Q26" s="13">
        <f>SUMIF(Mercado_Receita!$T$2:$T$379,"44652B2Energia horáriaRuralServiço público de irrigação ruralNão se aplicaNão se aplicaPonta",Mercado_Receita!$N$2:$N$379)</f>
        <v>0</v>
      </c>
      <c r="R26" s="13">
        <f>SUMIF(Mercado_Receita!$T$2:$T$379,"44682B2Energia horáriaRuralServiço público de irrigação ruralNão se aplicaNão se aplicaPonta",Mercado_Receita!$N$2:$N$379)</f>
        <v>0</v>
      </c>
      <c r="S26" s="13">
        <f>SUMIF(Mercado_Receita!$T$2:$T$379,"44713B2Energia horáriaRuralServiço público de irrigação ruralNão se aplicaNão se aplicaPonta",Mercado_Receita!$N$2:$N$379)</f>
        <v>0</v>
      </c>
      <c r="T26" s="13">
        <f>SUMIF(Mercado_Receita!$T$2:$T$379,"44743B2Energia horáriaRuralServiço público de irrigação ruralNão se aplicaNão se aplicaPonta",Mercado_Receita!$N$2:$N$379)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125"/>
      <c r="B27" s="125"/>
      <c r="C27" s="125"/>
      <c r="D27" s="125"/>
      <c r="E27" s="125"/>
      <c r="F27" s="125"/>
      <c r="G27" s="13" t="s">
        <v>82</v>
      </c>
      <c r="H27" s="13" t="s">
        <v>68</v>
      </c>
      <c r="I27" s="13">
        <f>SUMIF(Mercado_Receita!$T$2:$T$379,"44409B2Energia horáriaRuralServiço público de irrigação ruralNão se aplicaNão se aplicaIntermediário",Mercado_Receita!$N$2:$N$379)</f>
        <v>0</v>
      </c>
      <c r="J27" s="13">
        <f>SUMIF(Mercado_Receita!$T$2:$T$379,"44440B2Energia horáriaRuralServiço público de irrigação ruralNão se aplicaNão se aplicaIntermediário",Mercado_Receita!$N$2:$N$379)</f>
        <v>0</v>
      </c>
      <c r="K27" s="13">
        <f>SUMIF(Mercado_Receita!$T$2:$T$379,"44470B2Energia horáriaRuralServiço público de irrigação ruralNão se aplicaNão se aplicaIntermediário",Mercado_Receita!$N$2:$N$379)</f>
        <v>0</v>
      </c>
      <c r="L27" s="13">
        <f>SUMIF(Mercado_Receita!$T$2:$T$379,"44501B2Energia horáriaRuralServiço público de irrigação ruralNão se aplicaNão se aplicaIntermediário",Mercado_Receita!$N$2:$N$379)</f>
        <v>0</v>
      </c>
      <c r="M27" s="13">
        <f>SUMIF(Mercado_Receita!$T$2:$T$379,"44531B2Energia horáriaRuralServiço público de irrigação ruralNão se aplicaNão se aplicaIntermediário",Mercado_Receita!$N$2:$N$379)</f>
        <v>0</v>
      </c>
      <c r="N27" s="13">
        <f>SUMIF(Mercado_Receita!$T$2:$T$379,"44562B2Energia horáriaRuralServiço público de irrigação ruralNão se aplicaNão se aplicaIntermediário",Mercado_Receita!$N$2:$N$379)</f>
        <v>0</v>
      </c>
      <c r="O27" s="13">
        <f>SUMIF(Mercado_Receita!$T$2:$T$379,"44593B2Energia horáriaRuralServiço público de irrigação ruralNão se aplicaNão se aplicaIntermediário",Mercado_Receita!$N$2:$N$379)</f>
        <v>0</v>
      </c>
      <c r="P27" s="13">
        <f>SUMIF(Mercado_Receita!$T$2:$T$379,"44621B2Energia horáriaRuralServiço público de irrigação ruralNão se aplicaNão se aplicaIntermediário",Mercado_Receita!$N$2:$N$379)</f>
        <v>0</v>
      </c>
      <c r="Q27" s="13">
        <f>SUMIF(Mercado_Receita!$T$2:$T$379,"44652B2Energia horáriaRuralServiço público de irrigação ruralNão se aplicaNão se aplicaIntermediário",Mercado_Receita!$N$2:$N$379)</f>
        <v>0</v>
      </c>
      <c r="R27" s="13">
        <f>SUMIF(Mercado_Receita!$T$2:$T$379,"44682B2Energia horáriaRuralServiço público de irrigação ruralNão se aplicaNão se aplicaIntermediário",Mercado_Receita!$N$2:$N$379)</f>
        <v>0</v>
      </c>
      <c r="S27" s="13">
        <f>SUMIF(Mercado_Receita!$T$2:$T$379,"44713B2Energia horáriaRuralServiço público de irrigação ruralNão se aplicaNão se aplicaIntermediário",Mercado_Receita!$N$2:$N$379)</f>
        <v>0</v>
      </c>
      <c r="T27" s="13">
        <f>SUMIF(Mercado_Receita!$T$2:$T$379,"44743B2Energia horáriaRuralServiço público de irrigação ruralNão se aplicaNão se aplicaIntermediário",Mercado_Receita!$N$2:$N$379)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125"/>
      <c r="B28" s="125"/>
      <c r="C28" s="125"/>
      <c r="D28" s="125"/>
      <c r="E28" s="125"/>
      <c r="F28" s="125"/>
      <c r="G28" s="13" t="s">
        <v>70</v>
      </c>
      <c r="H28" s="13" t="s">
        <v>68</v>
      </c>
      <c r="I28" s="13">
        <f>SUMIF(Mercado_Receita!$T$2:$T$379,"44409B2Energia horáriaRuralServiço público de irrigação ruralNão se aplicaNão se aplicaFora ponta",Mercado_Receita!$N$2:$N$379)</f>
        <v>0</v>
      </c>
      <c r="J28" s="13">
        <f>SUMIF(Mercado_Receita!$T$2:$T$379,"44440B2Energia horáriaRuralServiço público de irrigação ruralNão se aplicaNão se aplicaFora ponta",Mercado_Receita!$N$2:$N$379)</f>
        <v>0</v>
      </c>
      <c r="K28" s="13">
        <f>SUMIF(Mercado_Receita!$T$2:$T$379,"44470B2Energia horáriaRuralServiço público de irrigação ruralNão se aplicaNão se aplicaFora ponta",Mercado_Receita!$N$2:$N$379)</f>
        <v>0</v>
      </c>
      <c r="L28" s="13">
        <f>SUMIF(Mercado_Receita!$T$2:$T$379,"44501B2Energia horáriaRuralServiço público de irrigação ruralNão se aplicaNão se aplicaFora ponta",Mercado_Receita!$N$2:$N$379)</f>
        <v>0</v>
      </c>
      <c r="M28" s="13">
        <f>SUMIF(Mercado_Receita!$T$2:$T$379,"44531B2Energia horáriaRuralServiço público de irrigação ruralNão se aplicaNão se aplicaFora ponta",Mercado_Receita!$N$2:$N$379)</f>
        <v>0</v>
      </c>
      <c r="N28" s="13">
        <f>SUMIF(Mercado_Receita!$T$2:$T$379,"44562B2Energia horáriaRuralServiço público de irrigação ruralNão se aplicaNão se aplicaFora ponta",Mercado_Receita!$N$2:$N$379)</f>
        <v>0</v>
      </c>
      <c r="O28" s="13">
        <f>SUMIF(Mercado_Receita!$T$2:$T$379,"44593B2Energia horáriaRuralServiço público de irrigação ruralNão se aplicaNão se aplicaFora ponta",Mercado_Receita!$N$2:$N$379)</f>
        <v>0</v>
      </c>
      <c r="P28" s="13">
        <f>SUMIF(Mercado_Receita!$T$2:$T$379,"44621B2Energia horáriaRuralServiço público de irrigação ruralNão se aplicaNão se aplicaFora ponta",Mercado_Receita!$N$2:$N$379)</f>
        <v>0</v>
      </c>
      <c r="Q28" s="13">
        <f>SUMIF(Mercado_Receita!$T$2:$T$379,"44652B2Energia horáriaRuralServiço público de irrigação ruralNão se aplicaNão se aplicaFora ponta",Mercado_Receita!$N$2:$N$379)</f>
        <v>0</v>
      </c>
      <c r="R28" s="13">
        <f>SUMIF(Mercado_Receita!$T$2:$T$379,"44682B2Energia horáriaRuralServiço público de irrigação ruralNão se aplicaNão se aplicaFora ponta",Mercado_Receita!$N$2:$N$379)</f>
        <v>0</v>
      </c>
      <c r="S28" s="13">
        <f>SUMIF(Mercado_Receita!$T$2:$T$379,"44713B2Energia horáriaRuralServiço público de irrigação ruralNão se aplicaNão se aplicaFora ponta",Mercado_Receita!$N$2:$N$379)</f>
        <v>0</v>
      </c>
      <c r="T28" s="13">
        <f>SUMIF(Mercado_Receita!$T$2:$T$379,"44743B2Energia horáriaRuralServiço público de irrigação ruralNão se aplicaNão se aplicaFora ponta",Mercado_Receita!$N$2:$N$379)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125"/>
      <c r="B29" s="12" t="s">
        <v>71</v>
      </c>
      <c r="C29" s="12" t="s">
        <v>42</v>
      </c>
      <c r="D29" s="12" t="s">
        <v>86</v>
      </c>
      <c r="E29" s="12" t="s">
        <v>25</v>
      </c>
      <c r="F29" s="12" t="s">
        <v>25</v>
      </c>
      <c r="G29" s="13" t="s">
        <v>72</v>
      </c>
      <c r="H29" s="13" t="s">
        <v>68</v>
      </c>
      <c r="I29" s="13">
        <f>SUMIF(Mercado_Receita!$T$2:$T$379,"44409B2Energia convencionalRuralServiço público de irrigação ruralNão se aplicaNão se aplicaNão se aplica",Mercado_Receita!$N$2:$N$379)</f>
        <v>0</v>
      </c>
      <c r="J29" s="13">
        <f>SUMIF(Mercado_Receita!$T$2:$T$379,"44440B2Energia convencionalRuralServiço público de irrigação ruralNão se aplicaNão se aplicaNão se aplica",Mercado_Receita!$N$2:$N$379)</f>
        <v>0</v>
      </c>
      <c r="K29" s="13">
        <f>SUMIF(Mercado_Receita!$T$2:$T$379,"44470B2Energia convencionalRuralServiço público de irrigação ruralNão se aplicaNão se aplicaNão se aplica",Mercado_Receita!$N$2:$N$379)</f>
        <v>0</v>
      </c>
      <c r="L29" s="13">
        <f>SUMIF(Mercado_Receita!$T$2:$T$379,"44501B2Energia convencionalRuralServiço público de irrigação ruralNão se aplicaNão se aplicaNão se aplica",Mercado_Receita!$N$2:$N$379)</f>
        <v>0</v>
      </c>
      <c r="M29" s="13">
        <f>SUMIF(Mercado_Receita!$T$2:$T$379,"44531B2Energia convencionalRuralServiço público de irrigação ruralNão se aplicaNão se aplicaNão se aplica",Mercado_Receita!$N$2:$N$379)</f>
        <v>0</v>
      </c>
      <c r="N29" s="13">
        <f>SUMIF(Mercado_Receita!$T$2:$T$379,"44562B2Energia convencionalRuralServiço público de irrigação ruralNão se aplicaNão se aplicaNão se aplica",Mercado_Receita!$N$2:$N$379)</f>
        <v>0</v>
      </c>
      <c r="O29" s="13">
        <f>SUMIF(Mercado_Receita!$T$2:$T$379,"44593B2Energia convencionalRuralServiço público de irrigação ruralNão se aplicaNão se aplicaNão se aplica",Mercado_Receita!$N$2:$N$379)</f>
        <v>0</v>
      </c>
      <c r="P29" s="13">
        <f>SUMIF(Mercado_Receita!$T$2:$T$379,"44621B2Energia convencionalRuralServiço público de irrigação ruralNão se aplicaNão se aplicaNão se aplica",Mercado_Receita!$N$2:$N$379)</f>
        <v>0</v>
      </c>
      <c r="Q29" s="13">
        <f>SUMIF(Mercado_Receita!$T$2:$T$379,"44652B2Energia convencionalRuralServiço público de irrigação ruralNão se aplicaNão se aplicaNão se aplica",Mercado_Receita!$N$2:$N$379)</f>
        <v>0</v>
      </c>
      <c r="R29" s="13">
        <f>SUMIF(Mercado_Receita!$T$2:$T$379,"44682B2Energia convencionalRuralServiço público de irrigação ruralNão se aplicaNão se aplicaNão se aplica",Mercado_Receita!$N$2:$N$379)</f>
        <v>0</v>
      </c>
      <c r="S29" s="13">
        <f>SUMIF(Mercado_Receita!$T$2:$T$379,"44713B2Energia convencionalRuralServiço público de irrigação ruralNão se aplicaNão se aplicaNão se aplica",Mercado_Receita!$N$2:$N$379)</f>
        <v>0</v>
      </c>
      <c r="T29" s="13">
        <f>SUMIF(Mercado_Receita!$T$2:$T$379,"44743B2Energia convencionalRuralServiço público de irrigação ruralNão se aplicaNão se aplicaNão se aplica",Mercado_Receita!$N$2:$N$379)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125"/>
      <c r="B30" s="124" t="s">
        <v>83</v>
      </c>
      <c r="C30" s="124" t="s">
        <v>42</v>
      </c>
      <c r="D30" s="12" t="s">
        <v>25</v>
      </c>
      <c r="E30" s="12" t="s">
        <v>25</v>
      </c>
      <c r="F30" s="12" t="s">
        <v>25</v>
      </c>
      <c r="G30" s="13" t="s">
        <v>72</v>
      </c>
      <c r="H30" s="13" t="s">
        <v>68</v>
      </c>
      <c r="I30" s="13">
        <f>SUMIF(Mercado_Receita!$T$2:$T$379,"44409B2Energia convencional pré-pagamentoRuralNão se aplicaNão se aplicaNão se aplicaNão se aplica",Mercado_Receita!$N$2:$N$379)</f>
        <v>0</v>
      </c>
      <c r="J30" s="13">
        <f>SUMIF(Mercado_Receita!$T$2:$T$379,"44440B2Energia convencional pré-pagamentoRuralNão se aplicaNão se aplicaNão se aplicaNão se aplica",Mercado_Receita!$N$2:$N$379)</f>
        <v>0</v>
      </c>
      <c r="K30" s="13">
        <f>SUMIF(Mercado_Receita!$T$2:$T$379,"44470B2Energia convencional pré-pagamentoRuralNão se aplicaNão se aplicaNão se aplicaNão se aplica",Mercado_Receita!$N$2:$N$379)</f>
        <v>0</v>
      </c>
      <c r="L30" s="13">
        <f>SUMIF(Mercado_Receita!$T$2:$T$379,"44501B2Energia convencional pré-pagamentoRuralNão se aplicaNão se aplicaNão se aplicaNão se aplica",Mercado_Receita!$N$2:$N$379)</f>
        <v>0</v>
      </c>
      <c r="M30" s="13">
        <f>SUMIF(Mercado_Receita!$T$2:$T$379,"44531B2Energia convencional pré-pagamentoRuralNão se aplicaNão se aplicaNão se aplicaNão se aplica",Mercado_Receita!$N$2:$N$379)</f>
        <v>0</v>
      </c>
      <c r="N30" s="13">
        <f>SUMIF(Mercado_Receita!$T$2:$T$379,"44562B2Energia convencional pré-pagamentoRuralNão se aplicaNão se aplicaNão se aplicaNão se aplica",Mercado_Receita!$N$2:$N$379)</f>
        <v>0</v>
      </c>
      <c r="O30" s="13">
        <f>SUMIF(Mercado_Receita!$T$2:$T$379,"44593B2Energia convencional pré-pagamentoRuralNão se aplicaNão se aplicaNão se aplicaNão se aplica",Mercado_Receita!$N$2:$N$379)</f>
        <v>0</v>
      </c>
      <c r="P30" s="13">
        <f>SUMIF(Mercado_Receita!$T$2:$T$379,"44621B2Energia convencional pré-pagamentoRuralNão se aplicaNão se aplicaNão se aplicaNão se aplica",Mercado_Receita!$N$2:$N$379)</f>
        <v>0</v>
      </c>
      <c r="Q30" s="13">
        <f>SUMIF(Mercado_Receita!$T$2:$T$379,"44652B2Energia convencional pré-pagamentoRuralNão se aplicaNão se aplicaNão se aplicaNão se aplica",Mercado_Receita!$N$2:$N$379)</f>
        <v>0</v>
      </c>
      <c r="R30" s="13">
        <f>SUMIF(Mercado_Receita!$T$2:$T$379,"44682B2Energia convencional pré-pagamentoRuralNão se aplicaNão se aplicaNão se aplicaNão se aplica",Mercado_Receita!$N$2:$N$379)</f>
        <v>0</v>
      </c>
      <c r="S30" s="13">
        <f>SUMIF(Mercado_Receita!$T$2:$T$379,"44713B2Energia convencional pré-pagamentoRuralNão se aplicaNão se aplicaNão se aplicaNão se aplica",Mercado_Receita!$N$2:$N$379)</f>
        <v>0</v>
      </c>
      <c r="T30" s="13">
        <f>SUMIF(Mercado_Receita!$T$2:$T$379,"44743B2Energia convencional pré-pagamentoRuralNão se aplicaNão se aplicaNão se aplicaNão se aplica",Mercado_Receita!$N$2:$N$379)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125"/>
      <c r="B31" s="125"/>
      <c r="C31" s="125"/>
      <c r="D31" s="12" t="s">
        <v>85</v>
      </c>
      <c r="E31" s="12" t="s">
        <v>25</v>
      </c>
      <c r="F31" s="12" t="s">
        <v>25</v>
      </c>
      <c r="G31" s="13" t="s">
        <v>72</v>
      </c>
      <c r="H31" s="13" t="s">
        <v>68</v>
      </c>
      <c r="I31" s="13">
        <f>SUMIF(Mercado_Receita!$T$2:$T$379,"44409B2Energia convencional pré-pagamentoRuralCooperativa de eletrificação ruralNão se aplicaNão se aplicaNão se aplica",Mercado_Receita!$N$2:$N$379)</f>
        <v>0</v>
      </c>
      <c r="J31" s="13">
        <f>SUMIF(Mercado_Receita!$T$2:$T$379,"44440B2Energia convencional pré-pagamentoRuralCooperativa de eletrificação ruralNão se aplicaNão se aplicaNão se aplica",Mercado_Receita!$N$2:$N$379)</f>
        <v>0</v>
      </c>
      <c r="K31" s="13">
        <f>SUMIF(Mercado_Receita!$T$2:$T$379,"44470B2Energia convencional pré-pagamentoRuralCooperativa de eletrificação ruralNão se aplicaNão se aplicaNão se aplica",Mercado_Receita!$N$2:$N$379)</f>
        <v>0</v>
      </c>
      <c r="L31" s="13">
        <f>SUMIF(Mercado_Receita!$T$2:$T$379,"44501B2Energia convencional pré-pagamentoRuralCooperativa de eletrificação ruralNão se aplicaNão se aplicaNão se aplica",Mercado_Receita!$N$2:$N$379)</f>
        <v>0</v>
      </c>
      <c r="M31" s="13">
        <f>SUMIF(Mercado_Receita!$T$2:$T$379,"44531B2Energia convencional pré-pagamentoRuralCooperativa de eletrificação ruralNão se aplicaNão se aplicaNão se aplica",Mercado_Receita!$N$2:$N$379)</f>
        <v>0</v>
      </c>
      <c r="N31" s="13">
        <f>SUMIF(Mercado_Receita!$T$2:$T$379,"44562B2Energia convencional pré-pagamentoRuralCooperativa de eletrificação ruralNão se aplicaNão se aplicaNão se aplica",Mercado_Receita!$N$2:$N$379)</f>
        <v>0</v>
      </c>
      <c r="O31" s="13">
        <f>SUMIF(Mercado_Receita!$T$2:$T$379,"44593B2Energia convencional pré-pagamentoRuralCooperativa de eletrificação ruralNão se aplicaNão se aplicaNão se aplica",Mercado_Receita!$N$2:$N$379)</f>
        <v>0</v>
      </c>
      <c r="P31" s="13">
        <f>SUMIF(Mercado_Receita!$T$2:$T$379,"44621B2Energia convencional pré-pagamentoRuralCooperativa de eletrificação ruralNão se aplicaNão se aplicaNão se aplica",Mercado_Receita!$N$2:$N$379)</f>
        <v>0</v>
      </c>
      <c r="Q31" s="13">
        <f>SUMIF(Mercado_Receita!$T$2:$T$379,"44652B2Energia convencional pré-pagamentoRuralCooperativa de eletrificação ruralNão se aplicaNão se aplicaNão se aplica",Mercado_Receita!$N$2:$N$379)</f>
        <v>0</v>
      </c>
      <c r="R31" s="13">
        <f>SUMIF(Mercado_Receita!$T$2:$T$379,"44682B2Energia convencional pré-pagamentoRuralCooperativa de eletrificação ruralNão se aplicaNão se aplicaNão se aplica",Mercado_Receita!$N$2:$N$379)</f>
        <v>0</v>
      </c>
      <c r="S31" s="13">
        <f>SUMIF(Mercado_Receita!$T$2:$T$379,"44713B2Energia convencional pré-pagamentoRuralCooperativa de eletrificação ruralNão se aplicaNão se aplicaNão se aplica",Mercado_Receita!$N$2:$N$379)</f>
        <v>0</v>
      </c>
      <c r="T31" s="13">
        <f>SUMIF(Mercado_Receita!$T$2:$T$379,"44743B2Energia convencional pré-pagamentoRuralCooperativa de eletrificação ruralNão se aplicaNão se aplicaNão se aplica",Mercado_Receita!$N$2:$N$379)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125"/>
      <c r="B32" s="125"/>
      <c r="C32" s="125"/>
      <c r="D32" s="12" t="s">
        <v>86</v>
      </c>
      <c r="E32" s="12" t="s">
        <v>25</v>
      </c>
      <c r="F32" s="12" t="s">
        <v>25</v>
      </c>
      <c r="G32" s="13" t="s">
        <v>72</v>
      </c>
      <c r="H32" s="13" t="s">
        <v>68</v>
      </c>
      <c r="I32" s="13">
        <f>SUMIF(Mercado_Receita!$T$2:$T$379,"44409B2Energia convencional pré-pagamentoRuralServiço público de irrigação ruralNão se aplicaNão se aplicaNão se aplica",Mercado_Receita!$N$2:$N$379)</f>
        <v>0</v>
      </c>
      <c r="J32" s="13">
        <f>SUMIF(Mercado_Receita!$T$2:$T$379,"44440B2Energia convencional pré-pagamentoRuralServiço público de irrigação ruralNão se aplicaNão se aplicaNão se aplica",Mercado_Receita!$N$2:$N$379)</f>
        <v>0</v>
      </c>
      <c r="K32" s="13">
        <f>SUMIF(Mercado_Receita!$T$2:$T$379,"44470B2Energia convencional pré-pagamentoRuralServiço público de irrigação ruralNão se aplicaNão se aplicaNão se aplica",Mercado_Receita!$N$2:$N$379)</f>
        <v>0</v>
      </c>
      <c r="L32" s="13">
        <f>SUMIF(Mercado_Receita!$T$2:$T$379,"44501B2Energia convencional pré-pagamentoRuralServiço público de irrigação ruralNão se aplicaNão se aplicaNão se aplica",Mercado_Receita!$N$2:$N$379)</f>
        <v>0</v>
      </c>
      <c r="M32" s="13">
        <f>SUMIF(Mercado_Receita!$T$2:$T$379,"44531B2Energia convencional pré-pagamentoRuralServiço público de irrigação ruralNão se aplicaNão se aplicaNão se aplica",Mercado_Receita!$N$2:$N$379)</f>
        <v>0</v>
      </c>
      <c r="N32" s="13">
        <f>SUMIF(Mercado_Receita!$T$2:$T$379,"44562B2Energia convencional pré-pagamentoRuralServiço público de irrigação ruralNão se aplicaNão se aplicaNão se aplica",Mercado_Receita!$N$2:$N$379)</f>
        <v>0</v>
      </c>
      <c r="O32" s="13">
        <f>SUMIF(Mercado_Receita!$T$2:$T$379,"44593B2Energia convencional pré-pagamentoRuralServiço público de irrigação ruralNão se aplicaNão se aplicaNão se aplica",Mercado_Receita!$N$2:$N$379)</f>
        <v>0</v>
      </c>
      <c r="P32" s="13">
        <f>SUMIF(Mercado_Receita!$T$2:$T$379,"44621B2Energia convencional pré-pagamentoRuralServiço público de irrigação ruralNão se aplicaNão se aplicaNão se aplica",Mercado_Receita!$N$2:$N$379)</f>
        <v>0</v>
      </c>
      <c r="Q32" s="13">
        <f>SUMIF(Mercado_Receita!$T$2:$T$379,"44652B2Energia convencional pré-pagamentoRuralServiço público de irrigação ruralNão se aplicaNão se aplicaNão se aplica",Mercado_Receita!$N$2:$N$379)</f>
        <v>0</v>
      </c>
      <c r="R32" s="13">
        <f>SUMIF(Mercado_Receita!$T$2:$T$379,"44682B2Energia convencional pré-pagamentoRuralServiço público de irrigação ruralNão se aplicaNão se aplicaNão se aplica",Mercado_Receita!$N$2:$N$379)</f>
        <v>0</v>
      </c>
      <c r="S32" s="13">
        <f>SUMIF(Mercado_Receita!$T$2:$T$379,"44713B2Energia convencional pré-pagamentoRuralServiço público de irrigação ruralNão se aplicaNão se aplicaNão se aplica",Mercado_Receita!$N$2:$N$379)</f>
        <v>0</v>
      </c>
      <c r="T32" s="13">
        <f>SUMIF(Mercado_Receita!$T$2:$T$379,"44743B2Energia convencional pré-pagamentoRuralServiço público de irrigação ruralNão se aplicaNão se aplicaNão se aplica",Mercado_Receita!$N$2:$N$379)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124" t="s">
        <v>32</v>
      </c>
      <c r="B33" s="124" t="s">
        <v>67</v>
      </c>
      <c r="C33" s="124" t="s">
        <v>25</v>
      </c>
      <c r="D33" s="124" t="s">
        <v>25</v>
      </c>
      <c r="E33" s="124" t="s">
        <v>25</v>
      </c>
      <c r="F33" s="124" t="s">
        <v>25</v>
      </c>
      <c r="G33" s="13" t="s">
        <v>69</v>
      </c>
      <c r="H33" s="13" t="s">
        <v>68</v>
      </c>
      <c r="I33" s="13">
        <f>SUMIF(Mercado_Receita!$T$2:$T$379,"44409B3Energia horáriaNão se aplicaNão se aplicaNão se aplicaNão se aplicaPonta",Mercado_Receita!$N$2:$N$379)</f>
        <v>1.1179999999999999</v>
      </c>
      <c r="J33" s="13">
        <f>SUMIF(Mercado_Receita!$T$2:$T$379,"44440B3Energia horáriaNão se aplicaNão se aplicaNão se aplicaNão se aplicaPonta",Mercado_Receita!$N$2:$N$379)</f>
        <v>0.91700000000000004</v>
      </c>
      <c r="K33" s="13">
        <f>SUMIF(Mercado_Receita!$T$2:$T$379,"44470B3Energia horáriaNão se aplicaNão se aplicaNão se aplicaNão se aplicaPonta",Mercado_Receita!$N$2:$N$379)</f>
        <v>0.80300000000000005</v>
      </c>
      <c r="L33" s="13">
        <f>SUMIF(Mercado_Receita!$T$2:$T$379,"44501B3Energia horáriaNão se aplicaNão se aplicaNão se aplicaNão se aplicaPonta",Mercado_Receita!$N$2:$N$379)</f>
        <v>0.85400000000000009</v>
      </c>
      <c r="M33" s="13">
        <f>SUMIF(Mercado_Receita!$T$2:$T$379,"44531B3Energia horáriaNão se aplicaNão se aplicaNão se aplicaNão se aplicaPonta",Mercado_Receita!$N$2:$N$379)</f>
        <v>0.94799999999999995</v>
      </c>
      <c r="N33" s="13">
        <f>SUMIF(Mercado_Receita!$T$2:$T$379,"44562B3Energia horáriaNão se aplicaNão se aplicaNão se aplicaNão se aplicaPonta",Mercado_Receita!$N$2:$N$379)</f>
        <v>0.97499999999999998</v>
      </c>
      <c r="O33" s="13">
        <f>SUMIF(Mercado_Receita!$T$2:$T$379,"44593B3Energia horáriaNão se aplicaNão se aplicaNão se aplicaNão se aplicaPonta",Mercado_Receita!$N$2:$N$379)</f>
        <v>0.78800000000000003</v>
      </c>
      <c r="P33" s="13">
        <f>SUMIF(Mercado_Receita!$T$2:$T$379,"44621B3Energia horáriaNão se aplicaNão se aplicaNão se aplicaNão se aplicaPonta",Mercado_Receita!$N$2:$N$379)</f>
        <v>0.56399999999999995</v>
      </c>
      <c r="Q33" s="13">
        <f>SUMIF(Mercado_Receita!$T$2:$T$379,"44652B3Energia horáriaNão se aplicaNão se aplicaNão se aplicaNão se aplicaPonta",Mercado_Receita!$N$2:$N$379)</f>
        <v>0.59899999999999998</v>
      </c>
      <c r="R33" s="13">
        <f>SUMIF(Mercado_Receita!$T$2:$T$379,"44682B3Energia horáriaNão se aplicaNão se aplicaNão se aplicaNão se aplicaPonta",Mercado_Receita!$N$2:$N$379)</f>
        <v>0.438</v>
      </c>
      <c r="S33" s="13">
        <f>SUMIF(Mercado_Receita!$T$2:$T$379,"44713B3Energia horáriaNão se aplicaNão se aplicaNão se aplicaNão se aplicaPonta",Mercado_Receita!$N$2:$N$379)</f>
        <v>0.44199999999999995</v>
      </c>
      <c r="T33" s="13">
        <f>SUMIF(Mercado_Receita!$T$2:$T$379,"44743B3Energia horáriaNão se aplicaNão se aplicaNão se aplicaNão se aplicaPonta",Mercado_Receita!$N$2:$N$379)</f>
        <v>0.45099999999999996</v>
      </c>
      <c r="U33" s="13">
        <f t="shared" si="0"/>
        <v>8.897000000000002</v>
      </c>
      <c r="V33" s="13"/>
      <c r="W33" s="13"/>
    </row>
    <row r="34" spans="1:23" ht="11.25" customHeight="1" x14ac:dyDescent="0.25">
      <c r="A34" s="125"/>
      <c r="B34" s="125"/>
      <c r="C34" s="125"/>
      <c r="D34" s="125"/>
      <c r="E34" s="125"/>
      <c r="F34" s="125"/>
      <c r="G34" s="13" t="s">
        <v>82</v>
      </c>
      <c r="H34" s="13" t="s">
        <v>68</v>
      </c>
      <c r="I34" s="13">
        <f>SUMIF(Mercado_Receita!$T$2:$T$379,"44409B3Energia horáriaNão se aplicaNão se aplicaNão se aplicaNão se aplicaIntermediário",Mercado_Receita!$N$2:$N$379)</f>
        <v>0.67500000000000004</v>
      </c>
      <c r="J34" s="13">
        <f>SUMIF(Mercado_Receita!$T$2:$T$379,"44440B3Energia horáriaNão se aplicaNão se aplicaNão se aplicaNão se aplicaIntermediário",Mercado_Receita!$N$2:$N$379)</f>
        <v>0.59800000000000009</v>
      </c>
      <c r="K34" s="13">
        <f>SUMIF(Mercado_Receita!$T$2:$T$379,"44470B3Energia horáriaNão se aplicaNão se aplicaNão se aplicaNão se aplicaIntermediário",Mercado_Receita!$N$2:$N$379)</f>
        <v>0.52600000000000002</v>
      </c>
      <c r="L34" s="13">
        <f>SUMIF(Mercado_Receita!$T$2:$T$379,"44501B3Energia horáriaNão se aplicaNão se aplicaNão se aplicaNão se aplicaIntermediário",Mercado_Receita!$N$2:$N$379)</f>
        <v>0.54299999999999993</v>
      </c>
      <c r="M34" s="13">
        <f>SUMIF(Mercado_Receita!$T$2:$T$379,"44531B3Energia horáriaNão se aplicaNão se aplicaNão se aplicaNão se aplicaIntermediário",Mercado_Receita!$N$2:$N$379)</f>
        <v>0.72199999999999998</v>
      </c>
      <c r="N34" s="13">
        <f>SUMIF(Mercado_Receita!$T$2:$T$379,"44562B3Energia horáriaNão se aplicaNão se aplicaNão se aplicaNão se aplicaIntermediário",Mercado_Receita!$N$2:$N$379)</f>
        <v>0.78900000000000003</v>
      </c>
      <c r="O34" s="13">
        <f>SUMIF(Mercado_Receita!$T$2:$T$379,"44593B3Energia horáriaNão se aplicaNão se aplicaNão se aplicaNão se aplicaIntermediário",Mercado_Receita!$N$2:$N$379)</f>
        <v>0.91300000000000003</v>
      </c>
      <c r="P34" s="13">
        <f>SUMIF(Mercado_Receita!$T$2:$T$379,"44621B3Energia horáriaNão se aplicaNão se aplicaNão se aplicaNão se aplicaIntermediário",Mercado_Receita!$N$2:$N$379)</f>
        <v>0.55899999999999994</v>
      </c>
      <c r="Q34" s="13">
        <f>SUMIF(Mercado_Receita!$T$2:$T$379,"44652B3Energia horáriaNão se aplicaNão se aplicaNão se aplicaNão se aplicaIntermediário",Mercado_Receita!$N$2:$N$379)</f>
        <v>0.56299999999999994</v>
      </c>
      <c r="R34" s="13">
        <f>SUMIF(Mercado_Receita!$T$2:$T$379,"44682B3Energia horáriaNão se aplicaNão se aplicaNão se aplicaNão se aplicaIntermediário",Mercado_Receita!$N$2:$N$379)</f>
        <v>0.39400000000000002</v>
      </c>
      <c r="S34" s="13">
        <f>SUMIF(Mercado_Receita!$T$2:$T$379,"44713B3Energia horáriaNão se aplicaNão se aplicaNão se aplicaNão se aplicaIntermediário",Mercado_Receita!$N$2:$N$379)</f>
        <v>0.372</v>
      </c>
      <c r="T34" s="13">
        <f>SUMIF(Mercado_Receita!$T$2:$T$379,"44743B3Energia horáriaNão se aplicaNão se aplicaNão se aplicaNão se aplicaIntermediário",Mercado_Receita!$N$2:$N$379)</f>
        <v>0.379</v>
      </c>
      <c r="U34" s="13">
        <f t="shared" si="0"/>
        <v>7.0329999999999995</v>
      </c>
      <c r="V34" s="13"/>
      <c r="W34" s="13"/>
    </row>
    <row r="35" spans="1:23" ht="11.25" customHeight="1" x14ac:dyDescent="0.25">
      <c r="A35" s="125"/>
      <c r="B35" s="125"/>
      <c r="C35" s="125"/>
      <c r="D35" s="125"/>
      <c r="E35" s="125"/>
      <c r="F35" s="125"/>
      <c r="G35" s="13" t="s">
        <v>70</v>
      </c>
      <c r="H35" s="13" t="s">
        <v>68</v>
      </c>
      <c r="I35" s="13">
        <f>SUMIF(Mercado_Receita!$T$2:$T$379,"44409B3Energia horáriaNão se aplicaNão se aplicaNão se aplicaNão se aplicaFora ponta",Mercado_Receita!$N$2:$N$379)</f>
        <v>14.997</v>
      </c>
      <c r="J35" s="13">
        <f>SUMIF(Mercado_Receita!$T$2:$T$379,"44440B3Energia horáriaNão se aplicaNão se aplicaNão se aplicaNão se aplicaFora ponta",Mercado_Receita!$N$2:$N$379)</f>
        <v>15.103</v>
      </c>
      <c r="K35" s="13">
        <f>SUMIF(Mercado_Receita!$T$2:$T$379,"44470B3Energia horáriaNão se aplicaNão se aplicaNão se aplicaNão se aplicaFora ponta",Mercado_Receita!$N$2:$N$379)</f>
        <v>15.309000000000001</v>
      </c>
      <c r="L35" s="13">
        <f>SUMIF(Mercado_Receita!$T$2:$T$379,"44501B3Energia horáriaNão se aplicaNão se aplicaNão se aplicaNão se aplicaFora ponta",Mercado_Receita!$N$2:$N$379)</f>
        <v>15.247</v>
      </c>
      <c r="M35" s="13">
        <f>SUMIF(Mercado_Receita!$T$2:$T$379,"44531B3Energia horáriaNão se aplicaNão se aplicaNão se aplicaNão se aplicaFora ponta",Mercado_Receita!$N$2:$N$379)</f>
        <v>17.603000000000002</v>
      </c>
      <c r="N35" s="13">
        <f>SUMIF(Mercado_Receita!$T$2:$T$379,"44562B3Energia horáriaNão se aplicaNão se aplicaNão se aplicaNão se aplicaFora ponta",Mercado_Receita!$N$2:$N$379)</f>
        <v>15.328000000000001</v>
      </c>
      <c r="O35" s="13">
        <f>SUMIF(Mercado_Receita!$T$2:$T$379,"44593B3Energia horáriaNão se aplicaNão se aplicaNão se aplicaNão se aplicaFora ponta",Mercado_Receita!$N$2:$N$379)</f>
        <v>18.745999999999999</v>
      </c>
      <c r="P35" s="13">
        <f>SUMIF(Mercado_Receita!$T$2:$T$379,"44621B3Energia horáriaNão se aplicaNão se aplicaNão se aplicaNão se aplicaFora ponta",Mercado_Receita!$N$2:$N$379)</f>
        <v>17.094000000000001</v>
      </c>
      <c r="Q35" s="13">
        <f>SUMIF(Mercado_Receita!$T$2:$T$379,"44652B3Energia horáriaNão se aplicaNão se aplicaNão se aplicaNão se aplicaFora ponta",Mercado_Receita!$N$2:$N$379)</f>
        <v>17.474</v>
      </c>
      <c r="R35" s="13">
        <f>SUMIF(Mercado_Receita!$T$2:$T$379,"44682B3Energia horáriaNão se aplicaNão se aplicaNão se aplicaNão se aplicaFora ponta",Mercado_Receita!$N$2:$N$379)</f>
        <v>13.515000000000001</v>
      </c>
      <c r="S35" s="13">
        <f>SUMIF(Mercado_Receita!$T$2:$T$379,"44713B3Energia horáriaNão se aplicaNão se aplicaNão se aplicaNão se aplicaFora ponta",Mercado_Receita!$N$2:$N$379)</f>
        <v>12.3</v>
      </c>
      <c r="T35" s="13">
        <f>SUMIF(Mercado_Receita!$T$2:$T$379,"44743B3Energia horáriaNão se aplicaNão se aplicaNão se aplicaNão se aplicaFora ponta",Mercado_Receita!$N$2:$N$379)</f>
        <v>11.189</v>
      </c>
      <c r="U35" s="13">
        <f t="shared" si="0"/>
        <v>183.905</v>
      </c>
      <c r="V35" s="13"/>
      <c r="W35" s="13"/>
    </row>
    <row r="36" spans="1:23" ht="11.25" customHeight="1" x14ac:dyDescent="0.25">
      <c r="A36" s="125"/>
      <c r="B36" s="12" t="s">
        <v>71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72</v>
      </c>
      <c r="H36" s="13" t="s">
        <v>68</v>
      </c>
      <c r="I36" s="13">
        <f>SUMIF(Mercado_Receita!$T$2:$T$379,"44409B3Energia convencionalNão se aplicaNão se aplicaNão se aplicaNão se aplicaNão se aplica",Mercado_Receita!$N$2:$N$379)</f>
        <v>357.49199999999996</v>
      </c>
      <c r="J36" s="13">
        <f>SUMIF(Mercado_Receita!$T$2:$T$379,"44440B3Energia convencionalNão se aplicaNão se aplicaNão se aplicaNão se aplicaNão se aplica",Mercado_Receita!$N$2:$N$379)</f>
        <v>333.63400000000001</v>
      </c>
      <c r="K36" s="13">
        <f>SUMIF(Mercado_Receita!$T$2:$T$379,"44470B3Energia convencionalNão se aplicaNão se aplicaNão se aplicaNão se aplicaNão se aplica",Mercado_Receita!$N$2:$N$379)</f>
        <v>397.52400000000006</v>
      </c>
      <c r="L36" s="13">
        <f>SUMIF(Mercado_Receita!$T$2:$T$379,"44501B3Energia convencionalNão se aplicaNão se aplicaNão se aplicaNão se aplicaNão se aplica",Mercado_Receita!$N$2:$N$379)</f>
        <v>339.73700000000008</v>
      </c>
      <c r="M36" s="13">
        <f>SUMIF(Mercado_Receita!$T$2:$T$379,"44531B3Energia convencionalNão se aplicaNão se aplicaNão se aplicaNão se aplicaNão se aplica",Mercado_Receita!$N$2:$N$379)</f>
        <v>388.88500000000005</v>
      </c>
      <c r="N36" s="13">
        <f>SUMIF(Mercado_Receita!$T$2:$T$379,"44562B3Energia convencionalNão se aplicaNão se aplicaNão se aplicaNão se aplicaNão se aplica",Mercado_Receita!$N$2:$N$379)</f>
        <v>382.88399999999996</v>
      </c>
      <c r="O36" s="13">
        <f>SUMIF(Mercado_Receita!$T$2:$T$379,"44593B3Energia convencionalNão se aplicaNão se aplicaNão se aplicaNão se aplicaNão se aplica",Mercado_Receita!$N$2:$N$379)</f>
        <v>470.29300000000006</v>
      </c>
      <c r="P36" s="13">
        <f>SUMIF(Mercado_Receita!$T$2:$T$379,"44621B3Energia convencionalNão se aplicaNão se aplicaNão se aplicaNão se aplicaNão se aplica",Mercado_Receita!$N$2:$N$379)</f>
        <v>424.69900000000007</v>
      </c>
      <c r="Q36" s="13">
        <f>SUMIF(Mercado_Receita!$T$2:$T$379,"44652B3Energia convencionalNão se aplicaNão se aplicaNão se aplicaNão se aplicaNão se aplica",Mercado_Receita!$N$2:$N$379)</f>
        <v>431.69200000000006</v>
      </c>
      <c r="R36" s="13">
        <f>SUMIF(Mercado_Receita!$T$2:$T$379,"44682B3Energia convencionalNão se aplicaNão se aplicaNão se aplicaNão se aplicaNão se aplica",Mercado_Receita!$N$2:$N$379)</f>
        <v>381.54699999999997</v>
      </c>
      <c r="S36" s="13">
        <f>SUMIF(Mercado_Receita!$T$2:$T$379,"44713B3Energia convencionalNão se aplicaNão se aplicaNão se aplicaNão se aplicaNão se aplica",Mercado_Receita!$N$2:$N$379)</f>
        <v>348.28200000000004</v>
      </c>
      <c r="T36" s="13">
        <f>SUMIF(Mercado_Receita!$T$2:$T$379,"44743B3Energia convencionalNão se aplicaNão se aplicaNão se aplicaNão se aplicaNão se aplica",Mercado_Receita!$N$2:$N$379)</f>
        <v>376.07199999999995</v>
      </c>
      <c r="U36" s="13">
        <f t="shared" si="0"/>
        <v>4632.741</v>
      </c>
      <c r="V36" s="13"/>
      <c r="W36" s="13"/>
    </row>
    <row r="37" spans="1:23" ht="11.25" customHeight="1" x14ac:dyDescent="0.25">
      <c r="A37" s="125"/>
      <c r="B37" s="12" t="s">
        <v>83</v>
      </c>
      <c r="C37" s="12" t="s">
        <v>25</v>
      </c>
      <c r="D37" s="12" t="s">
        <v>25</v>
      </c>
      <c r="E37" s="12" t="s">
        <v>25</v>
      </c>
      <c r="F37" s="12" t="s">
        <v>25</v>
      </c>
      <c r="G37" s="13" t="s">
        <v>72</v>
      </c>
      <c r="H37" s="13" t="s">
        <v>68</v>
      </c>
      <c r="I37" s="13">
        <f>SUMIF(Mercado_Receita!$T$2:$T$379,"44409B3Energia convencional pré-pagamentoNão se aplicaNão se aplicaNão se aplicaNão se aplicaNão se aplica",Mercado_Receita!$N$2:$N$379)</f>
        <v>0</v>
      </c>
      <c r="J37" s="13">
        <f>SUMIF(Mercado_Receita!$T$2:$T$379,"44440B3Energia convencional pré-pagamentoNão se aplicaNão se aplicaNão se aplicaNão se aplicaNão se aplica",Mercado_Receita!$N$2:$N$379)</f>
        <v>0</v>
      </c>
      <c r="K37" s="13">
        <f>SUMIF(Mercado_Receita!$T$2:$T$379,"44470B3Energia convencional pré-pagamentoNão se aplicaNão se aplicaNão se aplicaNão se aplicaNão se aplica",Mercado_Receita!$N$2:$N$379)</f>
        <v>0</v>
      </c>
      <c r="L37" s="13">
        <f>SUMIF(Mercado_Receita!$T$2:$T$379,"44501B3Energia convencional pré-pagamentoNão se aplicaNão se aplicaNão se aplicaNão se aplicaNão se aplica",Mercado_Receita!$N$2:$N$379)</f>
        <v>0</v>
      </c>
      <c r="M37" s="13">
        <f>SUMIF(Mercado_Receita!$T$2:$T$379,"44531B3Energia convencional pré-pagamentoNão se aplicaNão se aplicaNão se aplicaNão se aplicaNão se aplica",Mercado_Receita!$N$2:$N$379)</f>
        <v>0</v>
      </c>
      <c r="N37" s="13">
        <f>SUMIF(Mercado_Receita!$T$2:$T$379,"44562B3Energia convencional pré-pagamentoNão se aplicaNão se aplicaNão se aplicaNão se aplicaNão se aplica",Mercado_Receita!$N$2:$N$379)</f>
        <v>0</v>
      </c>
      <c r="O37" s="13">
        <f>SUMIF(Mercado_Receita!$T$2:$T$379,"44593B3Energia convencional pré-pagamentoNão se aplicaNão se aplicaNão se aplicaNão se aplicaNão se aplica",Mercado_Receita!$N$2:$N$379)</f>
        <v>0</v>
      </c>
      <c r="P37" s="13">
        <f>SUMIF(Mercado_Receita!$T$2:$T$379,"44621B3Energia convencional pré-pagamentoNão se aplicaNão se aplicaNão se aplicaNão se aplicaNão se aplica",Mercado_Receita!$N$2:$N$379)</f>
        <v>0</v>
      </c>
      <c r="Q37" s="13">
        <f>SUMIF(Mercado_Receita!$T$2:$T$379,"44652B3Energia convencional pré-pagamentoNão se aplicaNão se aplicaNão se aplicaNão se aplicaNão se aplica",Mercado_Receita!$N$2:$N$379)</f>
        <v>0</v>
      </c>
      <c r="R37" s="13">
        <f>SUMIF(Mercado_Receita!$T$2:$T$379,"44682B3Energia convencional pré-pagamentoNão se aplicaNão se aplicaNão se aplicaNão se aplicaNão se aplica",Mercado_Receita!$N$2:$N$379)</f>
        <v>0</v>
      </c>
      <c r="S37" s="13">
        <f>SUMIF(Mercado_Receita!$T$2:$T$379,"44713B3Energia convencional pré-pagamentoNão se aplicaNão se aplicaNão se aplicaNão se aplicaNão se aplica",Mercado_Receita!$N$2:$N$379)</f>
        <v>0</v>
      </c>
      <c r="T37" s="13">
        <f>SUMIF(Mercado_Receita!$T$2:$T$379,"44743B3Energia convencional pré-pagamentoNão se aplicaNão se aplicaNão se aplicaNão se aplicaNão se aplica",Mercado_Receita!$N$2:$N$379)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124" t="s">
        <v>44</v>
      </c>
      <c r="B38" s="124" t="s">
        <v>71</v>
      </c>
      <c r="C38" s="124" t="s">
        <v>45</v>
      </c>
      <c r="D38" s="12" t="s">
        <v>46</v>
      </c>
      <c r="E38" s="12" t="s">
        <v>25</v>
      </c>
      <c r="F38" s="12" t="s">
        <v>25</v>
      </c>
      <c r="G38" s="13" t="s">
        <v>72</v>
      </c>
      <c r="H38" s="13" t="s">
        <v>68</v>
      </c>
      <c r="I38" s="13">
        <f>SUMIF(Mercado_Receita!$T$2:$T$379,"44409B4Energia convencionalIluminação públicaIluminação pública – B4aNão se aplicaNão se aplicaNão se aplica",Mercado_Receita!$N$2:$N$379)</f>
        <v>30.279</v>
      </c>
      <c r="J38" s="13">
        <f>SUMIF(Mercado_Receita!$T$2:$T$379,"44440B4Energia convencionalIluminação públicaIluminação pública – B4aNão se aplicaNão se aplicaNão se aplica",Mercado_Receita!$N$2:$N$379)</f>
        <v>29.314</v>
      </c>
      <c r="K38" s="13">
        <f>SUMIF(Mercado_Receita!$T$2:$T$379,"44470B4Energia convencionalIluminação públicaIluminação pública – B4aNão se aplicaNão se aplicaNão se aplica",Mercado_Receita!$N$2:$N$379)</f>
        <v>30.283999999999999</v>
      </c>
      <c r="L38" s="13">
        <f>SUMIF(Mercado_Receita!$T$2:$T$379,"44501B4Energia convencionalIluminação públicaIluminação pública – B4aNão se aplicaNão se aplicaNão se aplica",Mercado_Receita!$N$2:$N$379)</f>
        <v>29.344999999999999</v>
      </c>
      <c r="M38" s="13">
        <f>SUMIF(Mercado_Receita!$T$2:$T$379,"44531B4Energia convencionalIluminação públicaIluminação pública – B4aNão se aplicaNão se aplicaNão se aplica",Mercado_Receita!$N$2:$N$379)</f>
        <v>31.134</v>
      </c>
      <c r="N38" s="13">
        <f>SUMIF(Mercado_Receita!$T$2:$T$379,"44562B4Energia convencionalIluminação públicaIluminação pública – B4aNão se aplicaNão se aplicaNão se aplica",Mercado_Receita!$N$2:$N$379)</f>
        <v>30.346</v>
      </c>
      <c r="O38" s="13">
        <f>SUMIF(Mercado_Receita!$T$2:$T$379,"44593B4Energia convencionalIluminação públicaIluminação pública – B4aNão se aplicaNão se aplicaNão se aplica",Mercado_Receita!$N$2:$N$379)</f>
        <v>27.167000000000002</v>
      </c>
      <c r="P38" s="13">
        <f>SUMIF(Mercado_Receita!$T$2:$T$379,"44621B4Energia convencionalIluminação públicaIluminação pública – B4aNão se aplicaNão se aplicaNão se aplica",Mercado_Receita!$N$2:$N$379)</f>
        <v>30.222000000000001</v>
      </c>
      <c r="Q38" s="13">
        <f>SUMIF(Mercado_Receita!$T$2:$T$379,"44652B4Energia convencionalIluminação públicaIluminação pública – B4aNão se aplicaNão se aplicaNão se aplica",Mercado_Receita!$N$2:$N$379)</f>
        <v>29.305</v>
      </c>
      <c r="R38" s="13">
        <f>SUMIF(Mercado_Receita!$T$2:$T$379,"44682B4Energia convencionalIluminação públicaIluminação pública – B4aNão se aplicaNão se aplicaNão se aplica",Mercado_Receita!$N$2:$N$379)</f>
        <v>30.077000000000002</v>
      </c>
      <c r="S38" s="13">
        <f>SUMIF(Mercado_Receita!$T$2:$T$379,"44713B4Energia convencionalIluminação públicaIluminação pública – B4aNão se aplicaNão se aplicaNão se aplica",Mercado_Receita!$N$2:$N$379)</f>
        <v>29.158000000000001</v>
      </c>
      <c r="T38" s="13">
        <f>SUMIF(Mercado_Receita!$T$2:$T$379,"44743B4Energia convencionalIluminação públicaIluminação pública – B4aNão se aplicaNão se aplicaNão se aplica",Mercado_Receita!$N$2:$N$379)</f>
        <v>30.065000000000001</v>
      </c>
      <c r="U38" s="13">
        <f t="shared" si="0"/>
        <v>356.69600000000003</v>
      </c>
      <c r="V38" s="13"/>
      <c r="W38" s="13"/>
    </row>
    <row r="39" spans="1:23" ht="11.25" customHeight="1" x14ac:dyDescent="0.25">
      <c r="A39" s="125"/>
      <c r="B39" s="125"/>
      <c r="C39" s="125"/>
      <c r="D39" s="13" t="s">
        <v>87</v>
      </c>
      <c r="E39" s="13" t="s">
        <v>25</v>
      </c>
      <c r="F39" s="13" t="s">
        <v>25</v>
      </c>
      <c r="G39" s="13" t="s">
        <v>72</v>
      </c>
      <c r="H39" s="13" t="s">
        <v>68</v>
      </c>
      <c r="I39" s="13">
        <f>SUMIF(Mercado_Receita!$T$2:$T$379,"44409B4Energia convencionalIluminação públicaIluminação pública – B4bNão se aplicaNão se aplicaNão se aplica",Mercado_Receita!$N$2:$N$379)</f>
        <v>0</v>
      </c>
      <c r="J39" s="13">
        <f>SUMIF(Mercado_Receita!$T$2:$T$379,"44440B4Energia convencionalIluminação públicaIluminação pública – B4bNão se aplicaNão se aplicaNão se aplica",Mercado_Receita!$N$2:$N$379)</f>
        <v>0</v>
      </c>
      <c r="K39" s="13">
        <f>SUMIF(Mercado_Receita!$T$2:$T$379,"44470B4Energia convencionalIluminação públicaIluminação pública – B4bNão se aplicaNão se aplicaNão se aplica",Mercado_Receita!$N$2:$N$379)</f>
        <v>0</v>
      </c>
      <c r="L39" s="13">
        <f>SUMIF(Mercado_Receita!$T$2:$T$379,"44501B4Energia convencionalIluminação públicaIluminação pública – B4bNão se aplicaNão se aplicaNão se aplica",Mercado_Receita!$N$2:$N$379)</f>
        <v>0</v>
      </c>
      <c r="M39" s="13">
        <f>SUMIF(Mercado_Receita!$T$2:$T$379,"44531B4Energia convencionalIluminação públicaIluminação pública – B4bNão se aplicaNão se aplicaNão se aplica",Mercado_Receita!$N$2:$N$379)</f>
        <v>0</v>
      </c>
      <c r="N39" s="13">
        <f>SUMIF(Mercado_Receita!$T$2:$T$379,"44562B4Energia convencionalIluminação públicaIluminação pública – B4bNão se aplicaNão se aplicaNão se aplica",Mercado_Receita!$N$2:$N$379)</f>
        <v>0</v>
      </c>
      <c r="O39" s="13">
        <f>SUMIF(Mercado_Receita!$T$2:$T$379,"44593B4Energia convencionalIluminação públicaIluminação pública – B4bNão se aplicaNão se aplicaNão se aplica",Mercado_Receita!$N$2:$N$379)</f>
        <v>0</v>
      </c>
      <c r="P39" s="13">
        <f>SUMIF(Mercado_Receita!$T$2:$T$379,"44621B4Energia convencionalIluminação públicaIluminação pública – B4bNão se aplicaNão se aplicaNão se aplica",Mercado_Receita!$N$2:$N$379)</f>
        <v>0</v>
      </c>
      <c r="Q39" s="13">
        <f>SUMIF(Mercado_Receita!$T$2:$T$379,"44652B4Energia convencionalIluminação públicaIluminação pública – B4bNão se aplicaNão se aplicaNão se aplica",Mercado_Receita!$N$2:$N$379)</f>
        <v>0</v>
      </c>
      <c r="R39" s="13">
        <f>SUMIF(Mercado_Receita!$T$2:$T$379,"44682B4Energia convencionalIluminação públicaIluminação pública – B4bNão se aplicaNão se aplicaNão se aplica",Mercado_Receita!$N$2:$N$379)</f>
        <v>0</v>
      </c>
      <c r="S39" s="13">
        <f>SUMIF(Mercado_Receita!$T$2:$T$379,"44713B4Energia convencionalIluminação públicaIluminação pública – B4bNão se aplicaNão se aplicaNão se aplica",Mercado_Receita!$N$2:$N$379)</f>
        <v>0</v>
      </c>
      <c r="T39" s="13">
        <f>SUMIF(Mercado_Receita!$T$2:$T$379,"44743B4Energia convencionalIluminação públicaIluminação pública – B4bNão se aplicaNão se aplicaNão se aplica",Mercado_Receita!$N$2:$N$379)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126" t="s">
        <v>418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3"/>
      <c r="W40" s="13"/>
    </row>
  </sheetData>
  <mergeCells count="44">
    <mergeCell ref="A2:A4"/>
    <mergeCell ref="F2:F3"/>
    <mergeCell ref="E2:E3"/>
    <mergeCell ref="D2:D3"/>
    <mergeCell ref="C2:C3"/>
    <mergeCell ref="B2:B3"/>
    <mergeCell ref="C13:C17"/>
    <mergeCell ref="B13:B17"/>
    <mergeCell ref="A5:A17"/>
    <mergeCell ref="F18:F20"/>
    <mergeCell ref="E18:E20"/>
    <mergeCell ref="D18:D20"/>
    <mergeCell ref="C18:C20"/>
    <mergeCell ref="B18:B20"/>
    <mergeCell ref="F5:F7"/>
    <mergeCell ref="E5:E7"/>
    <mergeCell ref="D5:D7"/>
    <mergeCell ref="C5:C7"/>
    <mergeCell ref="B5:B7"/>
    <mergeCell ref="C8:C12"/>
    <mergeCell ref="B8:B12"/>
    <mergeCell ref="C22:C24"/>
    <mergeCell ref="B22:B24"/>
    <mergeCell ref="F26:F28"/>
    <mergeCell ref="E26:E28"/>
    <mergeCell ref="D26:D28"/>
    <mergeCell ref="C26:C28"/>
    <mergeCell ref="B26:B28"/>
    <mergeCell ref="A38:A39"/>
    <mergeCell ref="B38:B39"/>
    <mergeCell ref="C38:C39"/>
    <mergeCell ref="A40:U40"/>
    <mergeCell ref="C30:C32"/>
    <mergeCell ref="B30:B32"/>
    <mergeCell ref="A18:A32"/>
    <mergeCell ref="F33:F35"/>
    <mergeCell ref="E33:E35"/>
    <mergeCell ref="D33:D35"/>
    <mergeCell ref="C33:C35"/>
    <mergeCell ref="B33:B35"/>
    <mergeCell ref="A33:A37"/>
    <mergeCell ref="F22:F24"/>
    <mergeCell ref="E22:E24"/>
    <mergeCell ref="D22:D2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3BAC-9543-4DBB-AC39-914A6BB34C5C}">
  <sheetPr codeName="Planilha7"/>
  <dimension ref="A1:AD200"/>
  <sheetViews>
    <sheetView showGridLines="0" topLeftCell="A40" workbookViewId="0">
      <selection activeCell="D59" sqref="D59"/>
    </sheetView>
  </sheetViews>
  <sheetFormatPr defaultColWidth="9.140625"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8.7109375" style="14" bestFit="1" customWidth="1"/>
    <col min="7" max="11" width="9.140625" style="14"/>
    <col min="12" max="12" width="34.140625" style="14" bestFit="1" customWidth="1"/>
    <col min="13" max="13" width="10" style="14" bestFit="1" customWidth="1"/>
    <col min="14" max="14" width="36.140625" style="14" bestFit="1" customWidth="1"/>
    <col min="15" max="15" width="30.7109375" style="14" customWidth="1"/>
    <col min="16" max="16" width="13.5703125" style="14" bestFit="1" customWidth="1"/>
    <col min="17" max="17" width="9.28515625" style="14" bestFit="1" customWidth="1"/>
    <col min="18" max="18" width="14.5703125" style="14" bestFit="1" customWidth="1"/>
    <col min="19" max="19" width="31.1406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1.710937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458</v>
      </c>
      <c r="B1" s="10" t="s">
        <v>459</v>
      </c>
      <c r="C1" s="10" t="s">
        <v>460</v>
      </c>
      <c r="D1" s="10" t="s">
        <v>461</v>
      </c>
      <c r="E1" s="10" t="s">
        <v>462</v>
      </c>
      <c r="F1" s="10" t="s">
        <v>463</v>
      </c>
      <c r="G1" s="7"/>
      <c r="H1" s="7"/>
      <c r="I1" s="7"/>
      <c r="J1" s="7"/>
      <c r="K1" s="7"/>
      <c r="L1" s="135" t="s">
        <v>464</v>
      </c>
      <c r="M1" s="135"/>
      <c r="N1" s="7"/>
      <c r="O1" s="128" t="s">
        <v>551</v>
      </c>
      <c r="P1" s="129"/>
      <c r="Q1" s="129"/>
      <c r="R1" s="129"/>
      <c r="S1" s="129"/>
      <c r="T1" s="129"/>
      <c r="U1" s="129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36" t="s">
        <v>419</v>
      </c>
      <c r="B2" s="136" t="s">
        <v>420</v>
      </c>
      <c r="C2" s="16" t="s">
        <v>505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465</v>
      </c>
      <c r="M2" s="99">
        <v>5.0993167936287831E-2</v>
      </c>
      <c r="N2" s="15"/>
      <c r="O2" s="28" t="s">
        <v>552</v>
      </c>
      <c r="P2" s="28" t="s">
        <v>553</v>
      </c>
      <c r="Q2" s="28" t="s">
        <v>554</v>
      </c>
      <c r="R2" s="28" t="s">
        <v>34</v>
      </c>
      <c r="S2" s="28" t="s">
        <v>555</v>
      </c>
      <c r="T2" s="28" t="s">
        <v>79</v>
      </c>
      <c r="U2" s="28"/>
      <c r="V2" s="15"/>
      <c r="W2" s="15"/>
      <c r="X2" s="23" t="s">
        <v>518</v>
      </c>
      <c r="Y2" s="15"/>
      <c r="Z2" s="15"/>
      <c r="AA2" s="15" t="s">
        <v>563</v>
      </c>
      <c r="AB2" s="15"/>
      <c r="AC2" s="15"/>
      <c r="AD2" s="15"/>
    </row>
    <row r="3" spans="1:30" ht="12" customHeight="1" x14ac:dyDescent="0.2">
      <c r="A3" s="137"/>
      <c r="B3" s="137"/>
      <c r="C3" s="16" t="s">
        <v>421</v>
      </c>
      <c r="D3" s="13">
        <v>19438.38955486341</v>
      </c>
      <c r="E3" s="13">
        <v>-605.2669514483473</v>
      </c>
      <c r="F3" s="13">
        <v>0</v>
      </c>
      <c r="G3" s="15"/>
      <c r="H3" s="15"/>
      <c r="I3" s="15"/>
      <c r="J3" s="15"/>
      <c r="K3" s="15"/>
      <c r="L3" s="23" t="s">
        <v>466</v>
      </c>
      <c r="M3" s="99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95">
        <v>1</v>
      </c>
      <c r="U3" s="29" t="s">
        <v>556</v>
      </c>
      <c r="V3" s="15"/>
      <c r="W3" s="15"/>
      <c r="X3" s="23" t="s">
        <v>519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137"/>
      <c r="B4" s="137"/>
      <c r="C4" s="16" t="s">
        <v>422</v>
      </c>
      <c r="D4" s="13">
        <f>$M$22-D$30</f>
        <v>62873.272518088721</v>
      </c>
      <c r="E4" s="13">
        <f>IF((D4+D$30)&lt;&gt;0,$M$20*D4/(D4+D$30),0)</f>
        <v>3.3834428704921385E-2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467</v>
      </c>
      <c r="M4" s="99">
        <v>0.10076792163048442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78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137"/>
      <c r="B5" s="137"/>
      <c r="C5" s="16" t="s">
        <v>423</v>
      </c>
      <c r="D5" s="13">
        <v>0</v>
      </c>
      <c r="E5" s="13">
        <v>0</v>
      </c>
      <c r="F5" s="13">
        <v>0</v>
      </c>
      <c r="G5" s="15"/>
      <c r="H5" s="15"/>
      <c r="I5" s="15"/>
      <c r="J5" s="15"/>
      <c r="K5" s="15"/>
      <c r="L5" s="23" t="s">
        <v>468</v>
      </c>
      <c r="M5" s="99">
        <v>0.01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137"/>
      <c r="B6" s="137"/>
      <c r="C6" s="16" t="s">
        <v>424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469</v>
      </c>
      <c r="M6" s="99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137"/>
      <c r="B7" s="137"/>
      <c r="C7" s="16" t="s">
        <v>425</v>
      </c>
      <c r="D7" s="13">
        <v>1702303.4434674436</v>
      </c>
      <c r="E7" s="13">
        <v>-49197.963101249363</v>
      </c>
      <c r="F7" s="13">
        <v>373798.43119999999</v>
      </c>
      <c r="G7" s="15"/>
      <c r="H7" s="15"/>
      <c r="I7" s="15"/>
      <c r="J7" s="15"/>
      <c r="K7" s="15"/>
      <c r="L7" s="23" t="s">
        <v>470</v>
      </c>
      <c r="M7" s="23">
        <f>M8+M9+M10+M11</f>
        <v>998.65575534941922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137"/>
      <c r="B8" s="137"/>
      <c r="C8" s="16" t="s">
        <v>426</v>
      </c>
      <c r="D8" s="13">
        <v>282487.42412703927</v>
      </c>
      <c r="E8" s="13">
        <v>-8721.5821381477435</v>
      </c>
      <c r="F8" s="13">
        <v>76622.522500000006</v>
      </c>
      <c r="G8" s="15"/>
      <c r="H8" s="15"/>
      <c r="I8" s="15"/>
      <c r="J8" s="15"/>
      <c r="K8" s="15"/>
      <c r="L8" s="100" t="s">
        <v>471</v>
      </c>
      <c r="M8" s="23">
        <v>907.04481422941922</v>
      </c>
      <c r="N8" s="15"/>
      <c r="O8" s="23" t="s">
        <v>504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137"/>
      <c r="B9" s="137"/>
      <c r="C9" s="16" t="s">
        <v>427</v>
      </c>
      <c r="D9" s="13"/>
      <c r="E9" s="13"/>
      <c r="F9" s="13"/>
      <c r="G9" s="15"/>
      <c r="H9" s="15"/>
      <c r="I9" s="15"/>
      <c r="J9" s="15"/>
      <c r="K9" s="15"/>
      <c r="L9" s="101" t="s">
        <v>472</v>
      </c>
      <c r="M9" s="23">
        <v>91.610941120000035</v>
      </c>
      <c r="N9" s="15"/>
      <c r="O9" s="23" t="s">
        <v>509</v>
      </c>
      <c r="P9" s="29">
        <f>SUM(Mercado_Receita!$J$2:$J$379)</f>
        <v>31517</v>
      </c>
      <c r="Q9" s="29">
        <v>31517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137"/>
      <c r="B10" s="138"/>
      <c r="C10" s="16" t="s">
        <v>428</v>
      </c>
      <c r="D10" s="13">
        <f>SUM(D$2:D9)</f>
        <v>2067102.529667435</v>
      </c>
      <c r="E10" s="13">
        <f>SUM(E$2:E9)</f>
        <v>-58524.778356416748</v>
      </c>
      <c r="F10" s="13">
        <f>SUM(F$2:F9)</f>
        <v>450420.95370000001</v>
      </c>
      <c r="G10" s="15"/>
      <c r="H10" s="15"/>
      <c r="I10" s="15"/>
      <c r="J10" s="15"/>
      <c r="K10" s="15"/>
      <c r="L10" s="100" t="s">
        <v>473</v>
      </c>
      <c r="M10" s="23">
        <v>0</v>
      </c>
      <c r="N10" s="15"/>
      <c r="O10" s="23" t="s">
        <v>510</v>
      </c>
      <c r="P10" s="29">
        <f>SUM(Mercado_Receita!$L$2:$L$379)</f>
        <v>21369.896999999994</v>
      </c>
      <c r="Q10" s="29">
        <v>21369.897000000001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137"/>
      <c r="B11" s="136" t="s">
        <v>429</v>
      </c>
      <c r="C11" s="16" t="s">
        <v>430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00" t="s">
        <v>474</v>
      </c>
      <c r="M11" s="23">
        <v>0</v>
      </c>
      <c r="N11" s="15"/>
      <c r="O11" s="23" t="s">
        <v>511</v>
      </c>
      <c r="P11" s="29">
        <f>SUM(Mercado_Receita!$N$2:$N$379)</f>
        <v>14993.343000000004</v>
      </c>
      <c r="Q11" s="29">
        <v>14993.343000000001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137"/>
      <c r="B12" s="137"/>
      <c r="C12" s="16" t="s">
        <v>431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475</v>
      </c>
      <c r="M12" s="23">
        <v>15991.998755349423</v>
      </c>
      <c r="N12" s="15"/>
      <c r="O12" s="23" t="s">
        <v>512</v>
      </c>
      <c r="P12" s="29">
        <f>SUMIF('MERCADO TUSD'!$H$2:$H$48,"kW",'MERCADO TUSD'!$U$2:$U$48)</f>
        <v>31517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137"/>
      <c r="B13" s="137"/>
      <c r="C13" s="16" t="s">
        <v>432</v>
      </c>
      <c r="D13" s="13">
        <f>-$M$51+0</f>
        <v>0</v>
      </c>
      <c r="E13" s="13">
        <v>0</v>
      </c>
      <c r="F13" s="13">
        <v>0</v>
      </c>
      <c r="G13" s="15"/>
      <c r="H13" s="15"/>
      <c r="I13" s="15"/>
      <c r="J13" s="15"/>
      <c r="K13" s="15"/>
      <c r="L13" s="23" t="s">
        <v>476</v>
      </c>
      <c r="M13" s="23">
        <v>366.16407083343933</v>
      </c>
      <c r="N13" s="15"/>
      <c r="O13" s="23" t="s">
        <v>513</v>
      </c>
      <c r="P13" s="29">
        <f>SUMIF('MERCADO TUSD'!$H$2:$H$48,"MWh",'MERCADO TUSD'!$U$2:$U$48)</f>
        <v>21369.897000000001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137"/>
      <c r="B14" s="137"/>
      <c r="C14" s="16" t="s">
        <v>433</v>
      </c>
      <c r="D14" s="13">
        <v>0</v>
      </c>
      <c r="E14" s="13">
        <v>0</v>
      </c>
      <c r="F14" s="13">
        <v>0</v>
      </c>
      <c r="G14" s="15"/>
      <c r="H14" s="15"/>
      <c r="I14" s="15"/>
      <c r="J14" s="15"/>
      <c r="K14" s="15"/>
      <c r="L14" s="23" t="s">
        <v>477</v>
      </c>
      <c r="M14" s="23">
        <v>278.46466816729736</v>
      </c>
      <c r="N14" s="15"/>
      <c r="O14" s="23" t="s">
        <v>514</v>
      </c>
      <c r="P14" s="29">
        <f>SUMIF('MERCADO TE'!$H$2:$H$39,"MWh",'MERCADO TE'!$U$2:$U$39)</f>
        <v>14993.343000000001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137"/>
      <c r="B15" s="137"/>
      <c r="C15" s="16" t="s">
        <v>434</v>
      </c>
      <c r="D15" s="13">
        <v>2132832.06996</v>
      </c>
      <c r="E15" s="13">
        <v>-56662.602195281324</v>
      </c>
      <c r="F15" s="13">
        <v>0</v>
      </c>
      <c r="G15" s="15"/>
      <c r="H15" s="15"/>
      <c r="I15" s="15"/>
      <c r="J15" s="15"/>
      <c r="K15" s="15"/>
      <c r="L15" s="23" t="s">
        <v>478</v>
      </c>
      <c r="M15" s="23">
        <f>M14*M12</f>
        <v>4453206.6267402098</v>
      </c>
      <c r="N15" s="15"/>
      <c r="O15" s="23" t="s">
        <v>515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137"/>
      <c r="B16" s="137"/>
      <c r="C16" s="16" t="s">
        <v>435</v>
      </c>
      <c r="D16" s="13">
        <v>0</v>
      </c>
      <c r="E16" s="13">
        <v>0</v>
      </c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479</v>
      </c>
      <c r="M16" s="23">
        <v>122624.84250787222</v>
      </c>
      <c r="N16" s="15"/>
      <c r="O16" s="23" t="s">
        <v>516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137"/>
      <c r="B17" s="137"/>
      <c r="C17" s="16" t="s">
        <v>436</v>
      </c>
      <c r="D17" s="13">
        <v>0</v>
      </c>
      <c r="E17" s="13">
        <v>0</v>
      </c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480</v>
      </c>
      <c r="M17" s="23">
        <v>-47826.865300000005</v>
      </c>
      <c r="N17" s="15"/>
      <c r="O17" s="23" t="s">
        <v>517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137"/>
      <c r="B18" s="138"/>
      <c r="C18" s="16" t="s">
        <v>428</v>
      </c>
      <c r="D18" s="13">
        <f>SUM(D$11:D17)</f>
        <v>2132832.06996</v>
      </c>
      <c r="E18" s="13">
        <f>SUM(E$11:E17)</f>
        <v>-56662.602195281324</v>
      </c>
      <c r="F18" s="13">
        <f>SUM(F$11:F17)</f>
        <v>0</v>
      </c>
      <c r="G18" s="15"/>
      <c r="H18" s="15"/>
      <c r="I18" s="15"/>
      <c r="J18" s="15"/>
      <c r="K18" s="15"/>
      <c r="L18" s="23" t="s">
        <v>481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137"/>
      <c r="B19" s="136" t="s">
        <v>437</v>
      </c>
      <c r="C19" s="16" t="s">
        <v>438</v>
      </c>
      <c r="D19" s="13">
        <v>3514906.6439787205</v>
      </c>
      <c r="E19" s="13">
        <v>0</v>
      </c>
      <c r="F19" s="13">
        <v>0</v>
      </c>
      <c r="G19" s="15"/>
      <c r="H19" s="15"/>
      <c r="I19" s="15"/>
      <c r="J19" s="15"/>
      <c r="K19" s="15"/>
      <c r="L19" s="23" t="s">
        <v>482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137"/>
      <c r="B20" s="138"/>
      <c r="C20" s="16" t="s">
        <v>428</v>
      </c>
      <c r="D20" s="13">
        <f>SUM(D$19:D19)</f>
        <v>3514906.6439787205</v>
      </c>
      <c r="E20" s="13">
        <f>SUM(E$19:E19)</f>
        <v>0</v>
      </c>
      <c r="F20" s="13">
        <f>SUM(F$19:F19)</f>
        <v>0</v>
      </c>
      <c r="G20" s="15"/>
      <c r="H20" s="15"/>
      <c r="I20" s="15"/>
      <c r="J20" s="15"/>
      <c r="K20" s="15"/>
      <c r="L20" s="23" t="s">
        <v>483</v>
      </c>
      <c r="M20" s="23">
        <v>5.6485528852284972E-2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137"/>
      <c r="B21" s="136" t="s">
        <v>439</v>
      </c>
      <c r="C21" s="16" t="s">
        <v>440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484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137"/>
      <c r="B22" s="137"/>
      <c r="C22" s="16" t="s">
        <v>441</v>
      </c>
      <c r="D22" s="13"/>
      <c r="E22" s="13"/>
      <c r="F22" s="13"/>
      <c r="G22" s="15"/>
      <c r="H22" s="15"/>
      <c r="I22" s="15"/>
      <c r="J22" s="15"/>
      <c r="K22" s="15"/>
      <c r="L22" s="23" t="s">
        <v>506</v>
      </c>
      <c r="M22" s="23">
        <v>104964.97753312155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137"/>
      <c r="B23" s="138"/>
      <c r="C23" s="16" t="s">
        <v>428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485</v>
      </c>
      <c r="M23" s="23">
        <v>16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137"/>
      <c r="B24" s="136" t="s">
        <v>442</v>
      </c>
      <c r="C24" s="16" t="s">
        <v>443</v>
      </c>
      <c r="D24" s="13">
        <f>$M$14*$M$8</f>
        <v>252579.93320726309</v>
      </c>
      <c r="E24" s="13">
        <f>$M$16*$M$8/$M$12</f>
        <v>6955.1173179812113</v>
      </c>
      <c r="F24" s="13">
        <f>$M$17*$M$8/$M$12</f>
        <v>-2712.6759334384456</v>
      </c>
      <c r="G24" s="15"/>
      <c r="H24" s="15"/>
      <c r="I24" s="15"/>
      <c r="J24" s="15"/>
      <c r="K24" s="15"/>
      <c r="L24" s="23" t="s">
        <v>486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137"/>
      <c r="B25" s="137"/>
      <c r="C25" s="16" t="s">
        <v>444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487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137"/>
      <c r="B26" s="137"/>
      <c r="C26" s="16" t="s">
        <v>445</v>
      </c>
      <c r="D26" s="13">
        <f>$M$14*$M$9</f>
        <v>25510.410319474628</v>
      </c>
      <c r="E26" s="13">
        <f>$M$16*$M$9/$M$12</f>
        <v>702.46236250363586</v>
      </c>
      <c r="F26" s="13">
        <f>$M$17*$M$9/$M$12</f>
        <v>-273.97851938219083</v>
      </c>
      <c r="G26" s="15"/>
      <c r="H26" s="15"/>
      <c r="I26" s="15"/>
      <c r="J26" s="15"/>
      <c r="K26" s="15"/>
      <c r="L26" s="23" t="s">
        <v>488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137"/>
      <c r="B27" s="137"/>
      <c r="C27" s="16" t="s">
        <v>446</v>
      </c>
      <c r="D27" s="13">
        <v>7864.935850435606</v>
      </c>
      <c r="E27" s="13">
        <v>330.6146778908705</v>
      </c>
      <c r="F27" s="13">
        <v>0</v>
      </c>
      <c r="G27" s="15"/>
      <c r="H27" s="15"/>
      <c r="I27" s="15"/>
      <c r="J27" s="15"/>
      <c r="K27" s="15"/>
      <c r="L27" s="23" t="s">
        <v>489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137"/>
      <c r="B28" s="138"/>
      <c r="C28" s="16" t="s">
        <v>428</v>
      </c>
      <c r="D28" s="13">
        <f>SUM(D$24:D27)</f>
        <v>285955.27937717328</v>
      </c>
      <c r="E28" s="13">
        <f>SUM(E$24:E27)</f>
        <v>7988.1943583757175</v>
      </c>
      <c r="F28" s="13">
        <f>SUM(F$24:F27)</f>
        <v>-2986.6544528206364</v>
      </c>
      <c r="G28" s="15"/>
      <c r="H28" s="15"/>
      <c r="I28" s="15"/>
      <c r="J28" s="15"/>
      <c r="K28" s="15"/>
      <c r="L28" s="23" t="s">
        <v>490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138"/>
      <c r="B29" s="132" t="s">
        <v>428</v>
      </c>
      <c r="C29" s="134"/>
      <c r="D29" s="13">
        <f>SUMIF(C$2:C28,"SUBTOTAL",D$2:D28)</f>
        <v>8000796.5229833294</v>
      </c>
      <c r="E29" s="13">
        <f>SUMIF(C$2:C28,"SUBTOTAL",E$2:E28)</f>
        <v>-107199.18619332234</v>
      </c>
      <c r="F29" s="13">
        <f>SUMIF(C$2:C28,"SUBTOTAL",F$2:F28)</f>
        <v>447434.29924717936</v>
      </c>
      <c r="G29" s="15"/>
      <c r="H29" s="15"/>
      <c r="I29" s="15"/>
      <c r="J29" s="15"/>
      <c r="K29" s="15"/>
      <c r="L29" s="23" t="s">
        <v>491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136" t="s">
        <v>447</v>
      </c>
      <c r="B30" s="136" t="s">
        <v>420</v>
      </c>
      <c r="C30" s="16" t="s">
        <v>422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42091.705015032829</v>
      </c>
      <c r="E30" s="13">
        <f>IF((D30+D$4)&lt;&gt;0,$M$20*D30/(D30+D$4),0)</f>
        <v>2.2651100147363584E-2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492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137"/>
      <c r="B31" s="137"/>
      <c r="C31" s="16" t="s">
        <v>448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493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137"/>
      <c r="B32" s="137"/>
      <c r="C32" s="16" t="s">
        <v>449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494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137"/>
      <c r="B33" s="137"/>
      <c r="C33" s="16" t="s">
        <v>508</v>
      </c>
      <c r="D33" s="13">
        <v>1.0000000000000001E-9</v>
      </c>
      <c r="E33" s="13">
        <v>-147.27501618570966</v>
      </c>
      <c r="F33" s="13">
        <v>0</v>
      </c>
      <c r="G33" s="15"/>
      <c r="H33" s="15"/>
      <c r="I33" s="15"/>
      <c r="J33" s="15"/>
      <c r="K33" s="15"/>
      <c r="L33" s="23" t="s">
        <v>495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137"/>
      <c r="B34" s="137"/>
      <c r="C34" s="16" t="s">
        <v>450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496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137"/>
      <c r="B35" s="138"/>
      <c r="C35" s="16" t="s">
        <v>428</v>
      </c>
      <c r="D35" s="13">
        <f>SUM(D$30:D34)</f>
        <v>42091.705015033825</v>
      </c>
      <c r="E35" s="13">
        <f>SUM(E$30:E34)</f>
        <v>-147.2523650855623</v>
      </c>
      <c r="F35" s="13">
        <f>SUM(F$30:F34)</f>
        <v>0</v>
      </c>
      <c r="G35" s="15"/>
      <c r="H35" s="15"/>
      <c r="I35" s="15"/>
      <c r="J35" s="15"/>
      <c r="K35" s="15"/>
      <c r="L35" s="23" t="s">
        <v>497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137"/>
      <c r="B36" s="136" t="s">
        <v>451</v>
      </c>
      <c r="C36" s="16" t="s">
        <v>452</v>
      </c>
      <c r="D36" s="13">
        <f>$M$14*($M$12-$M$7)</f>
        <v>4175116.283213472</v>
      </c>
      <c r="E36" s="13">
        <f>$M$16*($M$12-$M$7)/$M$12</f>
        <v>114967.26282738737</v>
      </c>
      <c r="F36" s="13">
        <f>$M$17*($M$12-$M$7)/$M$12</f>
        <v>-44840.210847179369</v>
      </c>
      <c r="G36" s="15"/>
      <c r="H36" s="15"/>
      <c r="I36" s="15"/>
      <c r="J36" s="15"/>
      <c r="K36" s="15"/>
      <c r="L36" s="23" t="s">
        <v>498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137"/>
      <c r="B37" s="138"/>
      <c r="C37" s="16" t="s">
        <v>428</v>
      </c>
      <c r="D37" s="13">
        <f>SUM(D$36:D36)</f>
        <v>4175116.283213472</v>
      </c>
      <c r="E37" s="13">
        <f>SUM(E$36:E36)</f>
        <v>114967.26282738737</v>
      </c>
      <c r="F37" s="13">
        <f>SUM(F$36:F36)</f>
        <v>-44840.210847179369</v>
      </c>
      <c r="G37" s="15"/>
      <c r="H37" s="15"/>
      <c r="I37" s="15"/>
      <c r="J37" s="15"/>
      <c r="K37" s="15"/>
      <c r="L37" s="23" t="s">
        <v>499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137"/>
      <c r="B38" s="136" t="s">
        <v>429</v>
      </c>
      <c r="C38" s="16" t="s">
        <v>453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500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557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137"/>
      <c r="B39" s="137"/>
      <c r="C39" s="16" t="s">
        <v>454</v>
      </c>
      <c r="D39" s="13">
        <v>0</v>
      </c>
      <c r="E39" s="13">
        <v>0</v>
      </c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501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574</v>
      </c>
      <c r="P39" s="15" t="s">
        <v>575</v>
      </c>
      <c r="Q39" s="15" t="s">
        <v>576</v>
      </c>
      <c r="R39" s="15" t="s">
        <v>577</v>
      </c>
      <c r="S39" s="15" t="s">
        <v>1</v>
      </c>
      <c r="T39" s="15" t="s">
        <v>578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137"/>
      <c r="B40" s="137"/>
      <c r="C40" s="16" t="s">
        <v>455</v>
      </c>
      <c r="D40" s="13"/>
      <c r="E40" s="13">
        <v>0</v>
      </c>
      <c r="F40" s="13">
        <v>0</v>
      </c>
      <c r="G40" s="15"/>
      <c r="H40" s="15"/>
      <c r="I40" s="15"/>
      <c r="J40" s="15"/>
      <c r="K40" s="15"/>
      <c r="L40" s="23" t="s">
        <v>502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137"/>
      <c r="B41" s="138"/>
      <c r="C41" s="16" t="s">
        <v>428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137"/>
      <c r="B42" s="136" t="s">
        <v>439</v>
      </c>
      <c r="C42" s="16" t="s">
        <v>440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137"/>
      <c r="B43" s="138"/>
      <c r="C43" s="16" t="s">
        <v>428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137"/>
      <c r="B44" s="136" t="s">
        <v>442</v>
      </c>
      <c r="C44" s="16" t="s">
        <v>456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137"/>
      <c r="B45" s="138"/>
      <c r="C45" s="16" t="s">
        <v>428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138"/>
      <c r="B46" s="132" t="s">
        <v>428</v>
      </c>
      <c r="C46" s="134"/>
      <c r="D46" s="13">
        <f>SUMIF(C$30:C45,"SUBTOTAL",D$30:D45)</f>
        <v>4217207.9882285055</v>
      </c>
      <c r="E46" s="13">
        <f>SUMIF(C$30:C45,"SUBTOTAL",E$30:E45)</f>
        <v>114820.01046230181</v>
      </c>
      <c r="F46" s="13">
        <f>SUMIF(C$30:C45,"SUBTOTAL",F$30:F45)</f>
        <v>-44840.210847179369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132" t="s">
        <v>457</v>
      </c>
      <c r="B47" s="133"/>
      <c r="C47" s="134"/>
      <c r="D47" s="13">
        <f>SUMIF(C$2:C46,"SUBTOTAL",D$2:D46)</f>
        <v>12218004.511211835</v>
      </c>
      <c r="E47" s="13">
        <f>SUMIF(C$2:C46,"SUBTOTAL",E$2:E46)</f>
        <v>7620.8242689794715</v>
      </c>
      <c r="F47" s="13">
        <f>SUMIF(C$2:C46,"SUBTOTAL",F$2:F46)</f>
        <v>402594.08840000001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130" t="s">
        <v>549</v>
      </c>
      <c r="B48" s="131"/>
      <c r="C48" s="131"/>
      <c r="D48" s="26">
        <f ca="1">'TUSD BE'!$AM$53+'TUSD BE'!$AM$57+'TE BE'!$AB$44</f>
        <v>12218004.511211837</v>
      </c>
      <c r="E48" s="26">
        <f ca="1">'TUSD BF'!$AM$53+'TE BF'!$AB$44</f>
        <v>7620.8242689795152</v>
      </c>
      <c r="F48" s="26">
        <f ca="1">'TUSD CVA'!$AM$53+'TE CVA'!$AB$44</f>
        <v>402594.08840000001</v>
      </c>
      <c r="L48" s="98"/>
      <c r="M48" s="23"/>
      <c r="O48" s="33"/>
      <c r="P48" s="33"/>
      <c r="Q48" s="33"/>
      <c r="R48" s="33"/>
      <c r="S48" s="33"/>
      <c r="T48" s="33"/>
    </row>
    <row r="49" spans="1:20" ht="12" customHeight="1" x14ac:dyDescent="0.25">
      <c r="A49" s="130" t="s">
        <v>550</v>
      </c>
      <c r="B49" s="131"/>
      <c r="C49" s="131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98"/>
      <c r="M49" s="23"/>
      <c r="O49" s="33"/>
      <c r="P49" s="33"/>
      <c r="Q49" s="33"/>
      <c r="R49" s="33"/>
      <c r="S49" s="33"/>
      <c r="T49" s="33"/>
    </row>
    <row r="50" spans="1:20" ht="12" customHeight="1" x14ac:dyDescent="0.25">
      <c r="L50" s="98"/>
      <c r="M50" s="23"/>
      <c r="O50" s="33"/>
      <c r="P50" s="33"/>
      <c r="Q50" s="33"/>
      <c r="R50" s="33"/>
      <c r="S50" s="33"/>
      <c r="T50" s="33"/>
    </row>
    <row r="51" spans="1:20" ht="12" customHeight="1" x14ac:dyDescent="0.25">
      <c r="D51" s="39">
        <f ca="1">SUM(D48:F48)</f>
        <v>12628219.423880817</v>
      </c>
      <c r="E51" s="94">
        <f ca="1">EFEITO!AU9+SUM(SUBSIDIO!AJ2:AJ8)</f>
        <v>12628219.423880447</v>
      </c>
      <c r="L51" s="50" t="s">
        <v>503</v>
      </c>
      <c r="M51" s="55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D52" s="39">
        <v>12218004.511211835</v>
      </c>
      <c r="O52" s="33"/>
      <c r="P52" s="33"/>
      <c r="Q52" s="33"/>
      <c r="R52" s="33"/>
      <c r="S52" s="33"/>
      <c r="T52" s="33"/>
    </row>
    <row r="53" spans="1:20" ht="12" customHeight="1" x14ac:dyDescent="0.25">
      <c r="D53" s="39">
        <v>410214.91266897926</v>
      </c>
      <c r="O53" s="33"/>
      <c r="P53" s="33"/>
      <c r="Q53" s="33"/>
      <c r="R53" s="33"/>
      <c r="S53" s="33"/>
      <c r="T53" s="33"/>
    </row>
    <row r="54" spans="1:20" ht="12" customHeight="1" x14ac:dyDescent="0.25">
      <c r="D54" s="39">
        <f>SUM(D52:D53)</f>
        <v>12628219.423880814</v>
      </c>
      <c r="O54" s="33"/>
      <c r="P54" s="33"/>
      <c r="Q54" s="33"/>
      <c r="R54" s="33"/>
      <c r="S54" s="33"/>
      <c r="T54" s="33"/>
    </row>
    <row r="55" spans="1:20" ht="12" customHeight="1" x14ac:dyDescent="0.25">
      <c r="D55" s="94">
        <f ca="1">D51-D54</f>
        <v>0</v>
      </c>
      <c r="O55" s="33"/>
      <c r="P55" s="33"/>
      <c r="Q55" s="33"/>
      <c r="R55" s="33"/>
      <c r="S55" s="33"/>
      <c r="T55" s="33"/>
    </row>
    <row r="56" spans="1:20" ht="12" customHeight="1" x14ac:dyDescent="0.25">
      <c r="C56" s="14" t="s">
        <v>1126</v>
      </c>
      <c r="D56" s="39">
        <f ca="1">SUM(D48:F48)</f>
        <v>12628219.423880817</v>
      </c>
      <c r="O56" s="33"/>
      <c r="P56" s="33"/>
      <c r="Q56" s="33"/>
      <c r="R56" s="33"/>
      <c r="S56" s="33"/>
      <c r="T56" s="33"/>
    </row>
    <row r="57" spans="1:20" ht="12" customHeight="1" x14ac:dyDescent="0.25">
      <c r="C57" s="14" t="s">
        <v>1127</v>
      </c>
      <c r="D57" s="39">
        <f ca="1">EFEITO_350!AU9</f>
        <v>9289778.1114798114</v>
      </c>
      <c r="O57" s="33"/>
      <c r="P57" s="33"/>
      <c r="Q57" s="33"/>
      <c r="R57" s="33"/>
      <c r="S57" s="33"/>
      <c r="T57" s="33"/>
    </row>
    <row r="58" spans="1:20" ht="12" customHeight="1" x14ac:dyDescent="0.25">
      <c r="C58" s="14" t="s">
        <v>1128</v>
      </c>
      <c r="D58" s="39">
        <f ca="1">SUM(SUBSIDIO!AJ2:AJ8)</f>
        <v>627392.46264013206</v>
      </c>
      <c r="E58" s="94"/>
      <c r="O58" s="33"/>
      <c r="P58" s="33"/>
      <c r="Q58" s="33"/>
      <c r="R58" s="33"/>
      <c r="S58" s="33"/>
      <c r="T58" s="33"/>
    </row>
    <row r="59" spans="1:20" ht="12" customHeight="1" x14ac:dyDescent="0.25">
      <c r="C59" s="14" t="s">
        <v>1129</v>
      </c>
      <c r="D59" s="94">
        <f ca="1">EFEITO!AU9-EFEITO_350!AU9</f>
        <v>2711048.8497605026</v>
      </c>
      <c r="O59" s="33"/>
      <c r="P59" s="33"/>
      <c r="Q59" s="33"/>
      <c r="R59" s="33"/>
      <c r="S59" s="33"/>
      <c r="T59" s="33"/>
    </row>
    <row r="60" spans="1:20" ht="12" customHeight="1" x14ac:dyDescent="0.25">
      <c r="C60" s="14" t="s">
        <v>1130</v>
      </c>
      <c r="D60" s="94">
        <f ca="1">D56-D57-D58-D59</f>
        <v>3.7159770727157593E-7</v>
      </c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574</v>
      </c>
      <c r="P101" s="33" t="s">
        <v>579</v>
      </c>
      <c r="Q101" s="33" t="s">
        <v>580</v>
      </c>
      <c r="R101" s="33" t="s">
        <v>581</v>
      </c>
      <c r="S101" s="33" t="s">
        <v>582</v>
      </c>
      <c r="T101" s="33" t="s">
        <v>583</v>
      </c>
      <c r="U101" s="33" t="s">
        <v>584</v>
      </c>
      <c r="V101" s="33" t="s">
        <v>585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33</v>
      </c>
      <c r="P102" s="33" t="s">
        <v>73</v>
      </c>
      <c r="Q102" s="33" t="s">
        <v>34</v>
      </c>
      <c r="R102" s="33" t="s">
        <v>42</v>
      </c>
      <c r="S102" s="33" t="s">
        <v>25</v>
      </c>
      <c r="T102" s="33" t="s">
        <v>586</v>
      </c>
      <c r="U102" s="33">
        <v>4</v>
      </c>
      <c r="V102" s="33">
        <v>0.1</v>
      </c>
      <c r="W102" s="33">
        <v>0.08</v>
      </c>
      <c r="X102" s="33">
        <v>0.06</v>
      </c>
      <c r="Y102" s="33">
        <v>0.04</v>
      </c>
      <c r="Z102" s="33">
        <v>0.02</v>
      </c>
      <c r="AA102" s="33">
        <v>0</v>
      </c>
      <c r="AB102" s="33"/>
      <c r="AC102" s="33"/>
      <c r="AD102" s="33"/>
    </row>
    <row r="103" spans="15:30" ht="12" customHeight="1" x14ac:dyDescent="0.25">
      <c r="O103" s="33" t="s">
        <v>33</v>
      </c>
      <c r="P103" s="33" t="s">
        <v>73</v>
      </c>
      <c r="Q103" s="33" t="s">
        <v>34</v>
      </c>
      <c r="R103" s="33" t="s">
        <v>47</v>
      </c>
      <c r="S103" s="33" t="s">
        <v>48</v>
      </c>
      <c r="T103" s="33" t="s">
        <v>587</v>
      </c>
      <c r="U103" s="33">
        <v>4</v>
      </c>
      <c r="V103" s="33">
        <v>0.15</v>
      </c>
      <c r="W103" s="33">
        <v>0.12</v>
      </c>
      <c r="X103" s="33">
        <v>0.09</v>
      </c>
      <c r="Y103" s="33">
        <v>0.06</v>
      </c>
      <c r="Z103" s="33">
        <v>0.03</v>
      </c>
      <c r="AA103" s="33">
        <v>0</v>
      </c>
      <c r="AB103" s="33"/>
      <c r="AC103" s="33"/>
      <c r="AD103" s="33"/>
    </row>
    <row r="104" spans="15:30" ht="12" customHeight="1" x14ac:dyDescent="0.25">
      <c r="O104" s="33" t="s">
        <v>33</v>
      </c>
      <c r="P104" s="33" t="s">
        <v>588</v>
      </c>
      <c r="Q104" s="33" t="s">
        <v>41</v>
      </c>
      <c r="R104" s="33" t="s">
        <v>42</v>
      </c>
      <c r="S104" s="33" t="s">
        <v>85</v>
      </c>
      <c r="T104" s="33" t="s">
        <v>587</v>
      </c>
      <c r="U104" s="33">
        <v>4</v>
      </c>
      <c r="V104" s="33">
        <v>0.3</v>
      </c>
      <c r="W104" s="33">
        <v>0.24</v>
      </c>
      <c r="X104" s="33">
        <v>0.18</v>
      </c>
      <c r="Y104" s="33">
        <v>0.12</v>
      </c>
      <c r="Z104" s="33">
        <v>0.06</v>
      </c>
      <c r="AA104" s="33">
        <v>0</v>
      </c>
      <c r="AB104" s="33"/>
      <c r="AC104" s="33"/>
      <c r="AD104" s="33"/>
    </row>
    <row r="105" spans="15:30" ht="12" customHeight="1" x14ac:dyDescent="0.25">
      <c r="O105" s="33" t="s">
        <v>33</v>
      </c>
      <c r="P105" s="33" t="s">
        <v>38</v>
      </c>
      <c r="Q105" s="33" t="s">
        <v>41</v>
      </c>
      <c r="R105" s="33" t="s">
        <v>42</v>
      </c>
      <c r="S105" s="33" t="s">
        <v>25</v>
      </c>
      <c r="T105" s="33" t="s">
        <v>42</v>
      </c>
      <c r="U105" s="33">
        <v>4</v>
      </c>
      <c r="V105" s="33">
        <v>0.3</v>
      </c>
      <c r="W105" s="33">
        <v>0.24</v>
      </c>
      <c r="X105" s="33">
        <v>0.18</v>
      </c>
      <c r="Y105" s="33">
        <v>0.12</v>
      </c>
      <c r="Z105" s="33">
        <v>0.06</v>
      </c>
      <c r="AA105" s="33">
        <v>0</v>
      </c>
      <c r="AB105" s="33"/>
      <c r="AC105" s="33"/>
      <c r="AD105" s="33"/>
    </row>
    <row r="106" spans="15:30" ht="12" customHeight="1" x14ac:dyDescent="0.25">
      <c r="O106" s="33" t="s">
        <v>33</v>
      </c>
      <c r="P106" s="33" t="s">
        <v>588</v>
      </c>
      <c r="Q106" s="33" t="s">
        <v>41</v>
      </c>
      <c r="R106" s="33" t="s">
        <v>42</v>
      </c>
      <c r="S106" s="33" t="s">
        <v>86</v>
      </c>
      <c r="T106" s="33" t="s">
        <v>587</v>
      </c>
      <c r="U106" s="33">
        <v>4</v>
      </c>
      <c r="V106" s="33">
        <v>0.4</v>
      </c>
      <c r="W106" s="33">
        <v>0.32</v>
      </c>
      <c r="X106" s="33">
        <v>0.24</v>
      </c>
      <c r="Y106" s="33">
        <v>0.16</v>
      </c>
      <c r="Z106" s="33">
        <v>0.08</v>
      </c>
      <c r="AA106" s="33">
        <v>0</v>
      </c>
      <c r="AB106" s="33"/>
      <c r="AC106" s="33"/>
      <c r="AD106" s="33"/>
    </row>
    <row r="107" spans="15:30" ht="12" customHeight="1" x14ac:dyDescent="0.25">
      <c r="O107" s="33" t="s">
        <v>33</v>
      </c>
      <c r="P107" s="33" t="s">
        <v>38</v>
      </c>
      <c r="Q107" s="33" t="s">
        <v>32</v>
      </c>
      <c r="R107" s="33" t="s">
        <v>47</v>
      </c>
      <c r="S107" s="33" t="s">
        <v>48</v>
      </c>
      <c r="T107" s="33" t="s">
        <v>587</v>
      </c>
      <c r="U107" s="33">
        <v>4</v>
      </c>
      <c r="V107" s="33">
        <v>0.15</v>
      </c>
      <c r="W107" s="33">
        <v>0.12</v>
      </c>
      <c r="X107" s="33">
        <v>0.09</v>
      </c>
      <c r="Y107" s="33">
        <v>0.06</v>
      </c>
      <c r="Z107" s="33">
        <v>0.03</v>
      </c>
      <c r="AA107" s="33">
        <v>0</v>
      </c>
      <c r="AB107" s="33"/>
      <c r="AC107" s="33"/>
      <c r="AD107" s="33"/>
    </row>
    <row r="108" spans="15:30" ht="12" customHeight="1" x14ac:dyDescent="0.25">
      <c r="O108" s="33" t="s">
        <v>33</v>
      </c>
      <c r="P108" s="33" t="s">
        <v>23</v>
      </c>
      <c r="Q108" s="33" t="s">
        <v>34</v>
      </c>
      <c r="R108" s="33" t="s">
        <v>42</v>
      </c>
      <c r="S108" s="33" t="s">
        <v>25</v>
      </c>
      <c r="T108" s="33" t="s">
        <v>586</v>
      </c>
      <c r="U108" s="33">
        <v>4</v>
      </c>
      <c r="V108" s="33">
        <v>0.1</v>
      </c>
      <c r="W108" s="33">
        <v>0.08</v>
      </c>
      <c r="X108" s="33">
        <v>0.06</v>
      </c>
      <c r="Y108" s="33">
        <v>0.04</v>
      </c>
      <c r="Z108" s="33">
        <v>0.02</v>
      </c>
      <c r="AA108" s="33">
        <v>0</v>
      </c>
      <c r="AB108" s="33"/>
      <c r="AC108" s="33"/>
      <c r="AD108" s="33"/>
    </row>
    <row r="109" spans="15:30" ht="12" customHeight="1" x14ac:dyDescent="0.25">
      <c r="O109" s="33" t="s">
        <v>33</v>
      </c>
      <c r="P109" s="33" t="s">
        <v>589</v>
      </c>
      <c r="Q109" s="33" t="s">
        <v>34</v>
      </c>
      <c r="R109" s="33" t="s">
        <v>47</v>
      </c>
      <c r="S109" s="33" t="s">
        <v>48</v>
      </c>
      <c r="T109" s="33" t="s">
        <v>587</v>
      </c>
      <c r="U109" s="33">
        <v>4</v>
      </c>
      <c r="V109" s="33">
        <v>0.15</v>
      </c>
      <c r="W109" s="33">
        <v>0.12</v>
      </c>
      <c r="X109" s="33">
        <v>0.09</v>
      </c>
      <c r="Y109" s="33">
        <v>0.06</v>
      </c>
      <c r="Z109" s="33">
        <v>0.03</v>
      </c>
      <c r="AA109" s="33">
        <v>0</v>
      </c>
      <c r="AB109" s="33"/>
      <c r="AC109" s="33"/>
      <c r="AD109" s="33"/>
    </row>
    <row r="110" spans="15:30" ht="12" customHeight="1" x14ac:dyDescent="0.25">
      <c r="O110" s="33" t="s">
        <v>33</v>
      </c>
      <c r="P110" s="33" t="s">
        <v>23</v>
      </c>
      <c r="Q110" s="33" t="s">
        <v>41</v>
      </c>
      <c r="R110" s="33" t="s">
        <v>42</v>
      </c>
      <c r="S110" s="33" t="s">
        <v>85</v>
      </c>
      <c r="T110" s="33" t="s">
        <v>587</v>
      </c>
      <c r="U110" s="33">
        <v>4</v>
      </c>
      <c r="V110" s="33">
        <v>0.3</v>
      </c>
      <c r="W110" s="33">
        <v>0.24</v>
      </c>
      <c r="X110" s="33">
        <v>0.18</v>
      </c>
      <c r="Y110" s="33">
        <v>0.12</v>
      </c>
      <c r="Z110" s="33">
        <v>0.06</v>
      </c>
      <c r="AA110" s="33">
        <v>0</v>
      </c>
      <c r="AB110" s="33"/>
      <c r="AC110" s="33"/>
      <c r="AD110" s="33"/>
    </row>
    <row r="111" spans="15:30" ht="12" customHeight="1" x14ac:dyDescent="0.25">
      <c r="O111" s="33" t="s">
        <v>33</v>
      </c>
      <c r="P111" s="33" t="s">
        <v>23</v>
      </c>
      <c r="Q111" s="33" t="s">
        <v>41</v>
      </c>
      <c r="R111" s="33" t="s">
        <v>42</v>
      </c>
      <c r="S111" s="33" t="s">
        <v>25</v>
      </c>
      <c r="T111" s="33" t="s">
        <v>42</v>
      </c>
      <c r="U111" s="33">
        <v>4</v>
      </c>
      <c r="V111" s="33">
        <v>0.3</v>
      </c>
      <c r="W111" s="33">
        <v>0.24</v>
      </c>
      <c r="X111" s="33">
        <v>0.18</v>
      </c>
      <c r="Y111" s="33">
        <v>0.12</v>
      </c>
      <c r="Z111" s="33">
        <v>0.06</v>
      </c>
      <c r="AA111" s="33">
        <v>0</v>
      </c>
      <c r="AB111" s="33"/>
      <c r="AC111" s="33"/>
      <c r="AD111" s="33"/>
    </row>
    <row r="112" spans="15:30" ht="12" customHeight="1" x14ac:dyDescent="0.25">
      <c r="O112" s="33" t="s">
        <v>33</v>
      </c>
      <c r="P112" s="33" t="s">
        <v>23</v>
      </c>
      <c r="Q112" s="33" t="s">
        <v>41</v>
      </c>
      <c r="R112" s="33" t="s">
        <v>42</v>
      </c>
      <c r="S112" s="33" t="s">
        <v>86</v>
      </c>
      <c r="T112" s="33" t="s">
        <v>587</v>
      </c>
      <c r="U112" s="33">
        <v>4</v>
      </c>
      <c r="V112" s="33">
        <v>0.4</v>
      </c>
      <c r="W112" s="33">
        <v>0.32</v>
      </c>
      <c r="X112" s="33">
        <v>0.24</v>
      </c>
      <c r="Y112" s="33">
        <v>0.16</v>
      </c>
      <c r="Z112" s="33">
        <v>0.08</v>
      </c>
      <c r="AA112" s="33">
        <v>0</v>
      </c>
      <c r="AB112" s="33"/>
      <c r="AC112" s="33"/>
      <c r="AD112" s="33"/>
    </row>
    <row r="113" spans="15:30" ht="12" customHeight="1" x14ac:dyDescent="0.25">
      <c r="O113" s="33" t="s">
        <v>33</v>
      </c>
      <c r="P113" s="33" t="s">
        <v>23</v>
      </c>
      <c r="Q113" s="33" t="s">
        <v>32</v>
      </c>
      <c r="R113" s="33" t="s">
        <v>47</v>
      </c>
      <c r="S113" s="33" t="s">
        <v>48</v>
      </c>
      <c r="T113" s="33" t="s">
        <v>587</v>
      </c>
      <c r="U113" s="33">
        <v>4</v>
      </c>
      <c r="V113" s="33">
        <v>0.15</v>
      </c>
      <c r="W113" s="33">
        <v>0.12</v>
      </c>
      <c r="X113" s="33">
        <v>0.09</v>
      </c>
      <c r="Y113" s="33">
        <v>0.06</v>
      </c>
      <c r="Z113" s="33">
        <v>0.03</v>
      </c>
      <c r="AA113" s="33">
        <v>0</v>
      </c>
      <c r="AB113" s="33"/>
      <c r="AC113" s="33"/>
      <c r="AD113" s="33"/>
    </row>
    <row r="114" spans="15:30" ht="12" customHeight="1" x14ac:dyDescent="0.25">
      <c r="O114" s="33" t="s">
        <v>33</v>
      </c>
      <c r="P114" s="33" t="s">
        <v>35</v>
      </c>
      <c r="Q114" s="33" t="s">
        <v>34</v>
      </c>
      <c r="R114" s="33" t="s">
        <v>42</v>
      </c>
      <c r="S114" s="33" t="s">
        <v>25</v>
      </c>
      <c r="T114" s="33" t="s">
        <v>586</v>
      </c>
      <c r="U114" s="33">
        <v>4</v>
      </c>
      <c r="V114" s="33">
        <v>0.1</v>
      </c>
      <c r="W114" s="33">
        <v>0.08</v>
      </c>
      <c r="X114" s="33">
        <v>0.06</v>
      </c>
      <c r="Y114" s="33">
        <v>0.04</v>
      </c>
      <c r="Z114" s="33">
        <v>0.02</v>
      </c>
      <c r="AA114" s="33">
        <v>0</v>
      </c>
      <c r="AB114" s="33"/>
      <c r="AC114" s="33"/>
      <c r="AD114" s="33"/>
    </row>
    <row r="115" spans="15:30" ht="12" customHeight="1" x14ac:dyDescent="0.25">
      <c r="O115" s="33" t="s">
        <v>33</v>
      </c>
      <c r="P115" s="33" t="s">
        <v>35</v>
      </c>
      <c r="Q115" s="33" t="s">
        <v>34</v>
      </c>
      <c r="R115" s="33" t="s">
        <v>47</v>
      </c>
      <c r="S115" s="33" t="s">
        <v>48</v>
      </c>
      <c r="T115" s="33" t="s">
        <v>587</v>
      </c>
      <c r="U115" s="33">
        <v>4</v>
      </c>
      <c r="V115" s="33">
        <v>0.15</v>
      </c>
      <c r="W115" s="33">
        <v>0.12</v>
      </c>
      <c r="X115" s="33">
        <v>0.09</v>
      </c>
      <c r="Y115" s="33">
        <v>0.06</v>
      </c>
      <c r="Z115" s="33">
        <v>0.03</v>
      </c>
      <c r="AA115" s="33">
        <v>0</v>
      </c>
      <c r="AB115" s="33"/>
      <c r="AC115" s="33"/>
      <c r="AD115" s="33"/>
    </row>
    <row r="116" spans="15:30" ht="12" customHeight="1" x14ac:dyDescent="0.25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25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25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</mergeCells>
  <pageMargins left="0.511811024" right="0.511811024" top="0.78740157499999996" bottom="0.78740157499999996" header="0.31496062000000002" footer="0.31496062000000002"/>
  <pageSetup paperSize="9" orientation="portrait" horizont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171B-2459-487D-B4E0-93DA9ACF8715}">
  <sheetPr codeName="Planilha8"/>
  <dimension ref="A1:AP51"/>
  <sheetViews>
    <sheetView showGridLines="0" topLeftCell="D40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7" style="9" bestFit="1" customWidth="1"/>
    <col min="38" max="38" width="9.28515625" style="9" bestFit="1" customWidth="1"/>
    <col min="39" max="39" width="10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40" t="s">
        <v>58</v>
      </c>
      <c r="B1" s="140" t="s">
        <v>59</v>
      </c>
      <c r="C1" s="140" t="s">
        <v>60</v>
      </c>
      <c r="D1" s="140" t="s">
        <v>61</v>
      </c>
      <c r="E1" s="140" t="s">
        <v>62</v>
      </c>
      <c r="F1" s="140" t="s">
        <v>15</v>
      </c>
      <c r="G1" s="140" t="s">
        <v>64</v>
      </c>
      <c r="H1" s="140" t="s">
        <v>65</v>
      </c>
      <c r="I1" s="140" t="s">
        <v>520</v>
      </c>
      <c r="J1" s="128"/>
      <c r="L1" s="141" t="s">
        <v>521</v>
      </c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P1" s="141" t="s">
        <v>522</v>
      </c>
    </row>
    <row r="2" spans="1:42" ht="11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28"/>
      <c r="L2" s="141" t="s">
        <v>419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P2" s="142"/>
    </row>
    <row r="3" spans="1:42" ht="11.2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28"/>
      <c r="L3" s="141" t="s">
        <v>420</v>
      </c>
      <c r="M3" s="141"/>
      <c r="N3" s="141"/>
      <c r="O3" s="141"/>
      <c r="P3" s="141"/>
      <c r="Q3" s="141"/>
      <c r="R3" s="141"/>
      <c r="S3" s="141"/>
      <c r="T3" s="141"/>
      <c r="U3" s="141" t="s">
        <v>429</v>
      </c>
      <c r="V3" s="141"/>
      <c r="W3" s="141"/>
      <c r="X3" s="141"/>
      <c r="Y3" s="141"/>
      <c r="Z3" s="141"/>
      <c r="AA3" s="141"/>
      <c r="AB3" s="141"/>
      <c r="AC3" s="141" t="s">
        <v>437</v>
      </c>
      <c r="AD3" s="141"/>
      <c r="AE3" s="141" t="s">
        <v>439</v>
      </c>
      <c r="AF3" s="141"/>
      <c r="AG3" s="141"/>
      <c r="AH3" s="141" t="s">
        <v>442</v>
      </c>
      <c r="AI3" s="141"/>
      <c r="AJ3" s="141"/>
      <c r="AK3" s="141"/>
      <c r="AL3" s="141"/>
      <c r="AM3" s="141" t="s">
        <v>428</v>
      </c>
      <c r="AP3" s="142"/>
    </row>
    <row r="4" spans="1:42" ht="11.25" customHeight="1" x14ac:dyDescent="0.25">
      <c r="A4" s="140"/>
      <c r="B4" s="140"/>
      <c r="C4" s="140"/>
      <c r="D4" s="140"/>
      <c r="E4" s="140"/>
      <c r="F4" s="140"/>
      <c r="G4" s="140"/>
      <c r="H4" s="140"/>
      <c r="I4" s="140"/>
      <c r="J4" s="128"/>
      <c r="L4" s="10" t="s">
        <v>505</v>
      </c>
      <c r="M4" s="10" t="s">
        <v>421</v>
      </c>
      <c r="N4" s="10" t="s">
        <v>422</v>
      </c>
      <c r="O4" s="10" t="s">
        <v>423</v>
      </c>
      <c r="P4" s="10" t="s">
        <v>424</v>
      </c>
      <c r="Q4" s="10" t="s">
        <v>425</v>
      </c>
      <c r="R4" s="10" t="s">
        <v>426</v>
      </c>
      <c r="S4" s="10" t="s">
        <v>427</v>
      </c>
      <c r="T4" s="10" t="s">
        <v>428</v>
      </c>
      <c r="U4" s="10" t="s">
        <v>430</v>
      </c>
      <c r="V4" s="10" t="s">
        <v>431</v>
      </c>
      <c r="W4" s="10" t="s">
        <v>432</v>
      </c>
      <c r="X4" s="10" t="s">
        <v>433</v>
      </c>
      <c r="Y4" s="10" t="s">
        <v>434</v>
      </c>
      <c r="Z4" s="10" t="s">
        <v>435</v>
      </c>
      <c r="AA4" s="10" t="s">
        <v>436</v>
      </c>
      <c r="AB4" s="10" t="s">
        <v>428</v>
      </c>
      <c r="AC4" s="10" t="s">
        <v>438</v>
      </c>
      <c r="AD4" s="10" t="s">
        <v>428</v>
      </c>
      <c r="AE4" s="10" t="s">
        <v>440</v>
      </c>
      <c r="AF4" s="10" t="s">
        <v>441</v>
      </c>
      <c r="AG4" s="10" t="s">
        <v>428</v>
      </c>
      <c r="AH4" s="10" t="s">
        <v>443</v>
      </c>
      <c r="AI4" s="10" t="s">
        <v>444</v>
      </c>
      <c r="AJ4" s="10" t="s">
        <v>445</v>
      </c>
      <c r="AK4" s="10" t="s">
        <v>446</v>
      </c>
      <c r="AL4" s="10" t="s">
        <v>428</v>
      </c>
      <c r="AM4" s="143"/>
      <c r="AP4" s="142"/>
    </row>
    <row r="5" spans="1:42" ht="11.25" customHeight="1" x14ac:dyDescent="0.25">
      <c r="A5" s="139" t="s">
        <v>34</v>
      </c>
      <c r="B5" s="139" t="s">
        <v>73</v>
      </c>
      <c r="C5" s="139" t="s">
        <v>25</v>
      </c>
      <c r="D5" s="139" t="s">
        <v>25</v>
      </c>
      <c r="E5" s="139" t="s">
        <v>25</v>
      </c>
      <c r="F5" s="139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25.208200000000001</v>
      </c>
      <c r="Z5" s="13">
        <v>0</v>
      </c>
      <c r="AA5" s="13">
        <v>0</v>
      </c>
      <c r="AB5" s="13"/>
      <c r="AC5" s="13">
        <v>15.4781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139"/>
      <c r="B6" s="139"/>
      <c r="C6" s="139"/>
      <c r="D6" s="139"/>
      <c r="E6" s="139"/>
      <c r="F6" s="139"/>
      <c r="G6" s="18" t="s">
        <v>76</v>
      </c>
      <c r="H6" s="18" t="s">
        <v>74</v>
      </c>
      <c r="I6" s="18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9.7149000000000001</v>
      </c>
      <c r="Z6" s="13">
        <v>0</v>
      </c>
      <c r="AA6" s="13">
        <v>0</v>
      </c>
      <c r="AB6" s="13"/>
      <c r="AC6" s="13">
        <v>5.1303000000000001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139"/>
      <c r="B7" s="139"/>
      <c r="C7" s="139"/>
      <c r="D7" s="139"/>
      <c r="E7" s="139"/>
      <c r="F7" s="139"/>
      <c r="G7" s="18" t="s">
        <v>72</v>
      </c>
      <c r="H7" s="18" t="s">
        <v>68</v>
      </c>
      <c r="I7" s="18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139"/>
      <c r="B8" s="139"/>
      <c r="C8" s="139"/>
      <c r="D8" s="139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139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6.1651999999999996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139"/>
      <c r="B10" s="139" t="s">
        <v>35</v>
      </c>
      <c r="C10" s="139" t="s">
        <v>25</v>
      </c>
      <c r="D10" s="139" t="s">
        <v>25</v>
      </c>
      <c r="E10" s="139" t="s">
        <v>25</v>
      </c>
      <c r="F10" s="139" t="s">
        <v>25</v>
      </c>
      <c r="G10" s="18" t="s">
        <v>9</v>
      </c>
      <c r="H10" s="18" t="s">
        <v>74</v>
      </c>
      <c r="I10" s="18">
        <f>'MERCADO TUSD'!$U$7</f>
        <v>31517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9.7149000000000001</v>
      </c>
      <c r="Z10" s="13">
        <v>0</v>
      </c>
      <c r="AA10" s="13">
        <v>0</v>
      </c>
      <c r="AB10" s="13"/>
      <c r="AC10" s="13">
        <v>5.1303000000000001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139"/>
      <c r="B11" s="139"/>
      <c r="C11" s="139"/>
      <c r="D11" s="139"/>
      <c r="E11" s="139"/>
      <c r="F11" s="139"/>
      <c r="G11" s="18" t="s">
        <v>69</v>
      </c>
      <c r="H11" s="18" t="s">
        <v>68</v>
      </c>
      <c r="I11" s="18">
        <f>'MERCADO TUSD'!$U$8</f>
        <v>644.95300000000009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606.25729999999999</v>
      </c>
      <c r="Z11" s="13">
        <v>0</v>
      </c>
      <c r="AA11" s="13">
        <v>0</v>
      </c>
      <c r="AB11" s="13"/>
      <c r="AC11" s="13">
        <v>372.24970000000002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139"/>
      <c r="B12" s="139"/>
      <c r="C12" s="139"/>
      <c r="D12" s="139"/>
      <c r="E12" s="139"/>
      <c r="F12" s="139"/>
      <c r="G12" s="18" t="s">
        <v>70</v>
      </c>
      <c r="H12" s="18" t="s">
        <v>68</v>
      </c>
      <c r="I12" s="18">
        <f>'MERCADO TUSD'!$U$9</f>
        <v>8036.4479999999985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139"/>
      <c r="B13" s="139"/>
      <c r="C13" s="139"/>
      <c r="D13" s="139"/>
      <c r="E13" s="139" t="s">
        <v>77</v>
      </c>
      <c r="F13" s="139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606.25729999999999</v>
      </c>
      <c r="Z13" s="13">
        <v>0</v>
      </c>
      <c r="AA13" s="13">
        <v>0</v>
      </c>
      <c r="AB13" s="13"/>
      <c r="AC13" s="13">
        <v>372.24970000000002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139"/>
      <c r="B14" s="139"/>
      <c r="C14" s="139"/>
      <c r="D14" s="139"/>
      <c r="E14" s="139"/>
      <c r="F14" s="139"/>
      <c r="G14" s="18" t="s">
        <v>70</v>
      </c>
      <c r="H14" s="18" t="s">
        <v>68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139" t="s">
        <v>79</v>
      </c>
      <c r="B15" s="139" t="s">
        <v>78</v>
      </c>
      <c r="C15" s="139" t="s">
        <v>25</v>
      </c>
      <c r="D15" s="139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13.3401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139"/>
      <c r="B16" s="139"/>
      <c r="C16" s="139"/>
      <c r="D16" s="139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20.4801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139" t="s">
        <v>22</v>
      </c>
      <c r="B17" s="139" t="s">
        <v>38</v>
      </c>
      <c r="C17" s="139" t="s">
        <v>24</v>
      </c>
      <c r="D17" s="139" t="s">
        <v>24</v>
      </c>
      <c r="E17" s="139" t="s">
        <v>25</v>
      </c>
      <c r="F17" s="139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216.98650000000001</v>
      </c>
      <c r="Z17" s="13">
        <v>0</v>
      </c>
      <c r="AA17" s="13">
        <v>0</v>
      </c>
      <c r="AB17" s="13"/>
      <c r="AC17" s="13">
        <v>630.41060000000004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139"/>
      <c r="B18" s="139"/>
      <c r="C18" s="139"/>
      <c r="D18" s="139"/>
      <c r="E18" s="139"/>
      <c r="F18" s="139"/>
      <c r="G18" s="18" t="s">
        <v>82</v>
      </c>
      <c r="H18" s="18" t="s">
        <v>68</v>
      </c>
      <c r="I18" s="18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130.1919</v>
      </c>
      <c r="Z18" s="13">
        <v>0</v>
      </c>
      <c r="AA18" s="13">
        <v>0</v>
      </c>
      <c r="AB18" s="13"/>
      <c r="AC18" s="13">
        <v>378.24630000000002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139"/>
      <c r="B19" s="139"/>
      <c r="C19" s="139"/>
      <c r="D19" s="139"/>
      <c r="E19" s="139"/>
      <c r="F19" s="139"/>
      <c r="G19" s="18" t="s">
        <v>70</v>
      </c>
      <c r="H19" s="18" t="s">
        <v>68</v>
      </c>
      <c r="I19" s="18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43.397300000000001</v>
      </c>
      <c r="Z19" s="13">
        <v>0</v>
      </c>
      <c r="AA19" s="13">
        <v>0</v>
      </c>
      <c r="AB19" s="13"/>
      <c r="AC19" s="13">
        <v>126.0821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139"/>
      <c r="B20" s="139" t="s">
        <v>23</v>
      </c>
      <c r="C20" s="139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6670.0239999999994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77.495199999999997</v>
      </c>
      <c r="Z20" s="13">
        <v>0</v>
      </c>
      <c r="AA20" s="13">
        <v>0</v>
      </c>
      <c r="AB20" s="13"/>
      <c r="AC20" s="13">
        <v>225.14660000000001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139"/>
      <c r="B21" s="139"/>
      <c r="C21" s="139"/>
      <c r="D21" s="17" t="s">
        <v>28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127.41000000000001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CUSTOS!$M$24)*77.4952</f>
        <v>77.495199999999997</v>
      </c>
      <c r="Z21" s="13">
        <v>0</v>
      </c>
      <c r="AA21" s="13">
        <v>0</v>
      </c>
      <c r="AB21" s="13"/>
      <c r="AC21" s="13">
        <f>(1 - CUSTOS!$M$24)*225.1466</f>
        <v>225.14660000000001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39"/>
      <c r="B22" s="139"/>
      <c r="C22" s="139"/>
      <c r="D22" s="17" t="s">
        <v>29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275.43099999999998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CUSTOS!$M$25)*77.4952</f>
        <v>77.495199999999997</v>
      </c>
      <c r="Z22" s="13">
        <v>0</v>
      </c>
      <c r="AA22" s="13">
        <v>0</v>
      </c>
      <c r="AB22" s="13"/>
      <c r="AC22" s="13">
        <f>(1 - CUSTOS!$M$25)*225.1466</f>
        <v>225.14660000000001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39"/>
      <c r="B23" s="139"/>
      <c r="C23" s="139"/>
      <c r="D23" s="17" t="s">
        <v>30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305.03699999999998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CUSTOS!$M$26)*77.4952</f>
        <v>77.495199999999997</v>
      </c>
      <c r="Z23" s="13">
        <v>0</v>
      </c>
      <c r="AA23" s="13">
        <v>0</v>
      </c>
      <c r="AB23" s="13"/>
      <c r="AC23" s="13">
        <f>(1 - CUSTOS!$M$26)*225.1466</f>
        <v>225.14660000000001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39"/>
      <c r="B24" s="139"/>
      <c r="C24" s="139"/>
      <c r="D24" s="17" t="s">
        <v>31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109.482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CUSTOS!$M$27)*77.4952</f>
        <v>77.495199999999997</v>
      </c>
      <c r="Z24" s="13">
        <v>0</v>
      </c>
      <c r="AA24" s="13">
        <v>0</v>
      </c>
      <c r="AB24" s="13"/>
      <c r="AC24" s="13">
        <f>(1 - CUSTOS!$M$27)*225.1466</f>
        <v>225.14660000000001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39"/>
      <c r="B25" s="139" t="s">
        <v>84</v>
      </c>
      <c r="C25" s="139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77.495199999999997</v>
      </c>
      <c r="Z25" s="13">
        <v>0</v>
      </c>
      <c r="AA25" s="13">
        <v>0</v>
      </c>
      <c r="AB25" s="13"/>
      <c r="AC25" s="13">
        <v>225.14660000000001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139"/>
      <c r="B26" s="139"/>
      <c r="C26" s="139"/>
      <c r="D26" s="17" t="s">
        <v>28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CUSTOS!$M$24)*77.4952</f>
        <v>77.495199999999997</v>
      </c>
      <c r="Z26" s="13">
        <v>0</v>
      </c>
      <c r="AA26" s="13">
        <v>0</v>
      </c>
      <c r="AB26" s="13"/>
      <c r="AC26" s="13">
        <f>(1 - CUSTOS!$M$24)*225.1466</f>
        <v>225.14660000000001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39"/>
      <c r="B27" s="139"/>
      <c r="C27" s="139"/>
      <c r="D27" s="17" t="s">
        <v>29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CUSTOS!$M$25)*77.4952</f>
        <v>77.495199999999997</v>
      </c>
      <c r="Z27" s="13">
        <v>0</v>
      </c>
      <c r="AA27" s="13">
        <v>0</v>
      </c>
      <c r="AB27" s="13"/>
      <c r="AC27" s="13">
        <f>(1 - CUSTOS!$M$25)*225.1466</f>
        <v>225.14660000000001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39"/>
      <c r="B28" s="139"/>
      <c r="C28" s="139"/>
      <c r="D28" s="17" t="s">
        <v>30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CUSTOS!$M$26)*77.4952</f>
        <v>77.495199999999997</v>
      </c>
      <c r="Z28" s="13">
        <v>0</v>
      </c>
      <c r="AA28" s="13">
        <v>0</v>
      </c>
      <c r="AB28" s="13"/>
      <c r="AC28" s="13">
        <f>(1 - CUSTOS!$M$26)*225.1466</f>
        <v>225.14660000000001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39"/>
      <c r="B29" s="139"/>
      <c r="C29" s="139"/>
      <c r="D29" s="17" t="s">
        <v>31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CUSTOS!$M$27)*77.4952</f>
        <v>77.495199999999997</v>
      </c>
      <c r="Z29" s="13">
        <v>0</v>
      </c>
      <c r="AA29" s="13">
        <v>0</v>
      </c>
      <c r="AB29" s="13"/>
      <c r="AC29" s="13">
        <f>(1 - CUSTOS!$M$27)*225.1466</f>
        <v>225.14660000000001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39" t="s">
        <v>41</v>
      </c>
      <c r="B30" s="139" t="s">
        <v>38</v>
      </c>
      <c r="C30" s="139" t="s">
        <v>42</v>
      </c>
      <c r="D30" s="139" t="s">
        <v>25</v>
      </c>
      <c r="E30" s="139" t="s">
        <v>25</v>
      </c>
      <c r="F30" s="139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/>
      <c r="AC30" s="13">
        <v>0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39"/>
      <c r="B31" s="139"/>
      <c r="C31" s="139"/>
      <c r="D31" s="139"/>
      <c r="E31" s="139"/>
      <c r="F31" s="139"/>
      <c r="G31" s="18" t="s">
        <v>82</v>
      </c>
      <c r="H31" s="18" t="s">
        <v>68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/>
      <c r="AC31" s="13">
        <v>0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39"/>
      <c r="B32" s="139"/>
      <c r="C32" s="139"/>
      <c r="D32" s="139"/>
      <c r="E32" s="139"/>
      <c r="F32" s="139"/>
      <c r="G32" s="18" t="s">
        <v>70</v>
      </c>
      <c r="H32" s="18" t="s">
        <v>68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/>
      <c r="AC32" s="13">
        <v>0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39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11.840000000000002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CUSTOS!$M$28)*77.4952</f>
        <v>77.495199999999997</v>
      </c>
      <c r="Z33" s="13">
        <v>0</v>
      </c>
      <c r="AA33" s="13">
        <v>0</v>
      </c>
      <c r="AB33" s="13"/>
      <c r="AC33" s="13">
        <f>(1 - CUSTOS!$M$28)*225.1466</f>
        <v>225.14660000000001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39"/>
      <c r="B34" s="139" t="s">
        <v>38</v>
      </c>
      <c r="C34" s="139" t="s">
        <v>42</v>
      </c>
      <c r="D34" s="139" t="s">
        <v>85</v>
      </c>
      <c r="E34" s="139" t="s">
        <v>25</v>
      </c>
      <c r="F34" s="139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/>
      <c r="AC34" s="13">
        <v>0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39"/>
      <c r="B35" s="139"/>
      <c r="C35" s="139"/>
      <c r="D35" s="139"/>
      <c r="E35" s="139"/>
      <c r="F35" s="139"/>
      <c r="G35" s="18" t="s">
        <v>82</v>
      </c>
      <c r="H35" s="18" t="s">
        <v>68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/>
      <c r="AC35" s="13">
        <v>0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39"/>
      <c r="B36" s="139"/>
      <c r="C36" s="139"/>
      <c r="D36" s="139"/>
      <c r="E36" s="139"/>
      <c r="F36" s="139"/>
      <c r="G36" s="18" t="s">
        <v>70</v>
      </c>
      <c r="H36" s="18" t="s">
        <v>68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/>
      <c r="AC36" s="13">
        <v>0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39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CUSTOS!$M$29)*77.4952</f>
        <v>77.495199999999997</v>
      </c>
      <c r="Z37" s="13">
        <v>0</v>
      </c>
      <c r="AA37" s="13">
        <v>0</v>
      </c>
      <c r="AB37" s="13"/>
      <c r="AC37" s="13">
        <f>(1 - CUSTOS!$M$29)*225.1466</f>
        <v>225.14660000000001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39"/>
      <c r="B38" s="139" t="s">
        <v>38</v>
      </c>
      <c r="C38" s="139" t="s">
        <v>42</v>
      </c>
      <c r="D38" s="139" t="s">
        <v>86</v>
      </c>
      <c r="E38" s="139" t="s">
        <v>25</v>
      </c>
      <c r="F38" s="139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/>
      <c r="AC38" s="13">
        <v>0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39"/>
      <c r="B39" s="139"/>
      <c r="C39" s="139"/>
      <c r="D39" s="139"/>
      <c r="E39" s="139"/>
      <c r="F39" s="139"/>
      <c r="G39" s="18" t="s">
        <v>82</v>
      </c>
      <c r="H39" s="18" t="s">
        <v>68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/>
      <c r="AC39" s="13">
        <v>0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39"/>
      <c r="B40" s="139"/>
      <c r="C40" s="139"/>
      <c r="D40" s="139"/>
      <c r="E40" s="139"/>
      <c r="F40" s="139"/>
      <c r="G40" s="18" t="s">
        <v>70</v>
      </c>
      <c r="H40" s="18" t="s">
        <v>68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/>
      <c r="AC40" s="13">
        <v>0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39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CUSTOS!$M$30)*77.4952</f>
        <v>77.495199999999997</v>
      </c>
      <c r="Z41" s="13">
        <v>0</v>
      </c>
      <c r="AA41" s="13">
        <v>0</v>
      </c>
      <c r="AB41" s="13"/>
      <c r="AC41" s="13">
        <f>(1 - CUSTOS!$M$30)*225.1466</f>
        <v>225.14660000000001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39"/>
      <c r="B42" s="139" t="s">
        <v>84</v>
      </c>
      <c r="C42" s="139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CUSTOS!$M$28)*77.4952</f>
        <v>77.495199999999997</v>
      </c>
      <c r="Z42" s="13">
        <v>0</v>
      </c>
      <c r="AA42" s="13">
        <v>0</v>
      </c>
      <c r="AB42" s="13"/>
      <c r="AC42" s="13">
        <f>(1 - CUSTOS!$M$28)*225.1466</f>
        <v>225.14660000000001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39"/>
      <c r="B43" s="139"/>
      <c r="C43" s="139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CUSTOS!$M$29)*77.4952</f>
        <v>77.495199999999997</v>
      </c>
      <c r="Z43" s="13">
        <v>0</v>
      </c>
      <c r="AA43" s="13">
        <v>0</v>
      </c>
      <c r="AB43" s="13"/>
      <c r="AC43" s="13">
        <f>(1 - CUSTOS!$M$29)*225.1466</f>
        <v>225.14660000000001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39"/>
      <c r="B44" s="139"/>
      <c r="C44" s="139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CUSTOS!$M$30)*77.4952</f>
        <v>77.495199999999997</v>
      </c>
      <c r="Z44" s="13">
        <v>0</v>
      </c>
      <c r="AA44" s="13">
        <v>0</v>
      </c>
      <c r="AB44" s="13"/>
      <c r="AC44" s="13">
        <f>(1 - CUSTOS!$M$30)*225.1466</f>
        <v>225.14660000000001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39" t="s">
        <v>32</v>
      </c>
      <c r="B45" s="139" t="s">
        <v>38</v>
      </c>
      <c r="C45" s="139" t="s">
        <v>25</v>
      </c>
      <c r="D45" s="139" t="s">
        <v>25</v>
      </c>
      <c r="E45" s="139" t="s">
        <v>25</v>
      </c>
      <c r="F45" s="139" t="s">
        <v>25</v>
      </c>
      <c r="G45" s="18" t="s">
        <v>69</v>
      </c>
      <c r="H45" s="18" t="s">
        <v>68</v>
      </c>
      <c r="I45" s="18">
        <f>'MERCADO TUSD'!$U$42</f>
        <v>8.897000000000002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CUSTOS!$M$31)*286.7322</f>
        <v>286.73219999999998</v>
      </c>
      <c r="Z45" s="13">
        <v>0</v>
      </c>
      <c r="AA45" s="13">
        <v>0</v>
      </c>
      <c r="AB45" s="13"/>
      <c r="AC45" s="13">
        <f>(1 - CUSTOS!$M$31)*833.0425</f>
        <v>833.04250000000002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39"/>
      <c r="B46" s="139"/>
      <c r="C46" s="139"/>
      <c r="D46" s="139"/>
      <c r="E46" s="139"/>
      <c r="F46" s="139"/>
      <c r="G46" s="18" t="s">
        <v>82</v>
      </c>
      <c r="H46" s="18" t="s">
        <v>68</v>
      </c>
      <c r="I46" s="18">
        <f>'MERCADO TUSD'!$U$43</f>
        <v>7.0329999999999995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CUSTOS!$M$31)*172.0393</f>
        <v>172.0393</v>
      </c>
      <c r="Z46" s="13">
        <v>0</v>
      </c>
      <c r="AA46" s="13">
        <v>0</v>
      </c>
      <c r="AB46" s="13"/>
      <c r="AC46" s="13">
        <f>(1 - CUSTOS!$M$31)*499.8255</f>
        <v>499.82549999999998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39"/>
      <c r="B47" s="139"/>
      <c r="C47" s="139"/>
      <c r="D47" s="139"/>
      <c r="E47" s="139"/>
      <c r="F47" s="139"/>
      <c r="G47" s="18" t="s">
        <v>70</v>
      </c>
      <c r="H47" s="18" t="s">
        <v>68</v>
      </c>
      <c r="I47" s="18">
        <f>'MERCADO TUSD'!$U$44</f>
        <v>183.905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CUSTOS!$M$31)*57.3464</f>
        <v>57.346400000000003</v>
      </c>
      <c r="Z47" s="13">
        <v>0</v>
      </c>
      <c r="AA47" s="13">
        <v>0</v>
      </c>
      <c r="AB47" s="13"/>
      <c r="AC47" s="13">
        <f>(1 - CUSTOS!$M$31)*166.6085</f>
        <v>166.60849999999999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3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4632.741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CUSTOS!$M$31)*77.4952</f>
        <v>77.495199999999997</v>
      </c>
      <c r="Z48" s="13">
        <v>0</v>
      </c>
      <c r="AA48" s="13">
        <v>0</v>
      </c>
      <c r="AB48" s="13"/>
      <c r="AC48" s="13">
        <f>(1 - CUSTOS!$M$31)*225.1466</f>
        <v>225.14660000000001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39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CUSTOS!$M$31)*77.4952</f>
        <v>77.495199999999997</v>
      </c>
      <c r="Z49" s="13">
        <v>0</v>
      </c>
      <c r="AA49" s="13">
        <v>0</v>
      </c>
      <c r="AB49" s="13"/>
      <c r="AC49" s="13">
        <f>(1 - CUSTOS!$M$31)*225.1466</f>
        <v>225.14660000000001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39" t="s">
        <v>44</v>
      </c>
      <c r="B50" s="139" t="s">
        <v>23</v>
      </c>
      <c r="C50" s="139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356.69600000000003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CUSTOS!$M$32)*77.4952</f>
        <v>42.62236</v>
      </c>
      <c r="Z50" s="13">
        <v>0</v>
      </c>
      <c r="AA50" s="13">
        <v>0</v>
      </c>
      <c r="AB50" s="13"/>
      <c r="AC50" s="13">
        <f>(1 - CUSTOS!$M$32)*225.1466</f>
        <v>123.83063000000001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39"/>
      <c r="B51" s="139"/>
      <c r="C51" s="139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CUSTOS!$M$33)*77.4952</f>
        <v>46.497119999999995</v>
      </c>
      <c r="Z51" s="13">
        <v>0</v>
      </c>
      <c r="AA51" s="13">
        <v>0</v>
      </c>
      <c r="AB51" s="13"/>
      <c r="AC51" s="13">
        <f>(1 - CUSTOS!$M$33)*225.1466</f>
        <v>135.08796000000001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48BC-0D89-444F-BE2D-C17447391B57}">
  <sheetPr codeName="Planilha9"/>
  <dimension ref="A1:AP70"/>
  <sheetViews>
    <sheetView showGridLines="0" topLeftCell="D40" workbookViewId="0">
      <selection activeCell="K62" sqref="K62:P62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7" style="9" bestFit="1" customWidth="1"/>
    <col min="38" max="38" width="9.28515625" style="9" bestFit="1" customWidth="1"/>
    <col min="39" max="39" width="10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40" t="s">
        <v>58</v>
      </c>
      <c r="B1" s="140" t="s">
        <v>59</v>
      </c>
      <c r="C1" s="140" t="s">
        <v>60</v>
      </c>
      <c r="D1" s="140" t="s">
        <v>61</v>
      </c>
      <c r="E1" s="140" t="s">
        <v>62</v>
      </c>
      <c r="F1" s="140" t="s">
        <v>15</v>
      </c>
      <c r="G1" s="140" t="s">
        <v>64</v>
      </c>
      <c r="H1" s="140" t="s">
        <v>65</v>
      </c>
      <c r="I1" s="140" t="s">
        <v>520</v>
      </c>
      <c r="J1" s="128"/>
      <c r="L1" s="141" t="s">
        <v>521</v>
      </c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P1" s="141" t="s">
        <v>522</v>
      </c>
    </row>
    <row r="2" spans="1:42" ht="11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28"/>
      <c r="L2" s="141" t="s">
        <v>419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P2" s="142"/>
    </row>
    <row r="3" spans="1:42" ht="11.2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28"/>
      <c r="L3" s="141" t="s">
        <v>420</v>
      </c>
      <c r="M3" s="141"/>
      <c r="N3" s="141"/>
      <c r="O3" s="141"/>
      <c r="P3" s="141"/>
      <c r="Q3" s="141"/>
      <c r="R3" s="141"/>
      <c r="S3" s="141"/>
      <c r="T3" s="141"/>
      <c r="U3" s="141" t="s">
        <v>429</v>
      </c>
      <c r="V3" s="141"/>
      <c r="W3" s="141"/>
      <c r="X3" s="141"/>
      <c r="Y3" s="141"/>
      <c r="Z3" s="141"/>
      <c r="AA3" s="141"/>
      <c r="AB3" s="141"/>
      <c r="AC3" s="141" t="s">
        <v>437</v>
      </c>
      <c r="AD3" s="141"/>
      <c r="AE3" s="141" t="s">
        <v>439</v>
      </c>
      <c r="AF3" s="141"/>
      <c r="AG3" s="141"/>
      <c r="AH3" s="141" t="s">
        <v>442</v>
      </c>
      <c r="AI3" s="141"/>
      <c r="AJ3" s="141"/>
      <c r="AK3" s="141"/>
      <c r="AL3" s="141"/>
      <c r="AM3" s="141" t="s">
        <v>428</v>
      </c>
      <c r="AP3" s="142"/>
    </row>
    <row r="4" spans="1:42" ht="11.25" customHeight="1" x14ac:dyDescent="0.25">
      <c r="A4" s="140"/>
      <c r="B4" s="140"/>
      <c r="C4" s="140"/>
      <c r="D4" s="140"/>
      <c r="E4" s="140"/>
      <c r="F4" s="140"/>
      <c r="G4" s="140"/>
      <c r="H4" s="140"/>
      <c r="I4" s="140"/>
      <c r="J4" s="128"/>
      <c r="L4" s="10" t="s">
        <v>505</v>
      </c>
      <c r="M4" s="10" t="s">
        <v>421</v>
      </c>
      <c r="N4" s="10" t="s">
        <v>422</v>
      </c>
      <c r="O4" s="10" t="s">
        <v>423</v>
      </c>
      <c r="P4" s="10" t="s">
        <v>424</v>
      </c>
      <c r="Q4" s="10" t="s">
        <v>425</v>
      </c>
      <c r="R4" s="10" t="s">
        <v>426</v>
      </c>
      <c r="S4" s="10" t="s">
        <v>427</v>
      </c>
      <c r="T4" s="10" t="s">
        <v>428</v>
      </c>
      <c r="U4" s="10" t="s">
        <v>430</v>
      </c>
      <c r="V4" s="10" t="s">
        <v>431</v>
      </c>
      <c r="W4" s="10" t="s">
        <v>432</v>
      </c>
      <c r="X4" s="10" t="s">
        <v>433</v>
      </c>
      <c r="Y4" s="10" t="s">
        <v>434</v>
      </c>
      <c r="Z4" s="10" t="s">
        <v>435</v>
      </c>
      <c r="AA4" s="10" t="s">
        <v>436</v>
      </c>
      <c r="AB4" s="10" t="s">
        <v>428</v>
      </c>
      <c r="AC4" s="10" t="s">
        <v>438</v>
      </c>
      <c r="AD4" s="10" t="s">
        <v>428</v>
      </c>
      <c r="AE4" s="10" t="s">
        <v>440</v>
      </c>
      <c r="AF4" s="10" t="s">
        <v>441</v>
      </c>
      <c r="AG4" s="10" t="s">
        <v>428</v>
      </c>
      <c r="AH4" s="10" t="s">
        <v>443</v>
      </c>
      <c r="AI4" s="10" t="s">
        <v>444</v>
      </c>
      <c r="AJ4" s="10" t="s">
        <v>445</v>
      </c>
      <c r="AK4" s="10" t="s">
        <v>446</v>
      </c>
      <c r="AL4" s="10" t="s">
        <v>428</v>
      </c>
      <c r="AM4" s="143"/>
      <c r="AP4" s="142"/>
    </row>
    <row r="5" spans="1:42" ht="11.25" customHeight="1" x14ac:dyDescent="0.25">
      <c r="A5" s="139" t="s">
        <v>34</v>
      </c>
      <c r="B5" s="139" t="s">
        <v>73</v>
      </c>
      <c r="C5" s="139" t="s">
        <v>25</v>
      </c>
      <c r="D5" s="139" t="s">
        <v>25</v>
      </c>
      <c r="E5" s="139" t="s">
        <v>25</v>
      </c>
      <c r="F5" s="139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25.208200000000001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15.4781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139"/>
      <c r="B6" s="139"/>
      <c r="C6" s="139"/>
      <c r="D6" s="139"/>
      <c r="E6" s="139"/>
      <c r="F6" s="139"/>
      <c r="G6" s="18" t="s">
        <v>76</v>
      </c>
      <c r="H6" s="18" t="s">
        <v>74</v>
      </c>
      <c r="I6" s="18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9.7149000000000001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5.1303000000000001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139"/>
      <c r="B7" s="139"/>
      <c r="C7" s="139"/>
      <c r="D7" s="139"/>
      <c r="E7" s="139"/>
      <c r="F7" s="139"/>
      <c r="G7" s="18" t="s">
        <v>72</v>
      </c>
      <c r="H7" s="18" t="s">
        <v>68</v>
      </c>
      <c r="I7" s="18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0.27636712311637923</v>
      </c>
      <c r="N7" s="13">
        <f ca="1">(+M7+O7+R7+U7+V7+W7+X7+Y7+Z7+AA7+AC7+AH7+AI7+AJ7+AK7)*CUSTOS!$M$5</f>
        <v>7.2787193675643791E-2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1.7153</v>
      </c>
      <c r="AI7" s="13">
        <v>1.7153</v>
      </c>
      <c r="AJ7" s="13">
        <f ca="1">$N$63</f>
        <v>0.7858761222239995</v>
      </c>
      <c r="AK7" s="13">
        <f t="shared" ca="1" si="0"/>
        <v>0.7858761222239995</v>
      </c>
      <c r="AL7" s="13"/>
      <c r="AM7" s="13"/>
      <c r="AP7" s="13">
        <v>1</v>
      </c>
    </row>
    <row r="8" spans="1:42" ht="11.25" customHeight="1" x14ac:dyDescent="0.25">
      <c r="A8" s="139"/>
      <c r="B8" s="139"/>
      <c r="C8" s="139"/>
      <c r="D8" s="139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0.27636712311637923</v>
      </c>
      <c r="N8" s="13">
        <f ca="1">(+M8+O8+R8+U8+V8+W8+X8+Y8+Z8+AA8+AC8+AH8+AI8+AJ8+AK8)*CUSTOS!$M$5</f>
        <v>6.2787193675643796E-2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1.7153</v>
      </c>
      <c r="AI8" s="13">
        <v>1.7153</v>
      </c>
      <c r="AJ8" s="13">
        <f ca="1">$N$63</f>
        <v>0.7858761222239995</v>
      </c>
      <c r="AK8" s="13">
        <f t="shared" ca="1" si="0"/>
        <v>0.7858761222239995</v>
      </c>
      <c r="AL8" s="13"/>
      <c r="AM8" s="13"/>
      <c r="AP8" s="13">
        <v>1</v>
      </c>
    </row>
    <row r="9" spans="1:42" ht="11.25" customHeight="1" x14ac:dyDescent="0.25">
      <c r="A9" s="139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v>0</v>
      </c>
      <c r="M9" s="13">
        <v>2.47E-2</v>
      </c>
      <c r="N9" s="13">
        <f>0.0619</f>
        <v>6.1899999999999997E-2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6.1651999999999996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139"/>
      <c r="B10" s="139" t="s">
        <v>35</v>
      </c>
      <c r="C10" s="139" t="s">
        <v>25</v>
      </c>
      <c r="D10" s="139" t="s">
        <v>25</v>
      </c>
      <c r="E10" s="139" t="s">
        <v>25</v>
      </c>
      <c r="F10" s="139" t="s">
        <v>25</v>
      </c>
      <c r="G10" s="18" t="s">
        <v>9</v>
      </c>
      <c r="H10" s="18" t="s">
        <v>74</v>
      </c>
      <c r="I10" s="18">
        <f>'MERCADO TUSD'!$U$7</f>
        <v>31517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9.7149000000000001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5.1303000000000001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139"/>
      <c r="B11" s="139"/>
      <c r="C11" s="139"/>
      <c r="D11" s="139"/>
      <c r="E11" s="139"/>
      <c r="F11" s="139"/>
      <c r="G11" s="18" t="s">
        <v>69</v>
      </c>
      <c r="H11" s="18" t="s">
        <v>68</v>
      </c>
      <c r="I11" s="18">
        <f>'MERCADO TUSD'!$U$8</f>
        <v>644.95300000000009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0.27636712311637923</v>
      </c>
      <c r="N11" s="13">
        <f ca="1">(+M11+O11+R11+U11+V11+W11+X11+Y11+Z11+AA11+AC11+AH11+AI11+AJ11+AK11)*CUSTOS!$M$5</f>
        <v>9.8578571936756436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606.25729999999999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372.24970000000002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1.7153</v>
      </c>
      <c r="AI11" s="13">
        <v>1.7153</v>
      </c>
      <c r="AJ11" s="13">
        <f ca="1">$N$63</f>
        <v>0.7858761222239995</v>
      </c>
      <c r="AK11" s="13">
        <f t="shared" ca="1" si="0"/>
        <v>0.7858761222239995</v>
      </c>
      <c r="AL11" s="13"/>
      <c r="AM11" s="13"/>
      <c r="AP11" s="13">
        <v>1</v>
      </c>
    </row>
    <row r="12" spans="1:42" ht="11.25" customHeight="1" x14ac:dyDescent="0.25">
      <c r="A12" s="139"/>
      <c r="B12" s="139"/>
      <c r="C12" s="139"/>
      <c r="D12" s="139"/>
      <c r="E12" s="139"/>
      <c r="F12" s="139"/>
      <c r="G12" s="18" t="s">
        <v>70</v>
      </c>
      <c r="H12" s="18" t="s">
        <v>68</v>
      </c>
      <c r="I12" s="18">
        <f>'MERCADO TUSD'!$U$9</f>
        <v>8036.4479999999985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0.27636712311637923</v>
      </c>
      <c r="N12" s="13">
        <f ca="1">(+M12+O12+R12+U12+V12+W12+X12+Y12+Z12+AA12+AC12+AH12+AI12+AJ12+AK12)*CUSTOS!$M$5</f>
        <v>7.2787193675643791E-2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1.7153</v>
      </c>
      <c r="AI12" s="13">
        <v>1.7153</v>
      </c>
      <c r="AJ12" s="13">
        <f ca="1">$N$63</f>
        <v>0.7858761222239995</v>
      </c>
      <c r="AK12" s="13">
        <f t="shared" ca="1" si="0"/>
        <v>0.7858761222239995</v>
      </c>
      <c r="AL12" s="13"/>
      <c r="AM12" s="13"/>
      <c r="AP12" s="13">
        <v>1</v>
      </c>
    </row>
    <row r="13" spans="1:42" ht="11.25" customHeight="1" x14ac:dyDescent="0.25">
      <c r="A13" s="139"/>
      <c r="B13" s="139"/>
      <c r="C13" s="139"/>
      <c r="D13" s="139"/>
      <c r="E13" s="139" t="s">
        <v>77</v>
      </c>
      <c r="F13" s="139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0.27636712311637923</v>
      </c>
      <c r="N13" s="13">
        <f ca="1">(+M13+O13+R13+U13+V13+W13+X13+Y13+Z13+AA13+AC13+AH13+AI13+AJ13+AK13)*CUSTOS!$M$5</f>
        <v>9.8478571936756438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606.25729999999999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372.24970000000002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1.7153</v>
      </c>
      <c r="AI13" s="13">
        <v>1.7153</v>
      </c>
      <c r="AJ13" s="13">
        <f ca="1">$N$63</f>
        <v>0.7858761222239995</v>
      </c>
      <c r="AK13" s="13">
        <f t="shared" ca="1" si="0"/>
        <v>0.7858761222239995</v>
      </c>
      <c r="AL13" s="13"/>
      <c r="AM13" s="13"/>
      <c r="AP13" s="13">
        <v>1</v>
      </c>
    </row>
    <row r="14" spans="1:42" ht="11.25" customHeight="1" x14ac:dyDescent="0.25">
      <c r="A14" s="139"/>
      <c r="B14" s="139"/>
      <c r="C14" s="139"/>
      <c r="D14" s="139"/>
      <c r="E14" s="139"/>
      <c r="F14" s="139"/>
      <c r="G14" s="18" t="s">
        <v>70</v>
      </c>
      <c r="H14" s="18" t="s">
        <v>68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0.27636712311637923</v>
      </c>
      <c r="N14" s="13">
        <f ca="1">(+M14+O14+R14+U14+V14+W14+X14+Y14+Z14+AA14+AC14+AH14+AI14+AJ14+AK14)*CUSTOS!$M$5</f>
        <v>6.2787193675643796E-2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1.7153</v>
      </c>
      <c r="AI14" s="13">
        <v>1.7153</v>
      </c>
      <c r="AJ14" s="13">
        <f ca="1">$N$63</f>
        <v>0.7858761222239995</v>
      </c>
      <c r="AK14" s="13">
        <f t="shared" ca="1" si="0"/>
        <v>0.7858761222239995</v>
      </c>
      <c r="AL14" s="13"/>
      <c r="AM14" s="13"/>
      <c r="AP14" s="13">
        <v>1</v>
      </c>
    </row>
    <row r="15" spans="1:42" ht="11.25" customHeight="1" x14ac:dyDescent="0.25">
      <c r="A15" s="139" t="s">
        <v>79</v>
      </c>
      <c r="B15" s="139" t="s">
        <v>78</v>
      </c>
      <c r="C15" s="139" t="s">
        <v>25</v>
      </c>
      <c r="D15" s="139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v>0</v>
      </c>
      <c r="M15" s="13">
        <v>5.3400000000000003E-2</v>
      </c>
      <c r="N15" s="13">
        <f>0.1339</f>
        <v>0.13389999999999999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13.3401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139"/>
      <c r="B16" s="139"/>
      <c r="C16" s="139"/>
      <c r="D16" s="139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v>0</v>
      </c>
      <c r="M16" s="13">
        <v>5.3400000000000003E-2</v>
      </c>
      <c r="N16" s="13">
        <f>0.1339</f>
        <v>0.13389999999999999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20.4801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139" t="s">
        <v>22</v>
      </c>
      <c r="B17" s="139" t="s">
        <v>38</v>
      </c>
      <c r="C17" s="139" t="s">
        <v>24</v>
      </c>
      <c r="D17" s="139" t="s">
        <v>24</v>
      </c>
      <c r="E17" s="139" t="s">
        <v>25</v>
      </c>
      <c r="F17" s="139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1.3428806484136304</v>
      </c>
      <c r="N17" s="13">
        <f ca="1">(+M17+O17+R17+U17+V17+W17+X17+Y17+Z17+AA17+AC17+AH17+AI17+AJ17+AK17)*CUSTOS!$M$5</f>
        <v>8.9038002598985102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216.98650000000001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630.41060000000004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18.347200000000001</v>
      </c>
      <c r="AI17" s="13">
        <v>18.347200000000001</v>
      </c>
      <c r="AJ17" s="13">
        <f ca="1">$N$64</f>
        <v>1.4728226707186636</v>
      </c>
      <c r="AK17" s="13">
        <f t="shared" ca="1" si="0"/>
        <v>1.4728226707186636</v>
      </c>
      <c r="AL17" s="13"/>
      <c r="AM17" s="13"/>
      <c r="AP17" s="13">
        <v>1</v>
      </c>
    </row>
    <row r="18" spans="1:42" ht="11.25" customHeight="1" x14ac:dyDescent="0.25">
      <c r="A18" s="139"/>
      <c r="B18" s="139"/>
      <c r="C18" s="139"/>
      <c r="D18" s="139"/>
      <c r="E18" s="139"/>
      <c r="F18" s="139"/>
      <c r="G18" s="18" t="s">
        <v>82</v>
      </c>
      <c r="H18" s="18" t="s">
        <v>68</v>
      </c>
      <c r="I18" s="18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1.3428806484136304</v>
      </c>
      <c r="N18" s="13">
        <f ca="1">(+M18+O18+R18+U18+V18+W18+X18+Y18+Z18+AA18+AC18+AH18+AI18+AJ18+AK18)*CUSTOS!$M$5</f>
        <v>5.5142112598985102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130.1919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378.24630000000002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18.347200000000001</v>
      </c>
      <c r="AI18" s="13">
        <v>18.347200000000001</v>
      </c>
      <c r="AJ18" s="13">
        <f ca="1">$N$64</f>
        <v>1.4728226707186636</v>
      </c>
      <c r="AK18" s="13">
        <f t="shared" ca="1" si="0"/>
        <v>1.4728226707186636</v>
      </c>
      <c r="AL18" s="13"/>
      <c r="AM18" s="13"/>
      <c r="AP18" s="13">
        <v>1</v>
      </c>
    </row>
    <row r="19" spans="1:42" ht="11.25" customHeight="1" x14ac:dyDescent="0.25">
      <c r="A19" s="139"/>
      <c r="B19" s="139"/>
      <c r="C19" s="139"/>
      <c r="D19" s="139"/>
      <c r="E19" s="139"/>
      <c r="F19" s="139"/>
      <c r="G19" s="18" t="s">
        <v>70</v>
      </c>
      <c r="H19" s="18" t="s">
        <v>68</v>
      </c>
      <c r="I19" s="18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1.3428806484136304</v>
      </c>
      <c r="N19" s="13">
        <f ca="1">(+M19+O19+R19+U19+V19+W19+X19+Y19+Z19+AA19+AC19+AH19+AI19+AJ19+AK19)*CUSTOS!$M$5</f>
        <v>2.1246232598985095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43.397300000000001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126.0821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18.347200000000001</v>
      </c>
      <c r="AI19" s="13">
        <v>18.347200000000001</v>
      </c>
      <c r="AJ19" s="13">
        <f ca="1">$N$64</f>
        <v>1.4728226707186636</v>
      </c>
      <c r="AK19" s="13">
        <f t="shared" ca="1" si="0"/>
        <v>1.4728226707186636</v>
      </c>
      <c r="AL19" s="13"/>
      <c r="AM19" s="13"/>
      <c r="AP19" s="13">
        <v>1</v>
      </c>
    </row>
    <row r="20" spans="1:42" ht="11.25" customHeight="1" x14ac:dyDescent="0.25">
      <c r="A20" s="139"/>
      <c r="B20" s="139" t="s">
        <v>23</v>
      </c>
      <c r="C20" s="139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6670.0239999999994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1.3428806484136304</v>
      </c>
      <c r="N20" s="13">
        <f ca="1">(+M20+O20+R20+U20+V20+W20+X20+Y20+Z20+AA20+AC20+AH20+AI20+AJ20+AK20)*CUSTOS!$M$5</f>
        <v>3.4562472598985092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77.495199999999997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225.14660000000001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18.347200000000001</v>
      </c>
      <c r="AI20" s="13">
        <v>18.347200000000001</v>
      </c>
      <c r="AJ20" s="13">
        <f ca="1">$N$64</f>
        <v>1.4728226707186636</v>
      </c>
      <c r="AK20" s="13">
        <f t="shared" ca="1" si="0"/>
        <v>1.4728226707186636</v>
      </c>
      <c r="AL20" s="13"/>
      <c r="AM20" s="13"/>
      <c r="AP20" s="13">
        <v>1</v>
      </c>
    </row>
    <row r="21" spans="1:42" ht="11.25" customHeight="1" x14ac:dyDescent="0.25">
      <c r="A21" s="139"/>
      <c r="B21" s="139"/>
      <c r="C21" s="139"/>
      <c r="D21" s="17" t="s">
        <v>28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127.41000000000001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1.3428806484136304</v>
      </c>
      <c r="N21" s="13">
        <f ca="1">(+M21+O21+R21+U21+V21+W21+X21+Y21+Z21+AA21+AC21+AH21+AI21+AJ21+AK21)*CUSTOS!$M$5</f>
        <v>3.446247259898509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77.495199999999997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225.14660000000001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CUSTOS!$M$24)*18.3472</f>
        <v>18.347200000000001</v>
      </c>
      <c r="AI21" s="13">
        <f>(1 - CUSTOS!$M$24)*18.3472</f>
        <v>18.347200000000001</v>
      </c>
      <c r="AJ21" s="13">
        <f ca="1">$N$64*(1-CUSTOS!$M$24)</f>
        <v>1.4728226707186636</v>
      </c>
      <c r="AK21" s="13">
        <f t="shared" ca="1" si="0"/>
        <v>1.4728226707186636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39"/>
      <c r="B22" s="139"/>
      <c r="C22" s="139"/>
      <c r="D22" s="17" t="s">
        <v>29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275.43099999999998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1.3428806484136304</v>
      </c>
      <c r="N22" s="13">
        <f ca="1">(+M22+O22+R22+U22+V22+W22+X22+Y22+Z22+AA22+AC22+AH22+AI22+AJ22+AK22)*CUSTOS!$M$5</f>
        <v>3.446247259898509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77.495199999999997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225.14660000000001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CUSTOS!$M$25)*18.3472</f>
        <v>18.347200000000001</v>
      </c>
      <c r="AI22" s="13">
        <f>(1 - CUSTOS!$M$25)*18.3472</f>
        <v>18.347200000000001</v>
      </c>
      <c r="AJ22" s="13">
        <f ca="1">$N$64*(1-CUSTOS!$M$25)</f>
        <v>1.4728226707186636</v>
      </c>
      <c r="AK22" s="13">
        <f t="shared" ca="1" si="0"/>
        <v>1.4728226707186636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39"/>
      <c r="B23" s="139"/>
      <c r="C23" s="139"/>
      <c r="D23" s="17" t="s">
        <v>30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305.03699999999998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1.3428806484136304</v>
      </c>
      <c r="N23" s="13">
        <f ca="1">(+M23+O23+R23+U23+V23+W23+X23+Y23+Z23+AA23+AC23+AH23+AI23+AJ23+AK23)*CUSTOS!$M$5</f>
        <v>3.446247259898509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77.495199999999997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225.14660000000001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CUSTOS!$M$26)*18.3472</f>
        <v>18.347200000000001</v>
      </c>
      <c r="AI23" s="13">
        <f>(1 - CUSTOS!$M$26)*18.3472</f>
        <v>18.347200000000001</v>
      </c>
      <c r="AJ23" s="13">
        <f ca="1">$N$64*(1-CUSTOS!$M$26)</f>
        <v>1.4728226707186636</v>
      </c>
      <c r="AK23" s="13">
        <f t="shared" ca="1" si="0"/>
        <v>1.4728226707186636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39"/>
      <c r="B24" s="139"/>
      <c r="C24" s="139"/>
      <c r="D24" s="17" t="s">
        <v>31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109.482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1.3428806484136304</v>
      </c>
      <c r="N24" s="13">
        <f ca="1">(+M24+O24+R24+U24+V24+W24+X24+Y24+Z24+AA24+AC24+AH24+AI24+AJ24+AK24)*CUSTOS!$M$5</f>
        <v>3.446247259898509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77.495199999999997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225.14660000000001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CUSTOS!$M$27)*18.3472</f>
        <v>18.347200000000001</v>
      </c>
      <c r="AI24" s="13">
        <f>(1 - CUSTOS!$M$27)*18.3472</f>
        <v>18.347200000000001</v>
      </c>
      <c r="AJ24" s="13">
        <f ca="1">$N$64*(1-CUSTOS!$M$27)</f>
        <v>1.4728226707186636</v>
      </c>
      <c r="AK24" s="13">
        <f t="shared" ca="1" si="0"/>
        <v>1.4728226707186636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39"/>
      <c r="B25" s="139" t="s">
        <v>84</v>
      </c>
      <c r="C25" s="139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1.3428806484136304</v>
      </c>
      <c r="N25" s="13">
        <f ca="1">(+M25+O25+R25+U25+V25+W25+X25+Y25+Z25+AA25+AC25+AH25+AI25+AJ25+AK25)*CUSTOS!$M$5</f>
        <v>3.4562472598985092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77.495199999999997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225.14660000000001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18.347200000000001</v>
      </c>
      <c r="AI25" s="13">
        <v>18.347200000000001</v>
      </c>
      <c r="AJ25" s="13">
        <f ca="1">$N$64</f>
        <v>1.4728226707186636</v>
      </c>
      <c r="AK25" s="13">
        <f t="shared" ca="1" si="0"/>
        <v>1.4728226707186636</v>
      </c>
      <c r="AL25" s="13"/>
      <c r="AM25" s="13"/>
      <c r="AP25" s="13">
        <v>1</v>
      </c>
    </row>
    <row r="26" spans="1:42" ht="11.25" customHeight="1" x14ac:dyDescent="0.25">
      <c r="A26" s="139"/>
      <c r="B26" s="139"/>
      <c r="C26" s="139"/>
      <c r="D26" s="17" t="s">
        <v>28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1.3428806484136304</v>
      </c>
      <c r="N26" s="13">
        <f ca="1">(+M26+O26+R26+U26+V26+W26+X26+Y26+Z26+AA26+AC26+AH26+AI26+AJ26+AK26)*CUSTOS!$M$5</f>
        <v>3.446247259898509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77.495199999999997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225.14660000000001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CUSTOS!$M$24)*18.3472</f>
        <v>18.347200000000001</v>
      </c>
      <c r="AI26" s="13">
        <f>(1 - CUSTOS!$M$24)*18.3472</f>
        <v>18.347200000000001</v>
      </c>
      <c r="AJ26" s="13">
        <f ca="1">$N$64*(1-CUSTOS!$M$24)</f>
        <v>1.4728226707186636</v>
      </c>
      <c r="AK26" s="13">
        <f t="shared" ca="1" si="0"/>
        <v>1.4728226707186636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39"/>
      <c r="B27" s="139"/>
      <c r="C27" s="139"/>
      <c r="D27" s="17" t="s">
        <v>29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1.3428806484136304</v>
      </c>
      <c r="N27" s="13">
        <f ca="1">(+M27+O27+R27+U27+V27+W27+X27+Y27+Z27+AA27+AC27+AH27+AI27+AJ27+AK27)*CUSTOS!$M$5</f>
        <v>3.446247259898509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77.495199999999997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225.14660000000001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CUSTOS!$M$25)*18.3472</f>
        <v>18.347200000000001</v>
      </c>
      <c r="AI27" s="13">
        <f>(1 - CUSTOS!$M$25)*18.3472</f>
        <v>18.347200000000001</v>
      </c>
      <c r="AJ27" s="13">
        <f ca="1">$N$64*(1-CUSTOS!$M$25)</f>
        <v>1.4728226707186636</v>
      </c>
      <c r="AK27" s="13">
        <f t="shared" ca="1" si="0"/>
        <v>1.4728226707186636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39"/>
      <c r="B28" s="139"/>
      <c r="C28" s="139"/>
      <c r="D28" s="17" t="s">
        <v>30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1.3428806484136304</v>
      </c>
      <c r="N28" s="13">
        <f ca="1">(+M28+O28+R28+U28+V28+W28+X28+Y28+Z28+AA28+AC28+AH28+AI28+AJ28+AK28)*CUSTOS!$M$5</f>
        <v>3.446247259898509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77.495199999999997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225.14660000000001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CUSTOS!$M$26)*18.3472</f>
        <v>18.347200000000001</v>
      </c>
      <c r="AI28" s="13">
        <f>(1 - CUSTOS!$M$26)*18.3472</f>
        <v>18.347200000000001</v>
      </c>
      <c r="AJ28" s="13">
        <f ca="1">$N$64*(1-CUSTOS!$M$26)</f>
        <v>1.4728226707186636</v>
      </c>
      <c r="AK28" s="13">
        <f t="shared" ca="1" si="0"/>
        <v>1.4728226707186636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39"/>
      <c r="B29" s="139"/>
      <c r="C29" s="139"/>
      <c r="D29" s="17" t="s">
        <v>31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1.3428806484136304</v>
      </c>
      <c r="N29" s="13">
        <f ca="1">(+M29+O29+R29+U29+V29+W29+X29+Y29+Z29+AA29+AC29+AH29+AI29+AJ29+AK29)*CUSTOS!$M$5</f>
        <v>3.446247259898509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77.495199999999997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225.14660000000001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CUSTOS!$M$27)*18.3472</f>
        <v>18.347200000000001</v>
      </c>
      <c r="AI29" s="13">
        <f>(1 - CUSTOS!$M$27)*18.3472</f>
        <v>18.347200000000001</v>
      </c>
      <c r="AJ29" s="13">
        <f ca="1">$N$64*(1-CUSTOS!$M$27)</f>
        <v>1.4728226707186636</v>
      </c>
      <c r="AK29" s="13">
        <f t="shared" ca="1" si="0"/>
        <v>1.4728226707186636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39" t="s">
        <v>41</v>
      </c>
      <c r="B30" s="139" t="s">
        <v>38</v>
      </c>
      <c r="C30" s="139" t="s">
        <v>42</v>
      </c>
      <c r="D30" s="139" t="s">
        <v>25</v>
      </c>
      <c r="E30" s="139" t="s">
        <v>25</v>
      </c>
      <c r="F30" s="139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1.3428806484136304</v>
      </c>
      <c r="N30" s="13">
        <f ca="1">(+M30+O30+R30+U30+V30+W30+X30+Y30+Z30+AA30+AC30+AH30+AI30+AJ30+AK30)*CUSTOS!$M$5</f>
        <v>0.42982925989850956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0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0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CUSTOS!$M$28)*18.3472</f>
        <v>18.347200000000001</v>
      </c>
      <c r="AI30" s="13">
        <f>(1 - CUSTOS!$M$28)*18.3472</f>
        <v>18.347200000000001</v>
      </c>
      <c r="AJ30" s="13">
        <f ca="1">$N$64*(1-CUSTOS!$M$28)</f>
        <v>1.4728226707186636</v>
      </c>
      <c r="AK30" s="13">
        <f t="shared" ca="1" si="0"/>
        <v>1.4728226707186636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39"/>
      <c r="B31" s="139"/>
      <c r="C31" s="139"/>
      <c r="D31" s="139"/>
      <c r="E31" s="139"/>
      <c r="F31" s="139"/>
      <c r="G31" s="18" t="s">
        <v>82</v>
      </c>
      <c r="H31" s="18" t="s">
        <v>68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1.3428806484136304</v>
      </c>
      <c r="N31" s="13">
        <f ca="1">(+M31+O31+R31+U31+V31+W31+X31+Y31+Z31+AA31+AC31+AH31+AI31+AJ31+AK31)*CUSTOS!$M$5</f>
        <v>0.42982925989850956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0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0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CUSTOS!$M$28)*18.3472</f>
        <v>18.347200000000001</v>
      </c>
      <c r="AI31" s="13">
        <f>(1 - CUSTOS!$M$28)*18.3472</f>
        <v>18.347200000000001</v>
      </c>
      <c r="AJ31" s="13">
        <f ca="1">$N$64*(1-CUSTOS!$M$28)</f>
        <v>1.4728226707186636</v>
      </c>
      <c r="AK31" s="13">
        <f t="shared" ca="1" si="0"/>
        <v>1.4728226707186636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39"/>
      <c r="B32" s="139"/>
      <c r="C32" s="139"/>
      <c r="D32" s="139"/>
      <c r="E32" s="139"/>
      <c r="F32" s="139"/>
      <c r="G32" s="18" t="s">
        <v>70</v>
      </c>
      <c r="H32" s="18" t="s">
        <v>68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1.3428806484136304</v>
      </c>
      <c r="N32" s="13">
        <f ca="1">(+M32+O32+R32+U32+V32+W32+X32+Y32+Z32+AA32+AC32+AH32+AI32+AJ32+AK32)*CUSTOS!$M$5</f>
        <v>0.42982925989850956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0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0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CUSTOS!$M$28)*18.3472</f>
        <v>18.347200000000001</v>
      </c>
      <c r="AI32" s="13">
        <f>(1 - CUSTOS!$M$28)*18.3472</f>
        <v>18.347200000000001</v>
      </c>
      <c r="AJ32" s="13">
        <f ca="1">$N$64*(1-CUSTOS!$M$28)</f>
        <v>1.4728226707186636</v>
      </c>
      <c r="AK32" s="13">
        <f t="shared" ca="1" si="0"/>
        <v>1.4728226707186636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39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11.840000000000002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1.3428806484136304</v>
      </c>
      <c r="N33" s="13">
        <f ca="1">(+M33+O33+R33+U33+V33+W33+X33+Y33+Z33+AA33+AC33+AH33+AI33+AJ33+AK33)*CUSTOS!$M$5</f>
        <v>3.4562472598985092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77.495199999999997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225.14660000000001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CUSTOS!$M$28)*18.3472</f>
        <v>18.347200000000001</v>
      </c>
      <c r="AI33" s="13">
        <f>(1 - CUSTOS!$M$28)*18.3472</f>
        <v>18.347200000000001</v>
      </c>
      <c r="AJ33" s="13">
        <f ca="1">$N$64*(1-CUSTOS!$M$28)</f>
        <v>1.4728226707186636</v>
      </c>
      <c r="AK33" s="13">
        <f t="shared" ca="1" si="0"/>
        <v>1.4728226707186636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39"/>
      <c r="B34" s="139" t="s">
        <v>38</v>
      </c>
      <c r="C34" s="139" t="s">
        <v>42</v>
      </c>
      <c r="D34" s="139" t="s">
        <v>85</v>
      </c>
      <c r="E34" s="139" t="s">
        <v>25</v>
      </c>
      <c r="F34" s="139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1.3428806484136304</v>
      </c>
      <c r="N34" s="13">
        <f ca="1">(+M34+O34+R34+U34+V34+W34+X34+Y34+Z34+AA34+AC34+AH34+AI34+AJ34+AK34)*CUSTOS!$M$5</f>
        <v>0.42982925989850956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0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0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CUSTOS!$M$29)*18.3472</f>
        <v>18.347200000000001</v>
      </c>
      <c r="AI34" s="13">
        <f>(1 - CUSTOS!$M$29)*18.3472</f>
        <v>18.347200000000001</v>
      </c>
      <c r="AJ34" s="13">
        <f ca="1">$N$64*(1-CUSTOS!$M$29)</f>
        <v>1.4728226707186636</v>
      </c>
      <c r="AK34" s="13">
        <f t="shared" ca="1" si="0"/>
        <v>1.4728226707186636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39"/>
      <c r="B35" s="139"/>
      <c r="C35" s="139"/>
      <c r="D35" s="139"/>
      <c r="E35" s="139"/>
      <c r="F35" s="139"/>
      <c r="G35" s="18" t="s">
        <v>82</v>
      </c>
      <c r="H35" s="18" t="s">
        <v>68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1.3428806484136304</v>
      </c>
      <c r="N35" s="13">
        <f ca="1">(+M35+O35+R35+U35+V35+W35+X35+Y35+Z35+AA35+AC35+AH35+AI35+AJ35+AK35)*CUSTOS!$M$5</f>
        <v>0.42982925989850956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0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0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CUSTOS!$M$29)*18.3472</f>
        <v>18.347200000000001</v>
      </c>
      <c r="AI35" s="13">
        <f>(1 - CUSTOS!$M$29)*18.3472</f>
        <v>18.347200000000001</v>
      </c>
      <c r="AJ35" s="13">
        <f ca="1">$N$64*(1-CUSTOS!$M$29)</f>
        <v>1.4728226707186636</v>
      </c>
      <c r="AK35" s="13">
        <f t="shared" ca="1" si="0"/>
        <v>1.4728226707186636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39"/>
      <c r="B36" s="139"/>
      <c r="C36" s="139"/>
      <c r="D36" s="139"/>
      <c r="E36" s="139"/>
      <c r="F36" s="139"/>
      <c r="G36" s="18" t="s">
        <v>70</v>
      </c>
      <c r="H36" s="18" t="s">
        <v>68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1.3428806484136304</v>
      </c>
      <c r="N36" s="13">
        <f ca="1">(+M36+O36+R36+U36+V36+W36+X36+Y36+Z36+AA36+AC36+AH36+AI36+AJ36+AK36)*CUSTOS!$M$5</f>
        <v>0.42982925989850956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0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0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CUSTOS!$M$29)*18.3472</f>
        <v>18.347200000000001</v>
      </c>
      <c r="AI36" s="13">
        <f>(1 - CUSTOS!$M$29)*18.3472</f>
        <v>18.347200000000001</v>
      </c>
      <c r="AJ36" s="13">
        <f ca="1">$N$64*(1-CUSTOS!$M$29)</f>
        <v>1.4728226707186636</v>
      </c>
      <c r="AK36" s="13">
        <f t="shared" ca="1" si="0"/>
        <v>1.4728226707186636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39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1.3428806484136304</v>
      </c>
      <c r="N37" s="13">
        <f ca="1">(+M37+O37+R37+U37+V37+W37+X37+Y37+Z37+AA37+AC37+AH37+AI37+AJ37+AK37)*CUSTOS!$M$5</f>
        <v>3.4562472598985092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77.495199999999997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225.14660000000001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CUSTOS!$M$29)*18.3472</f>
        <v>18.347200000000001</v>
      </c>
      <c r="AI37" s="13">
        <f>(1 - CUSTOS!$M$29)*18.3472</f>
        <v>18.347200000000001</v>
      </c>
      <c r="AJ37" s="13">
        <f ca="1">$N$64*(1-CUSTOS!$M$29)</f>
        <v>1.4728226707186636</v>
      </c>
      <c r="AK37" s="13">
        <f t="shared" ca="1" si="0"/>
        <v>1.4728226707186636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39"/>
      <c r="B38" s="139" t="s">
        <v>38</v>
      </c>
      <c r="C38" s="139" t="s">
        <v>42</v>
      </c>
      <c r="D38" s="139" t="s">
        <v>86</v>
      </c>
      <c r="E38" s="139" t="s">
        <v>25</v>
      </c>
      <c r="F38" s="139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1.3428806484136304</v>
      </c>
      <c r="N38" s="13">
        <f ca="1">(+M38+O38+R38+U38+V38+W38+X38+Y38+Z38+AA38+AC38+AH38+AI38+AJ38+AK38)*CUSTOS!$M$5</f>
        <v>0.42982925989850956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0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0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CUSTOS!$M$30)*18.3472</f>
        <v>18.347200000000001</v>
      </c>
      <c r="AI38" s="13">
        <f>(1 - CUSTOS!$M$30)*18.3472</f>
        <v>18.347200000000001</v>
      </c>
      <c r="AJ38" s="13">
        <f ca="1">$N$64*(1-CUSTOS!$M$30)</f>
        <v>1.4728226707186636</v>
      </c>
      <c r="AK38" s="13">
        <f t="shared" ca="1" si="0"/>
        <v>1.4728226707186636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39"/>
      <c r="B39" s="139"/>
      <c r="C39" s="139"/>
      <c r="D39" s="139"/>
      <c r="E39" s="139"/>
      <c r="F39" s="139"/>
      <c r="G39" s="18" t="s">
        <v>82</v>
      </c>
      <c r="H39" s="18" t="s">
        <v>68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1.3428806484136304</v>
      </c>
      <c r="N39" s="13">
        <f ca="1">(+M39+O39+R39+U39+V39+W39+X39+Y39+Z39+AA39+AC39+AH39+AI39+AJ39+AK39)*CUSTOS!$M$5</f>
        <v>0.42982925989850956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0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0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CUSTOS!$M$30)*18.3472</f>
        <v>18.347200000000001</v>
      </c>
      <c r="AI39" s="13">
        <f>(1 - CUSTOS!$M$30)*18.3472</f>
        <v>18.347200000000001</v>
      </c>
      <c r="AJ39" s="13">
        <f ca="1">$N$64*(1-CUSTOS!$M$30)</f>
        <v>1.4728226707186636</v>
      </c>
      <c r="AK39" s="13">
        <f t="shared" ca="1" si="0"/>
        <v>1.4728226707186636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39"/>
      <c r="B40" s="139"/>
      <c r="C40" s="139"/>
      <c r="D40" s="139"/>
      <c r="E40" s="139"/>
      <c r="F40" s="139"/>
      <c r="G40" s="18" t="s">
        <v>70</v>
      </c>
      <c r="H40" s="18" t="s">
        <v>68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1.3428806484136304</v>
      </c>
      <c r="N40" s="13">
        <f ca="1">(+M40+O40+R40+U40+V40+W40+X40+Y40+Z40+AA40+AC40+AH40+AI40+AJ40+AK40)*CUSTOS!$M$5</f>
        <v>0.42982925989850956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0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0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CUSTOS!$M$30)*18.3472</f>
        <v>18.347200000000001</v>
      </c>
      <c r="AI40" s="13">
        <f>(1 - CUSTOS!$M$30)*18.3472</f>
        <v>18.347200000000001</v>
      </c>
      <c r="AJ40" s="13">
        <f ca="1">$N$64*(1-CUSTOS!$M$30)</f>
        <v>1.4728226707186636</v>
      </c>
      <c r="AK40" s="13">
        <f t="shared" ca="1" si="0"/>
        <v>1.4728226707186636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39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1.3428806484136304</v>
      </c>
      <c r="N41" s="13">
        <f ca="1">(+M41+O41+R41+U41+V41+W41+X41+Y41+Z41+AA41+AC41+AH41+AI41+AJ41+AK41)*CUSTOS!$M$5</f>
        <v>3.4562472598985092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77.495199999999997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225.14660000000001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CUSTOS!$M$30)*18.3472</f>
        <v>18.347200000000001</v>
      </c>
      <c r="AI41" s="13">
        <f>(1 - CUSTOS!$M$30)*18.3472</f>
        <v>18.347200000000001</v>
      </c>
      <c r="AJ41" s="13">
        <f ca="1">$N$64*(1-CUSTOS!$M$30)</f>
        <v>1.4728226707186636</v>
      </c>
      <c r="AK41" s="13">
        <f t="shared" ca="1" si="0"/>
        <v>1.4728226707186636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39"/>
      <c r="B42" s="139" t="s">
        <v>84</v>
      </c>
      <c r="C42" s="139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1.3428806484136304</v>
      </c>
      <c r="N42" s="13">
        <f ca="1">(+M42+O42+R42+U42+V42+W42+X42+Y42+Z42+AA42+AC42+AH42+AI42+AJ42+AK42)*CUSTOS!$M$5</f>
        <v>3.4562472598985092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77.495199999999997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225.14660000000001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CUSTOS!$M$28)*18.3472</f>
        <v>18.347200000000001</v>
      </c>
      <c r="AI42" s="13">
        <f>(1 - CUSTOS!$M$28)*18.3472</f>
        <v>18.347200000000001</v>
      </c>
      <c r="AJ42" s="13">
        <f ca="1">$N$64*(1-CUSTOS!$M$28)</f>
        <v>1.4728226707186636</v>
      </c>
      <c r="AK42" s="13">
        <f t="shared" ca="1" si="0"/>
        <v>1.4728226707186636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39"/>
      <c r="B43" s="139"/>
      <c r="C43" s="139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1.3428806484136304</v>
      </c>
      <c r="N43" s="13">
        <f ca="1">(+M43+O43+R43+U43+V43+W43+X43+Y43+Z43+AA43+AC43+AH43+AI43+AJ43+AK43)*CUSTOS!$M$5</f>
        <v>3.4562472598985092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77.495199999999997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225.14660000000001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CUSTOS!$M$29)*18.3472</f>
        <v>18.347200000000001</v>
      </c>
      <c r="AI43" s="13">
        <f>(1 - CUSTOS!$M$29)*18.3472</f>
        <v>18.347200000000001</v>
      </c>
      <c r="AJ43" s="13">
        <f ca="1">$N$64*(1-CUSTOS!$M$29)</f>
        <v>1.4728226707186636</v>
      </c>
      <c r="AK43" s="13">
        <f t="shared" ca="1" si="0"/>
        <v>1.4728226707186636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39"/>
      <c r="B44" s="139"/>
      <c r="C44" s="139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1.3428806484136304</v>
      </c>
      <c r="N44" s="13">
        <f ca="1">(+M44+O44+R44+U44+V44+W44+X44+Y44+Z44+AA44+AC44+AH44+AI44+AJ44+AK44)*CUSTOS!$M$5</f>
        <v>3.4562472598985092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77.495199999999997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225.14660000000001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CUSTOS!$M$30)*18.3472</f>
        <v>18.347200000000001</v>
      </c>
      <c r="AI44" s="13">
        <f>(1 - CUSTOS!$M$30)*18.3472</f>
        <v>18.347200000000001</v>
      </c>
      <c r="AJ44" s="13">
        <f ca="1">$N$64*(1-CUSTOS!$M$30)</f>
        <v>1.4728226707186636</v>
      </c>
      <c r="AK44" s="13">
        <f t="shared" ca="1" si="0"/>
        <v>1.4728226707186636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39" t="s">
        <v>32</v>
      </c>
      <c r="B45" s="139" t="s">
        <v>38</v>
      </c>
      <c r="C45" s="139" t="s">
        <v>25</v>
      </c>
      <c r="D45" s="139" t="s">
        <v>25</v>
      </c>
      <c r="E45" s="139" t="s">
        <v>25</v>
      </c>
      <c r="F45" s="139" t="s">
        <v>25</v>
      </c>
      <c r="G45" s="18" t="s">
        <v>69</v>
      </c>
      <c r="H45" s="18" t="s">
        <v>68</v>
      </c>
      <c r="I45" s="18">
        <f>'MERCADO TUSD'!$U$42</f>
        <v>8.897000000000002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1.3428806484136304</v>
      </c>
      <c r="N45" s="13">
        <f ca="1">(+M45+O45+R45+U45+V45+W45+X45+Y45+Z45+AA45+AC45+AH45+AI45+AJ45+AK45)*CUSTOS!$M$5</f>
        <v>11.627576259898508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286.73219999999998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833.04250000000002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CUSTOS!$M$31)*18.3472</f>
        <v>18.347200000000001</v>
      </c>
      <c r="AI45" s="13">
        <f>(1 - CUSTOS!$M$31)*18.3472</f>
        <v>18.347200000000001</v>
      </c>
      <c r="AJ45" s="13">
        <f ca="1">$N$64*(1-CUSTOS!$M$31)</f>
        <v>1.4728226707186636</v>
      </c>
      <c r="AK45" s="13">
        <f t="shared" ca="1" si="0"/>
        <v>1.4728226707186636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39"/>
      <c r="B46" s="139"/>
      <c r="C46" s="139"/>
      <c r="D46" s="139"/>
      <c r="E46" s="139"/>
      <c r="F46" s="139"/>
      <c r="G46" s="18" t="s">
        <v>82</v>
      </c>
      <c r="H46" s="18" t="s">
        <v>68</v>
      </c>
      <c r="I46" s="18">
        <f>'MERCADO TUSD'!$U$43</f>
        <v>7.0329999999999995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1.3428806484136304</v>
      </c>
      <c r="N46" s="13">
        <f ca="1">(+M46+O46+R46+U46+V46+W46+X46+Y46+Z46+AA46+AC46+AH46+AI46+AJ46+AK46)*CUSTOS!$M$5</f>
        <v>7.1484772598985096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172.0393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499.82549999999998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CUSTOS!$M$31)*18.3472</f>
        <v>18.347200000000001</v>
      </c>
      <c r="AI46" s="13">
        <f>(1 - CUSTOS!$M$31)*18.3472</f>
        <v>18.347200000000001</v>
      </c>
      <c r="AJ46" s="13">
        <f ca="1">$N$64*(1-CUSTOS!$M$31)</f>
        <v>1.4728226707186636</v>
      </c>
      <c r="AK46" s="13">
        <f t="shared" ca="1" si="0"/>
        <v>1.4728226707186636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39"/>
      <c r="B47" s="139"/>
      <c r="C47" s="139"/>
      <c r="D47" s="139"/>
      <c r="E47" s="139"/>
      <c r="F47" s="139"/>
      <c r="G47" s="18" t="s">
        <v>70</v>
      </c>
      <c r="H47" s="18" t="s">
        <v>68</v>
      </c>
      <c r="I47" s="18">
        <f>'MERCADO TUSD'!$U$44</f>
        <v>183.905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1.3428806484136304</v>
      </c>
      <c r="N47" s="13">
        <f ca="1">(+M47+O47+R47+U47+V47+W47+X47+Y47+Z47+AA47+AC47+AH47+AI47+AJ47+AK47)*CUSTOS!$M$5</f>
        <v>2.6693782598985094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57.346400000000003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166.60849999999999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CUSTOS!$M$31)*18.3472</f>
        <v>18.347200000000001</v>
      </c>
      <c r="AI47" s="13">
        <f>(1 - CUSTOS!$M$31)*18.3472</f>
        <v>18.347200000000001</v>
      </c>
      <c r="AJ47" s="13">
        <f ca="1">$N$64*(1-CUSTOS!$M$31)</f>
        <v>1.4728226707186636</v>
      </c>
      <c r="AK47" s="13">
        <f t="shared" ca="1" si="0"/>
        <v>1.4728226707186636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3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4632.741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1.3428806484136304</v>
      </c>
      <c r="N48" s="13">
        <f ca="1">(+M48+O48+R48+U48+V48+W48+X48+Y48+Z48+AA48+AC48+AH48+AI48+AJ48+AK48)*CUSTOS!$M$5</f>
        <v>3.4562472598985092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77.495199999999997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225.14660000000001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CUSTOS!$M$31)*18.3472</f>
        <v>18.347200000000001</v>
      </c>
      <c r="AI48" s="13">
        <f>(1 - CUSTOS!$M$31)*18.3472</f>
        <v>18.347200000000001</v>
      </c>
      <c r="AJ48" s="13">
        <f ca="1">$N$64*(1-CUSTOS!$M$31)</f>
        <v>1.4728226707186636</v>
      </c>
      <c r="AK48" s="13">
        <f t="shared" ca="1" si="0"/>
        <v>1.4728226707186636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39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1.3428806484136304</v>
      </c>
      <c r="N49" s="13">
        <f ca="1">(+M49+O49+R49+U49+V49+W49+X49+Y49+Z49+AA49+AC49+AH49+AI49+AJ49+AK49)*CUSTOS!$M$5</f>
        <v>3.4562472598985092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77.495199999999997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225.14660000000001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CUSTOS!$M$31)*18.3472</f>
        <v>18.347200000000001</v>
      </c>
      <c r="AI49" s="13">
        <f>(1 - CUSTOS!$M$31)*18.3472</f>
        <v>18.347200000000001</v>
      </c>
      <c r="AJ49" s="13">
        <f ca="1">$N$64*(1-CUSTOS!$M$31)</f>
        <v>1.4728226707186636</v>
      </c>
      <c r="AK49" s="13">
        <f t="shared" ca="1" si="0"/>
        <v>1.4728226707186636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39" t="s">
        <v>44</v>
      </c>
      <c r="B50" s="139" t="s">
        <v>23</v>
      </c>
      <c r="C50" s="139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356.69600000000003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0.73858435662749677</v>
      </c>
      <c r="N50" s="13">
        <f ca="1">(+M50+O50+R50+U50+V50+W50+X50+Y50+Z50+AA50+AC50+AH50+AI50+AJ50+AK50)*CUSTOS!$M$5</f>
        <v>1.9009359929441803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42.62236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123.83063000000001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CUSTOS!$M$32)*18.3472</f>
        <v>10.090960000000001</v>
      </c>
      <c r="AI50" s="13">
        <f>(1 - CUSTOS!$M$32)*18.3472</f>
        <v>10.090960000000001</v>
      </c>
      <c r="AJ50" s="13">
        <f ca="1">$N$64*(1-CUSTOS!$M$32)</f>
        <v>0.81005246889526505</v>
      </c>
      <c r="AK50" s="13">
        <f t="shared" ca="1" si="0"/>
        <v>0.81005246889526505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39"/>
      <c r="B51" s="139"/>
      <c r="C51" s="139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0.80572838904817823</v>
      </c>
      <c r="N51" s="13">
        <f ca="1">(+M51+O51+R51+U51+V51+W51+X51+Y51+Z51+AA51+AC51+AH51+AI51+AJ51+AK51)*CUSTOS!$M$5</f>
        <v>2.0737483559391059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46.497119999999995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135.08796000000001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CUSTOS!$M$33)*18.3472</f>
        <v>11.008319999999999</v>
      </c>
      <c r="AI51" s="13">
        <f>(1 - CUSTOS!$M$33)*18.3472</f>
        <v>11.008319999999999</v>
      </c>
      <c r="AJ51" s="13">
        <f ca="1">$N$64*(1-CUSTOS!$M$33)</f>
        <v>0.8836936024311981</v>
      </c>
      <c r="AK51" s="13">
        <f t="shared" ca="1" si="0"/>
        <v>0.8836936024311981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523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524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525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19002.999639999998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19222.839484769531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50188.396316489256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21209.383799999992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20392.023799999995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19002.999639999998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20392.023799999995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21209.383799999992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1666871.5455697598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3218982.7753884182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244744.61316346002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244744.61316346002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25274.00283956503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25274.00283956503</v>
      </c>
      <c r="AL55" s="13"/>
      <c r="AM55" s="13"/>
    </row>
    <row r="56" spans="1:42" ht="11.25" customHeight="1" x14ac:dyDescent="0.25">
      <c r="K56" s="16" t="s">
        <v>461</v>
      </c>
      <c r="L56" s="13">
        <f>CUSTOS!$D$2</f>
        <v>0</v>
      </c>
      <c r="M56" s="13">
        <f>CUSTOS!$D$3</f>
        <v>19438.38955486341</v>
      </c>
      <c r="N56" s="13">
        <f>CUSTOS!$D$4</f>
        <v>62873.272518088721</v>
      </c>
      <c r="O56" s="13">
        <f>CUSTOS!$D$5</f>
        <v>0</v>
      </c>
      <c r="P56" s="13">
        <f>CUSTOS!$D$6</f>
        <v>0</v>
      </c>
      <c r="Q56" s="13">
        <f>CUSTOS!$D$7</f>
        <v>1702303.4434674436</v>
      </c>
      <c r="R56" s="13">
        <f>CUSTOS!$D$8</f>
        <v>282487.42412703927</v>
      </c>
      <c r="S56" s="13">
        <f>CUSTOS!$D$9</f>
        <v>0</v>
      </c>
      <c r="T56" s="13">
        <f>CUSTOS!$D$10</f>
        <v>2067102.529667435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2132832.06996</v>
      </c>
      <c r="Z56" s="13">
        <f>Z54</f>
        <v>0</v>
      </c>
      <c r="AA56" s="13">
        <f>AA54</f>
        <v>0</v>
      </c>
      <c r="AB56" s="13">
        <f>CUSTOS!$D$18</f>
        <v>2132832.06996</v>
      </c>
      <c r="AC56" s="13">
        <f>CUSTOS!$D$19</f>
        <v>3514906.6439787205</v>
      </c>
      <c r="AD56" s="13">
        <f>CUSTOS!$D$20</f>
        <v>3514906.6439787205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252579.93320726309</v>
      </c>
      <c r="AI56" s="13">
        <f>CUSTOS!$D$25</f>
        <v>0</v>
      </c>
      <c r="AJ56" s="13">
        <f>CUSTOS!$D$26</f>
        <v>25510.410319474628</v>
      </c>
      <c r="AK56" s="13">
        <f>CUSTOS!$D$27</f>
        <v>7864.935850435606</v>
      </c>
      <c r="AL56" s="13">
        <f>CUSTOS!$D$28</f>
        <v>285955.27937717328</v>
      </c>
      <c r="AM56" s="13">
        <f>CUSTOS!$D$29</f>
        <v>8000796.5229833294</v>
      </c>
    </row>
    <row r="57" spans="1:42" ht="11.25" customHeight="1" x14ac:dyDescent="0.25">
      <c r="K57" s="16" t="s">
        <v>462</v>
      </c>
      <c r="L57" s="13">
        <f>CUSTOS!$E$2</f>
        <v>0</v>
      </c>
      <c r="M57" s="13">
        <f>CUSTOS!$E$3</f>
        <v>-605.2669514483473</v>
      </c>
      <c r="N57" s="13">
        <f>CUSTOS!$E$4</f>
        <v>3.3834428704921385E-2</v>
      </c>
      <c r="O57" s="13">
        <f>CUSTOS!$E$5</f>
        <v>0</v>
      </c>
      <c r="P57" s="13">
        <f>CUSTOS!$E$6</f>
        <v>0</v>
      </c>
      <c r="Q57" s="13">
        <f>CUSTOS!$E$7</f>
        <v>-49197.963101249363</v>
      </c>
      <c r="R57" s="13">
        <f>CUSTOS!$E$8</f>
        <v>-8721.5821381477435</v>
      </c>
      <c r="S57" s="13">
        <f>CUSTOS!$E$9</f>
        <v>0</v>
      </c>
      <c r="T57" s="13">
        <f>CUSTOS!$E$10</f>
        <v>-58524.778356416748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-56662.602195281324</v>
      </c>
      <c r="Z57" s="13">
        <f>CUSTOS!$E$16</f>
        <v>0</v>
      </c>
      <c r="AA57" s="13">
        <f>CUSTOS!$E$17</f>
        <v>0</v>
      </c>
      <c r="AB57" s="13">
        <f>CUSTOS!$E$18</f>
        <v>-56662.602195281324</v>
      </c>
      <c r="AC57" s="13">
        <f>CUSTOS!$E$19</f>
        <v>0</v>
      </c>
      <c r="AD57" s="13">
        <f>CUSTOS!$E$20</f>
        <v>0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6955.1173179812113</v>
      </c>
      <c r="AI57" s="13">
        <f>CUSTOS!$E$25</f>
        <v>0</v>
      </c>
      <c r="AJ57" s="13">
        <f>CUSTOS!$E$26</f>
        <v>702.46236250363586</v>
      </c>
      <c r="AK57" s="13">
        <f>CUSTOS!$E$27</f>
        <v>330.6146778908705</v>
      </c>
      <c r="AL57" s="13">
        <f>CUSTOS!$E$28</f>
        <v>7988.1943583757175</v>
      </c>
      <c r="AM57" s="13">
        <f>CUSTOS!$E$29</f>
        <v>-107199.18619332234</v>
      </c>
    </row>
    <row r="58" spans="1:42" ht="11.25" customHeight="1" x14ac:dyDescent="0.25">
      <c r="K58" s="16" t="s">
        <v>463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373798.43119999999</v>
      </c>
      <c r="R58" s="13">
        <f>CUSTOS!$F$8</f>
        <v>76622.522500000006</v>
      </c>
      <c r="S58" s="13">
        <f>CUSTOS!$F$9</f>
        <v>0</v>
      </c>
      <c r="T58" s="13">
        <f>CUSTOS!$F$10</f>
        <v>450420.95370000001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-2712.6759334384456</v>
      </c>
      <c r="AI58" s="13">
        <f>CUSTOS!$F$25</f>
        <v>0</v>
      </c>
      <c r="AJ58" s="13">
        <f>CUSTOS!$F$26</f>
        <v>-273.97851938219083</v>
      </c>
      <c r="AK58" s="13">
        <f>CUSTOS!$F$27</f>
        <v>0</v>
      </c>
      <c r="AL58" s="13">
        <f>CUSTOS!$F$28</f>
        <v>-2986.6544528206364</v>
      </c>
      <c r="AM58" s="13">
        <f>CUSTOS!$F$29</f>
        <v>447434.29924717936</v>
      </c>
    </row>
    <row r="59" spans="1:42" ht="11.25" customHeight="1" x14ac:dyDescent="0.25">
      <c r="K59" s="16" t="s">
        <v>526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527</v>
      </c>
      <c r="L60" s="13">
        <f t="shared" ref="L60:S60" si="1">IF((L55+L53)&lt;&gt;0,(L56-L54-L59)/(L55+L53),0)</f>
        <v>0</v>
      </c>
      <c r="M60" s="13">
        <f t="shared" si="1"/>
        <v>1.0112132273832211</v>
      </c>
      <c r="N60" s="13">
        <f t="shared" ca="1" si="1"/>
        <v>1.252745198742919</v>
      </c>
      <c r="O60" s="13">
        <f t="shared" si="1"/>
        <v>0</v>
      </c>
      <c r="P60" s="13">
        <f t="shared" si="1"/>
        <v>0</v>
      </c>
      <c r="Q60" s="13">
        <f t="shared" si="1"/>
        <v>89.580775441589381</v>
      </c>
      <c r="R60" s="13">
        <f t="shared" si="1"/>
        <v>13.852839075591866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1.2795419512851354</v>
      </c>
      <c r="Z60" s="13"/>
      <c r="AA60" s="13"/>
      <c r="AB60" s="13"/>
      <c r="AC60" s="13">
        <f>IF(AC55&lt;&gt;0,(AC56-AC54-AC53-AC59)/AC55,0)</f>
        <v>1.0919308642633525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1.032014269660636</v>
      </c>
      <c r="AI60" s="13">
        <f>IF(AI55&lt;&gt;0,(AI56-AI54-AI53-AI59)/AI55,0)</f>
        <v>0</v>
      </c>
      <c r="AJ60" s="13">
        <f ca="1">IF((AJ55+AJ53)&lt;&gt;0,(AJ56-AJ54-AJ59)/(AJ55+AJ53),0)</f>
        <v>1.0093537806975124</v>
      </c>
      <c r="AK60" s="13">
        <f ca="1">IF((AK55+AK53)&lt;&gt;0,(AK56-AK54-AK59)/(AK55+AK53),0)</f>
        <v>0.31118679143786004</v>
      </c>
      <c r="AL60" s="13"/>
      <c r="AM60" s="13"/>
    </row>
    <row r="62" spans="1:42" ht="11.25" customHeight="1" x14ac:dyDescent="0.25">
      <c r="K62" s="19" t="s">
        <v>531</v>
      </c>
      <c r="L62" s="19" t="s">
        <v>532</v>
      </c>
      <c r="M62" s="19" t="s">
        <v>533</v>
      </c>
      <c r="N62" s="19" t="s">
        <v>534</v>
      </c>
      <c r="O62" s="19" t="s">
        <v>535</v>
      </c>
      <c r="P62" s="19" t="s">
        <v>536</v>
      </c>
    </row>
    <row r="63" spans="1:42" ht="11.25" customHeight="1" x14ac:dyDescent="0.25">
      <c r="K63" s="18" t="s">
        <v>34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2130807.624708619</v>
      </c>
      <c r="M63" s="18">
        <f>+'TUSD BE'!$I$7+'TUSD BE'!$I$8+'TUSD BE'!$I$11+'TUSD BE'!$I$12+'TUSD BE'!$I$13+'TUSD BE'!$I$14</f>
        <v>8681.400999999998</v>
      </c>
      <c r="N63" s="18">
        <f ca="1">IF(AND($L$70&lt;&gt;0,M63&lt;&gt;0),(L63/$L$70*$AJ$56)/M63,0)</f>
        <v>0.7858761222239995</v>
      </c>
      <c r="O63" s="18"/>
      <c r="P63" s="18"/>
    </row>
    <row r="64" spans="1:42" ht="11.25" customHeight="1" x14ac:dyDescent="0.25">
      <c r="K64" s="18" t="s">
        <v>79</v>
      </c>
      <c r="L64" s="18">
        <f ca="1">+$L$65+$L$66+$L$67+$L$68+$L$69</f>
        <v>5836613.5521044256</v>
      </c>
      <c r="M64" s="18">
        <f>+$M$65+$M$66+$M$67+$M$68+$M$69</f>
        <v>12688.495999999999</v>
      </c>
      <c r="N64" s="18">
        <f ca="1">IF(AND($L$70&lt;&gt;0,M64&lt;&gt;0),(L64/$L$70*$AJ$56)/M64,0)</f>
        <v>1.4728226707186636</v>
      </c>
      <c r="O64" s="18"/>
      <c r="P64" s="18"/>
    </row>
    <row r="65" spans="11:16" ht="11.25" customHeight="1" x14ac:dyDescent="0.25">
      <c r="K65" s="18" t="s">
        <v>79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25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3457420.1778425151</v>
      </c>
      <c r="M66" s="18">
        <f>+'TUSD BE'!$I$17+'TUSD BE'!$I$18+'TUSD BE'!$I$19+'TUSD BE'!$I$20+'TUSD BE'!$I$21+'TUSD BE'!$I$22+'TUSD BE'!$I$23+'TUSD BE'!$I$24+'TUSD BE'!$I$25+'TUSD BE'!$I$26+'TUSD BE'!$I$27+'TUSD BE'!$I$28+'TUSD BE'!$I$29</f>
        <v>7487.3839999999991</v>
      </c>
      <c r="N66" s="18"/>
      <c r="O66" s="18"/>
      <c r="P66" s="18"/>
    </row>
    <row r="67" spans="11:16" ht="11.25" customHeight="1" x14ac:dyDescent="0.25">
      <c r="K67" s="18" t="s">
        <v>41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5601.016233530755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11.840000000000002</v>
      </c>
      <c r="N67" s="18"/>
      <c r="O67" s="18"/>
      <c r="P67" s="18"/>
    </row>
    <row r="68" spans="11:16" ht="11.25" customHeight="1" x14ac:dyDescent="0.25">
      <c r="K68" s="18" t="s">
        <v>32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2280786.3573915963</v>
      </c>
      <c r="M68" s="18">
        <f>+'TUSD BE'!$I$45+'TUSD BE'!$I$46+'TUSD BE'!$I$47+'TUSD BE'!$I$48+'TUSD BE'!$I$49</f>
        <v>4832.576</v>
      </c>
      <c r="N68" s="18"/>
      <c r="O68" s="18"/>
      <c r="P68" s="18"/>
    </row>
    <row r="69" spans="11:16" ht="11.25" customHeight="1" x14ac:dyDescent="0.25">
      <c r="K69" s="18" t="s">
        <v>44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92806.000636783559</v>
      </c>
      <c r="M69" s="18">
        <f>+'TUSD BE'!$I$50+'TUSD BE'!$I$51</f>
        <v>356.69600000000003</v>
      </c>
      <c r="N69" s="18"/>
      <c r="O69" s="18"/>
      <c r="P69" s="18"/>
    </row>
    <row r="70" spans="11:16" ht="11.25" customHeight="1" x14ac:dyDescent="0.25">
      <c r="K70" s="18"/>
      <c r="L70" s="18">
        <f ca="1">SUM($L$63:$L$69,-$L$64)</f>
        <v>7967421.1768130446</v>
      </c>
      <c r="M70" s="18">
        <f>SUM($M$63:$M$69,-$M$64)</f>
        <v>21369.896999999997</v>
      </c>
      <c r="N70" s="18"/>
      <c r="O70" s="18"/>
      <c r="P70" s="18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3048-30C2-4649-A6FA-5178AE5D8859}">
  <sheetPr codeName="Planilha10"/>
  <dimension ref="A1:AP58"/>
  <sheetViews>
    <sheetView showGridLines="0" topLeftCell="X40" workbookViewId="0">
      <selection activeCell="AM53" sqref="AM53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4" width="7.85546875" style="9" bestFit="1" customWidth="1"/>
    <col min="15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7" style="9" bestFit="1" customWidth="1"/>
    <col min="38" max="38" width="9.28515625" style="9" bestFit="1" customWidth="1"/>
    <col min="39" max="39" width="10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40" t="s">
        <v>58</v>
      </c>
      <c r="B1" s="140" t="s">
        <v>59</v>
      </c>
      <c r="C1" s="140" t="s">
        <v>60</v>
      </c>
      <c r="D1" s="140" t="s">
        <v>61</v>
      </c>
      <c r="E1" s="140" t="s">
        <v>62</v>
      </c>
      <c r="F1" s="140" t="s">
        <v>15</v>
      </c>
      <c r="G1" s="140" t="s">
        <v>64</v>
      </c>
      <c r="H1" s="140" t="s">
        <v>65</v>
      </c>
      <c r="I1" s="140" t="s">
        <v>520</v>
      </c>
      <c r="J1" s="128"/>
      <c r="L1" s="141" t="s">
        <v>528</v>
      </c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P1" s="141" t="s">
        <v>522</v>
      </c>
    </row>
    <row r="2" spans="1:42" ht="11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28"/>
      <c r="L2" s="141" t="s">
        <v>419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P2" s="142"/>
    </row>
    <row r="3" spans="1:42" ht="11.2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28"/>
      <c r="L3" s="141" t="s">
        <v>420</v>
      </c>
      <c r="M3" s="141"/>
      <c r="N3" s="141"/>
      <c r="O3" s="141"/>
      <c r="P3" s="141"/>
      <c r="Q3" s="141"/>
      <c r="R3" s="141"/>
      <c r="S3" s="141"/>
      <c r="T3" s="141"/>
      <c r="U3" s="141" t="s">
        <v>429</v>
      </c>
      <c r="V3" s="141"/>
      <c r="W3" s="141"/>
      <c r="X3" s="141"/>
      <c r="Y3" s="141"/>
      <c r="Z3" s="141"/>
      <c r="AA3" s="141"/>
      <c r="AB3" s="141"/>
      <c r="AC3" s="141" t="s">
        <v>437</v>
      </c>
      <c r="AD3" s="141"/>
      <c r="AE3" s="141" t="s">
        <v>439</v>
      </c>
      <c r="AF3" s="141"/>
      <c r="AG3" s="141"/>
      <c r="AH3" s="141" t="s">
        <v>442</v>
      </c>
      <c r="AI3" s="141"/>
      <c r="AJ3" s="141"/>
      <c r="AK3" s="141"/>
      <c r="AL3" s="141"/>
      <c r="AM3" s="141" t="s">
        <v>428</v>
      </c>
      <c r="AP3" s="142"/>
    </row>
    <row r="4" spans="1:42" ht="11.25" customHeight="1" x14ac:dyDescent="0.25">
      <c r="A4" s="140"/>
      <c r="B4" s="140"/>
      <c r="C4" s="140"/>
      <c r="D4" s="140"/>
      <c r="E4" s="140"/>
      <c r="F4" s="140"/>
      <c r="G4" s="140"/>
      <c r="H4" s="140"/>
      <c r="I4" s="140"/>
      <c r="J4" s="128"/>
      <c r="L4" s="10" t="s">
        <v>505</v>
      </c>
      <c r="M4" s="10" t="s">
        <v>421</v>
      </c>
      <c r="N4" s="10" t="s">
        <v>422</v>
      </c>
      <c r="O4" s="10" t="s">
        <v>423</v>
      </c>
      <c r="P4" s="10" t="s">
        <v>424</v>
      </c>
      <c r="Q4" s="10" t="s">
        <v>425</v>
      </c>
      <c r="R4" s="10" t="s">
        <v>426</v>
      </c>
      <c r="S4" s="10" t="s">
        <v>427</v>
      </c>
      <c r="T4" s="10" t="s">
        <v>428</v>
      </c>
      <c r="U4" s="10" t="s">
        <v>430</v>
      </c>
      <c r="V4" s="10" t="s">
        <v>431</v>
      </c>
      <c r="W4" s="10" t="s">
        <v>432</v>
      </c>
      <c r="X4" s="10" t="s">
        <v>433</v>
      </c>
      <c r="Y4" s="10" t="s">
        <v>434</v>
      </c>
      <c r="Z4" s="10" t="s">
        <v>435</v>
      </c>
      <c r="AA4" s="10" t="s">
        <v>436</v>
      </c>
      <c r="AB4" s="10" t="s">
        <v>428</v>
      </c>
      <c r="AC4" s="10" t="s">
        <v>438</v>
      </c>
      <c r="AD4" s="10" t="s">
        <v>428</v>
      </c>
      <c r="AE4" s="10" t="s">
        <v>440</v>
      </c>
      <c r="AF4" s="10" t="s">
        <v>441</v>
      </c>
      <c r="AG4" s="10" t="s">
        <v>428</v>
      </c>
      <c r="AH4" s="10" t="s">
        <v>443</v>
      </c>
      <c r="AI4" s="10" t="s">
        <v>444</v>
      </c>
      <c r="AJ4" s="10" t="s">
        <v>445</v>
      </c>
      <c r="AK4" s="10" t="s">
        <v>446</v>
      </c>
      <c r="AL4" s="10" t="s">
        <v>428</v>
      </c>
      <c r="AM4" s="143"/>
      <c r="AP4" s="142"/>
    </row>
    <row r="5" spans="1:42" ht="11.25" customHeight="1" x14ac:dyDescent="0.25">
      <c r="A5" s="139" t="s">
        <v>34</v>
      </c>
      <c r="B5" s="139" t="s">
        <v>73</v>
      </c>
      <c r="C5" s="139" t="s">
        <v>25</v>
      </c>
      <c r="D5" s="139" t="s">
        <v>25</v>
      </c>
      <c r="E5" s="139" t="s">
        <v>25</v>
      </c>
      <c r="F5" s="139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32.254949416385948</v>
      </c>
      <c r="Z5" s="13">
        <f>'TR TUSD'!$Z$5</f>
        <v>0</v>
      </c>
      <c r="AA5" s="13">
        <f>'TR TUSD'!$AA$5</f>
        <v>0</v>
      </c>
      <c r="AB5" s="13">
        <f>SUM($U$5:$AA$5)</f>
        <v>32.254949416385948</v>
      </c>
      <c r="AC5" s="13">
        <f>'TR TUSD'!$AC$5*'TR TUSD'!$AC$60</f>
        <v>16.901015110154596</v>
      </c>
      <c r="AD5" s="13">
        <f>SUM($AC$5:$AC$5)</f>
        <v>16.901015110154596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49.155964526540544</v>
      </c>
      <c r="AP5" s="13">
        <v>1</v>
      </c>
    </row>
    <row r="6" spans="1:42" ht="11.25" customHeight="1" x14ac:dyDescent="0.25">
      <c r="A6" s="139"/>
      <c r="B6" s="139"/>
      <c r="C6" s="139"/>
      <c r="D6" s="139"/>
      <c r="E6" s="139"/>
      <c r="F6" s="139"/>
      <c r="G6" s="18" t="s">
        <v>76</v>
      </c>
      <c r="H6" s="18" t="s">
        <v>74</v>
      </c>
      <c r="I6" s="18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12.430622102539962</v>
      </c>
      <c r="Z6" s="13">
        <f>'TR TUSD'!$Z$6</f>
        <v>0</v>
      </c>
      <c r="AA6" s="13">
        <f>'TR TUSD'!$AA$6</f>
        <v>0</v>
      </c>
      <c r="AB6" s="13">
        <f>SUM($U$6:$AA$6)</f>
        <v>12.430622102539962</v>
      </c>
      <c r="AC6" s="13">
        <f>'TR TUSD'!$AC$6*'TR TUSD'!$AC$60</f>
        <v>5.6019329129302777</v>
      </c>
      <c r="AD6" s="13">
        <f>SUM($AC$6:$AC$6)</f>
        <v>5.6019329129302777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18.032555015470241</v>
      </c>
      <c r="AP6" s="13">
        <v>1</v>
      </c>
    </row>
    <row r="7" spans="1:42" ht="11.25" customHeight="1" x14ac:dyDescent="0.25">
      <c r="A7" s="139"/>
      <c r="B7" s="139"/>
      <c r="C7" s="139"/>
      <c r="D7" s="139"/>
      <c r="E7" s="139"/>
      <c r="F7" s="139"/>
      <c r="G7" s="18" t="s">
        <v>72</v>
      </c>
      <c r="H7" s="18" t="s">
        <v>68</v>
      </c>
      <c r="I7" s="18">
        <f>'MERCADO TUSD'!$U$4</f>
        <v>0</v>
      </c>
      <c r="J7" s="15"/>
      <c r="L7" s="13">
        <f>'TR TUSD'!$L$7*'TR TUSD'!$L$60</f>
        <v>0</v>
      </c>
      <c r="M7" s="13">
        <f>'TR TUSD'!$M$7*'TR TUSD'!$M$60</f>
        <v>0.27946609050912985</v>
      </c>
      <c r="N7" s="13">
        <f ca="1">'TR TUSD'!$N$7*'TR TUSD'!$N$60</f>
        <v>9.1183807407133721E-2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75.247851370935081</v>
      </c>
      <c r="R7" s="13">
        <f>'TR TUSD'!$R$7*'TR TUSD'!$R$60</f>
        <v>13.852839075591866</v>
      </c>
      <c r="S7" s="13">
        <f>'TR TUSD'!$S$7*'TR TUSD'!$S$60</f>
        <v>0</v>
      </c>
      <c r="T7" s="13">
        <f ca="1">SUM($L$7:$S$7)</f>
        <v>89.471340344443206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1.770214076748889</v>
      </c>
      <c r="AI7" s="13">
        <f>'TR TUSD'!$AI$7*'TR TUSD'!$AI$60</f>
        <v>0</v>
      </c>
      <c r="AJ7" s="13">
        <f ca="1">'TR TUSD'!$AJ$7*'TR TUSD'!$AJ$60</f>
        <v>0.79322703512669424</v>
      </c>
      <c r="AK7" s="13">
        <f ca="1">'TR TUSD'!$AK$7*'TR TUSD'!$AK$60</f>
        <v>0.24455426894251395</v>
      </c>
      <c r="AL7" s="13">
        <f ca="1">SUM($AH$7:$AK$7)</f>
        <v>2.8079953808180971</v>
      </c>
      <c r="AM7" s="13">
        <f ca="1">SUMIF($L$4:$AL$4,"SUBTOTAL",$L$7:$AL$7)</f>
        <v>92.279335725261305</v>
      </c>
      <c r="AP7" s="13">
        <v>1</v>
      </c>
    </row>
    <row r="8" spans="1:42" ht="11.25" customHeight="1" x14ac:dyDescent="0.25">
      <c r="A8" s="139"/>
      <c r="B8" s="139"/>
      <c r="C8" s="139"/>
      <c r="D8" s="139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0.27946609050912985</v>
      </c>
      <c r="N8" s="13">
        <f ca="1">'TR TUSD'!$N$8*'TR TUSD'!$N$60</f>
        <v>7.8656355419704532E-2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0.35812244592883435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1.770214076748889</v>
      </c>
      <c r="AI8" s="13">
        <f>'TR TUSD'!$AI$8*'TR TUSD'!$AI$60</f>
        <v>0</v>
      </c>
      <c r="AJ8" s="13">
        <f ca="1">'TR TUSD'!$AJ$8*'TR TUSD'!$AJ$60</f>
        <v>0.79322703512669424</v>
      </c>
      <c r="AK8" s="13">
        <f ca="1">'TR TUSD'!$AK$8*'TR TUSD'!$AK$60</f>
        <v>0.24455426894251395</v>
      </c>
      <c r="AL8" s="13">
        <f ca="1">SUM($AH$8:$AK$8)</f>
        <v>2.8079953808180971</v>
      </c>
      <c r="AM8" s="13">
        <f ca="1">SUMIF($L$4:$AL$4,"SUBTOTAL",$L$8:$AL$8)</f>
        <v>3.1661178267469312</v>
      </c>
      <c r="AP8" s="13">
        <v>1</v>
      </c>
    </row>
    <row r="9" spans="1:42" ht="11.25" customHeight="1" x14ac:dyDescent="0.25">
      <c r="A9" s="139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2.497696671636556E-2</v>
      </c>
      <c r="N9" s="13">
        <f ca="1">'TR TUSD'!$N$9*'TR TUSD'!$N$60</f>
        <v>7.7544927802186678E-2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0.10252189451855223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6.7319721643564208</v>
      </c>
      <c r="AD9" s="13">
        <f>SUM($AC$9:$AC$9)</f>
        <v>6.7319721643564208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6.8344940588749727</v>
      </c>
      <c r="AP9" s="13"/>
    </row>
    <row r="10" spans="1:42" ht="11.25" customHeight="1" x14ac:dyDescent="0.25">
      <c r="A10" s="139"/>
      <c r="B10" s="139" t="s">
        <v>35</v>
      </c>
      <c r="C10" s="139" t="s">
        <v>25</v>
      </c>
      <c r="D10" s="139" t="s">
        <v>25</v>
      </c>
      <c r="E10" s="139" t="s">
        <v>25</v>
      </c>
      <c r="F10" s="139" t="s">
        <v>25</v>
      </c>
      <c r="G10" s="18" t="s">
        <v>9</v>
      </c>
      <c r="H10" s="18" t="s">
        <v>74</v>
      </c>
      <c r="I10" s="18">
        <f>'MERCADO TUSD'!$U$7</f>
        <v>31517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12.430622102539962</v>
      </c>
      <c r="Z10" s="13">
        <f>'TR TUSD'!$Z$10</f>
        <v>0</v>
      </c>
      <c r="AA10" s="13">
        <f>'TR TUSD'!$AA$10</f>
        <v>0</v>
      </c>
      <c r="AB10" s="13">
        <f>SUM($U$10:$AA$10)</f>
        <v>12.430622102539962</v>
      </c>
      <c r="AC10" s="13">
        <f>'TR TUSD'!$AC$10*'TR TUSD'!$AC$60</f>
        <v>5.6019329129302777</v>
      </c>
      <c r="AD10" s="13">
        <f>SUM($AC$10:$AC$10)</f>
        <v>5.6019329129302777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18.032555015470241</v>
      </c>
      <c r="AP10" s="13">
        <v>1</v>
      </c>
    </row>
    <row r="11" spans="1:42" ht="11.25" customHeight="1" x14ac:dyDescent="0.25">
      <c r="A11" s="139"/>
      <c r="B11" s="139"/>
      <c r="C11" s="139"/>
      <c r="D11" s="139"/>
      <c r="E11" s="139"/>
      <c r="F11" s="139"/>
      <c r="G11" s="18" t="s">
        <v>69</v>
      </c>
      <c r="H11" s="18" t="s">
        <v>68</v>
      </c>
      <c r="I11" s="18">
        <f>'MERCADO TUSD'!$U$8</f>
        <v>644.95300000000009</v>
      </c>
      <c r="J11" s="15"/>
      <c r="L11" s="13">
        <f>'TR TUSD'!$L$11*'TR TUSD'!$L$60</f>
        <v>0</v>
      </c>
      <c r="M11" s="13">
        <f>'TR TUSD'!$M$11*'TR TUSD'!$M$60</f>
        <v>0.27946609050912985</v>
      </c>
      <c r="N11" s="13">
        <f ca="1">'TR TUSD'!$N$11*'TR TUSD'!$N$60</f>
        <v>12.349383269270508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75.247851370935081</v>
      </c>
      <c r="R11" s="13">
        <f>'TR TUSD'!$R$11*'TR TUSD'!$R$60</f>
        <v>13.852839075591866</v>
      </c>
      <c r="S11" s="13">
        <f>'TR TUSD'!$S$11*'TR TUSD'!$S$60</f>
        <v>0</v>
      </c>
      <c r="T11" s="13">
        <f ca="1">SUM($L$11:$S$11)</f>
        <v>101.72953980630658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775.73164862285773</v>
      </c>
      <c r="Z11" s="13">
        <f>'TR TUSD'!$Z$11</f>
        <v>0</v>
      </c>
      <c r="AA11" s="13">
        <f>'TR TUSD'!$AA$11</f>
        <v>0</v>
      </c>
      <c r="AB11" s="13">
        <f>SUM($U$11:$AA$11)</f>
        <v>775.73164862285773</v>
      </c>
      <c r="AC11" s="13">
        <f>'TR TUSD'!$AC$11*'TR TUSD'!$AC$60</f>
        <v>406.47093664277372</v>
      </c>
      <c r="AD11" s="13">
        <f>SUM($AC$11:$AC$11)</f>
        <v>406.47093664277372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1.770214076748889</v>
      </c>
      <c r="AI11" s="13">
        <f>'TR TUSD'!$AI$11*'TR TUSD'!$AI$60</f>
        <v>0</v>
      </c>
      <c r="AJ11" s="13">
        <f ca="1">'TR TUSD'!$AJ$11*'TR TUSD'!$AJ$60</f>
        <v>0.79322703512669424</v>
      </c>
      <c r="AK11" s="13">
        <f ca="1">'TR TUSD'!$AK$11*'TR TUSD'!$AK$60</f>
        <v>0.24455426894251395</v>
      </c>
      <c r="AL11" s="13">
        <f ca="1">SUM($AH$11:$AK$11)</f>
        <v>2.8079953808180971</v>
      </c>
      <c r="AM11" s="13">
        <f ca="1">SUMIF($L$4:$AL$4,"SUBTOTAL",$L$11:$AL$11)</f>
        <v>1286.7401204527562</v>
      </c>
      <c r="AP11" s="13">
        <v>1</v>
      </c>
    </row>
    <row r="12" spans="1:42" ht="11.25" customHeight="1" x14ac:dyDescent="0.25">
      <c r="A12" s="139"/>
      <c r="B12" s="139"/>
      <c r="C12" s="139"/>
      <c r="D12" s="139"/>
      <c r="E12" s="139"/>
      <c r="F12" s="139"/>
      <c r="G12" s="18" t="s">
        <v>70</v>
      </c>
      <c r="H12" s="18" t="s">
        <v>68</v>
      </c>
      <c r="I12" s="18">
        <f>'MERCADO TUSD'!$U$9</f>
        <v>8036.4479999999985</v>
      </c>
      <c r="J12" s="15"/>
      <c r="L12" s="13">
        <f>'TR TUSD'!$L$12*'TR TUSD'!$L$60</f>
        <v>0</v>
      </c>
      <c r="M12" s="13">
        <f>'TR TUSD'!$M$12*'TR TUSD'!$M$60</f>
        <v>0.27946609050912985</v>
      </c>
      <c r="N12" s="13">
        <f ca="1">'TR TUSD'!$N$12*'TR TUSD'!$N$60</f>
        <v>9.1183807407133721E-2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75.247851370935081</v>
      </c>
      <c r="R12" s="13">
        <f>'TR TUSD'!$R$12*'TR TUSD'!$R$60</f>
        <v>13.852839075591866</v>
      </c>
      <c r="S12" s="13">
        <f>'TR TUSD'!$S$12*'TR TUSD'!$S$60</f>
        <v>0</v>
      </c>
      <c r="T12" s="13">
        <f ca="1">SUM($L$12:$S$12)</f>
        <v>89.471340344443206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1.770214076748889</v>
      </c>
      <c r="AI12" s="13">
        <f>'TR TUSD'!$AI$12*'TR TUSD'!$AI$60</f>
        <v>0</v>
      </c>
      <c r="AJ12" s="13">
        <f ca="1">'TR TUSD'!$AJ$12*'TR TUSD'!$AJ$60</f>
        <v>0.79322703512669424</v>
      </c>
      <c r="AK12" s="13">
        <f ca="1">'TR TUSD'!$AK$12*'TR TUSD'!$AK$60</f>
        <v>0.24455426894251395</v>
      </c>
      <c r="AL12" s="13">
        <f ca="1">SUM($AH$12:$AK$12)</f>
        <v>2.8079953808180971</v>
      </c>
      <c r="AM12" s="13">
        <f ca="1">SUMIF($L$4:$AL$4,"SUBTOTAL",$L$12:$AL$12)</f>
        <v>92.279335725261305</v>
      </c>
      <c r="AP12" s="13">
        <v>1</v>
      </c>
    </row>
    <row r="13" spans="1:42" ht="11.25" customHeight="1" x14ac:dyDescent="0.25">
      <c r="A13" s="139"/>
      <c r="B13" s="139"/>
      <c r="C13" s="139"/>
      <c r="D13" s="139"/>
      <c r="E13" s="139" t="s">
        <v>77</v>
      </c>
      <c r="F13" s="139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0.27946609050912985</v>
      </c>
      <c r="N13" s="13">
        <f ca="1">'TR TUSD'!$N$13*'TR TUSD'!$N$60</f>
        <v>12.336855817283078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12.616321907792209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775.73164862285773</v>
      </c>
      <c r="Z13" s="13">
        <f>'TR TUSD'!$Z$13</f>
        <v>0</v>
      </c>
      <c r="AA13" s="13">
        <f>'TR TUSD'!$AA$13</f>
        <v>0</v>
      </c>
      <c r="AB13" s="13">
        <f>SUM($U$13:$AA$13)</f>
        <v>775.73164862285773</v>
      </c>
      <c r="AC13" s="13">
        <f>'TR TUSD'!$AC$13*'TR TUSD'!$AC$60</f>
        <v>406.47093664277372</v>
      </c>
      <c r="AD13" s="13">
        <f>SUM($AC$13:$AC$13)</f>
        <v>406.47093664277372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1.770214076748889</v>
      </c>
      <c r="AI13" s="13">
        <f>'TR TUSD'!$AI$13*'TR TUSD'!$AI$60</f>
        <v>0</v>
      </c>
      <c r="AJ13" s="13">
        <f ca="1">'TR TUSD'!$AJ$13*'TR TUSD'!$AJ$60</f>
        <v>0.79322703512669424</v>
      </c>
      <c r="AK13" s="13">
        <f ca="1">'TR TUSD'!$AK$13*'TR TUSD'!$AK$60</f>
        <v>0.24455426894251395</v>
      </c>
      <c r="AL13" s="13">
        <f ca="1">SUM($AH$13:$AK$13)</f>
        <v>2.8079953808180971</v>
      </c>
      <c r="AM13" s="13">
        <f ca="1">SUMIF($L$4:$AL$4,"SUBTOTAL",$L$13:$AL$13)</f>
        <v>1197.6269025542417</v>
      </c>
      <c r="AP13" s="13">
        <v>1</v>
      </c>
    </row>
    <row r="14" spans="1:42" ht="11.25" customHeight="1" x14ac:dyDescent="0.25">
      <c r="A14" s="139"/>
      <c r="B14" s="139"/>
      <c r="C14" s="139"/>
      <c r="D14" s="139"/>
      <c r="E14" s="139"/>
      <c r="F14" s="139"/>
      <c r="G14" s="18" t="s">
        <v>70</v>
      </c>
      <c r="H14" s="18" t="s">
        <v>68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0.27946609050912985</v>
      </c>
      <c r="N14" s="13">
        <f ca="1">'TR TUSD'!$N$14*'TR TUSD'!$N$60</f>
        <v>7.8656355419704532E-2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0.35812244592883435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1.770214076748889</v>
      </c>
      <c r="AI14" s="13">
        <f>'TR TUSD'!$AI$14*'TR TUSD'!$AI$60</f>
        <v>0</v>
      </c>
      <c r="AJ14" s="13">
        <f ca="1">'TR TUSD'!$AJ$14*'TR TUSD'!$AJ$60</f>
        <v>0.79322703512669424</v>
      </c>
      <c r="AK14" s="13">
        <f ca="1">'TR TUSD'!$AK$14*'TR TUSD'!$AK$60</f>
        <v>0.24455426894251395</v>
      </c>
      <c r="AL14" s="13">
        <f ca="1">SUM($AH$14:$AK$14)</f>
        <v>2.8079953808180971</v>
      </c>
      <c r="AM14" s="13">
        <f ca="1">SUMIF($L$4:$AL$4,"SUBTOTAL",$L$14:$AL$14)</f>
        <v>3.1661178267469312</v>
      </c>
      <c r="AP14" s="13">
        <v>1</v>
      </c>
    </row>
    <row r="15" spans="1:42" ht="11.25" customHeight="1" x14ac:dyDescent="0.25">
      <c r="A15" s="139" t="s">
        <v>79</v>
      </c>
      <c r="B15" s="139" t="s">
        <v>78</v>
      </c>
      <c r="C15" s="139" t="s">
        <v>25</v>
      </c>
      <c r="D15" s="139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5.3998786342264009E-2</v>
      </c>
      <c r="N15" s="13">
        <f ca="1">'TR TUSD'!$N$15*'TR TUSD'!$N$60</f>
        <v>0.16774258211167684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0.22174136845394085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14.566466922359549</v>
      </c>
      <c r="AD15" s="13">
        <f>SUM($AC$15:$AC$15)</f>
        <v>14.566466922359549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14.78820829081349</v>
      </c>
      <c r="AP15" s="13"/>
    </row>
    <row r="16" spans="1:42" ht="11.25" customHeight="1" x14ac:dyDescent="0.25">
      <c r="A16" s="139"/>
      <c r="B16" s="139"/>
      <c r="C16" s="139"/>
      <c r="D16" s="139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5.3998786342264009E-2</v>
      </c>
      <c r="N16" s="13">
        <f ca="1">'TR TUSD'!$N$16*'TR TUSD'!$N$60</f>
        <v>0.16774258211167684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0.22174136845394085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22.362853293199887</v>
      </c>
      <c r="AD16" s="13">
        <f>SUM($AC$16:$AC$16)</f>
        <v>22.362853293199887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22.584594661653828</v>
      </c>
      <c r="AP16" s="13"/>
    </row>
    <row r="17" spans="1:42" ht="11.25" customHeight="1" x14ac:dyDescent="0.25">
      <c r="A17" s="139" t="s">
        <v>22</v>
      </c>
      <c r="B17" s="139" t="s">
        <v>38</v>
      </c>
      <c r="C17" s="139" t="s">
        <v>24</v>
      </c>
      <c r="D17" s="139" t="s">
        <v>24</v>
      </c>
      <c r="E17" s="139" t="s">
        <v>25</v>
      </c>
      <c r="F17" s="139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'TR TUSD'!$L$17*'TR TUSD'!$L$60</f>
        <v>0</v>
      </c>
      <c r="M17" s="13">
        <f>'TR TUSD'!$M$17*'TR TUSD'!$M$60</f>
        <v>1.3579386744728197</v>
      </c>
      <c r="N17" s="13">
        <f ca="1">'TR TUSD'!$N$17*'TR TUSD'!$N$60</f>
        <v>11.154193026153813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89.580775441589381</v>
      </c>
      <c r="R17" s="13">
        <f>'TR TUSD'!$R$17*'TR TUSD'!$R$60</f>
        <v>13.852839075591866</v>
      </c>
      <c r="S17" s="13">
        <f>'TR TUSD'!$S$17*'TR TUSD'!$S$60</f>
        <v>0</v>
      </c>
      <c r="T17" s="13">
        <f ca="1">SUM($L$17:$S$17)</f>
        <v>115.94574621780788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277.64332961253206</v>
      </c>
      <c r="Z17" s="13">
        <f>'TR TUSD'!$Z$17</f>
        <v>0</v>
      </c>
      <c r="AA17" s="13">
        <f>'TR TUSD'!$AA$17</f>
        <v>0</v>
      </c>
      <c r="AB17" s="13">
        <f>SUM($U$17:$AA$17)</f>
        <v>277.64332961253206</v>
      </c>
      <c r="AC17" s="13">
        <f>'TR TUSD'!$AC$17*'TR TUSD'!$AC$60</f>
        <v>688.36479129877864</v>
      </c>
      <c r="AD17" s="13">
        <f>SUM($AC$17:$AC$17)</f>
        <v>688.36479129877864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18.934572208317622</v>
      </c>
      <c r="AI17" s="13">
        <f>'TR TUSD'!$AI$17*'TR TUSD'!$AI$60</f>
        <v>0</v>
      </c>
      <c r="AJ17" s="13">
        <f ca="1">'TR TUSD'!$AJ$17*'TR TUSD'!$AJ$60</f>
        <v>1.4865991309868904</v>
      </c>
      <c r="AK17" s="13">
        <f ca="1">'TR TUSD'!$AK$17*'TR TUSD'!$AK$60</f>
        <v>0.4583229612578808</v>
      </c>
      <c r="AL17" s="13">
        <f ca="1">SUM($AH$17:$AK$17)</f>
        <v>20.879494300562392</v>
      </c>
      <c r="AM17" s="13">
        <f ca="1">SUMIF($L$4:$AL$4,"SUBTOTAL",$L$17:$AL$17)</f>
        <v>1102.833361429681</v>
      </c>
      <c r="AP17" s="13">
        <v>1</v>
      </c>
    </row>
    <row r="18" spans="1:42" ht="11.25" customHeight="1" x14ac:dyDescent="0.25">
      <c r="A18" s="139"/>
      <c r="B18" s="139"/>
      <c r="C18" s="139"/>
      <c r="D18" s="139"/>
      <c r="E18" s="139"/>
      <c r="F18" s="139"/>
      <c r="G18" s="18" t="s">
        <v>82</v>
      </c>
      <c r="H18" s="18" t="s">
        <v>68</v>
      </c>
      <c r="I18" s="18">
        <f>'MERCADO TUSD'!$U$15</f>
        <v>0</v>
      </c>
      <c r="J18" s="15"/>
      <c r="L18" s="13">
        <f>'TR TUSD'!$L$18*'TR TUSD'!$L$60</f>
        <v>0</v>
      </c>
      <c r="M18" s="13">
        <f>'TR TUSD'!$M$18*'TR TUSD'!$M$60</f>
        <v>1.3579386744728197</v>
      </c>
      <c r="N18" s="13">
        <f ca="1">'TR TUSD'!$N$18*'TR TUSD'!$N$60</f>
        <v>6.9079016806920013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89.580775441589381</v>
      </c>
      <c r="R18" s="13">
        <f>'TR TUSD'!$R$18*'TR TUSD'!$R$60</f>
        <v>13.852839075591866</v>
      </c>
      <c r="S18" s="13">
        <f>'TR TUSD'!$S$18*'TR TUSD'!$S$60</f>
        <v>0</v>
      </c>
      <c r="T18" s="13">
        <f ca="1">SUM($L$18:$S$18)</f>
        <v>111.69945487234608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166.58599776751922</v>
      </c>
      <c r="Z18" s="13">
        <f>'TR TUSD'!$Z$18</f>
        <v>0</v>
      </c>
      <c r="AA18" s="13">
        <f>'TR TUSD'!$AA$18</f>
        <v>0</v>
      </c>
      <c r="AB18" s="13">
        <f>SUM($U$18:$AA$18)</f>
        <v>166.58599776751922</v>
      </c>
      <c r="AC18" s="13">
        <f>'TR TUSD'!$AC$18*'TR TUSD'!$AC$60</f>
        <v>413.01880926341533</v>
      </c>
      <c r="AD18" s="13">
        <f>SUM($AC$18:$AC$18)</f>
        <v>413.01880926341533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18.934572208317622</v>
      </c>
      <c r="AI18" s="13">
        <f>'TR TUSD'!$AI$18*'TR TUSD'!$AI$60</f>
        <v>0</v>
      </c>
      <c r="AJ18" s="13">
        <f ca="1">'TR TUSD'!$AJ$18*'TR TUSD'!$AJ$60</f>
        <v>1.4865991309868904</v>
      </c>
      <c r="AK18" s="13">
        <f ca="1">'TR TUSD'!$AK$18*'TR TUSD'!$AK$60</f>
        <v>0.4583229612578808</v>
      </c>
      <c r="AL18" s="13">
        <f ca="1">SUM($AH$18:$AK$18)</f>
        <v>20.879494300562392</v>
      </c>
      <c r="AM18" s="13">
        <f ca="1">SUMIF($L$4:$AL$4,"SUBTOTAL",$L$18:$AL$18)</f>
        <v>712.18375620384302</v>
      </c>
      <c r="AP18" s="13">
        <v>1</v>
      </c>
    </row>
    <row r="19" spans="1:42" ht="11.25" customHeight="1" x14ac:dyDescent="0.25">
      <c r="A19" s="139"/>
      <c r="B19" s="139"/>
      <c r="C19" s="139"/>
      <c r="D19" s="139"/>
      <c r="E19" s="139"/>
      <c r="F19" s="139"/>
      <c r="G19" s="18" t="s">
        <v>70</v>
      </c>
      <c r="H19" s="18" t="s">
        <v>68</v>
      </c>
      <c r="I19" s="18">
        <f>'MERCADO TUSD'!$U$16</f>
        <v>0</v>
      </c>
      <c r="J19" s="15"/>
      <c r="L19" s="13">
        <f>'TR TUSD'!$L$19*'TR TUSD'!$L$60</f>
        <v>0</v>
      </c>
      <c r="M19" s="13">
        <f>'TR TUSD'!$M$19*'TR TUSD'!$M$60</f>
        <v>1.3579386744728197</v>
      </c>
      <c r="N19" s="13">
        <f ca="1">'TR TUSD'!$N$19*'TR TUSD'!$N$60</f>
        <v>2.6616115879753868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89.580775441589381</v>
      </c>
      <c r="R19" s="13">
        <f>'TR TUSD'!$R$19*'TR TUSD'!$R$60</f>
        <v>13.852839075591866</v>
      </c>
      <c r="S19" s="13">
        <f>'TR TUSD'!$S$19*'TR TUSD'!$S$60</f>
        <v>0</v>
      </c>
      <c r="T19" s="13">
        <f ca="1">SUM($L$19:$S$19)</f>
        <v>107.45316477962945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55.528665922506406</v>
      </c>
      <c r="Z19" s="13">
        <f>'TR TUSD'!$Z$19</f>
        <v>0</v>
      </c>
      <c r="AA19" s="13">
        <f>'TR TUSD'!$AA$19</f>
        <v>0</v>
      </c>
      <c r="AB19" s="13">
        <f>SUM($U$19:$AA$19)</f>
        <v>55.528665922506406</v>
      </c>
      <c r="AC19" s="13">
        <f>'TR TUSD'!$AC$19*'TR TUSD'!$AC$60</f>
        <v>137.67293642113844</v>
      </c>
      <c r="AD19" s="13">
        <f>SUM($AC$19:$AC$19)</f>
        <v>137.67293642113844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18.934572208317622</v>
      </c>
      <c r="AI19" s="13">
        <f>'TR TUSD'!$AI$19*'TR TUSD'!$AI$60</f>
        <v>0</v>
      </c>
      <c r="AJ19" s="13">
        <f ca="1">'TR TUSD'!$AJ$19*'TR TUSD'!$AJ$60</f>
        <v>1.4865991309868904</v>
      </c>
      <c r="AK19" s="13">
        <f ca="1">'TR TUSD'!$AK$19*'TR TUSD'!$AK$60</f>
        <v>0.4583229612578808</v>
      </c>
      <c r="AL19" s="13">
        <f ca="1">SUM($AH$19:$AK$19)</f>
        <v>20.879494300562392</v>
      </c>
      <c r="AM19" s="13">
        <f ca="1">SUMIF($L$4:$AL$4,"SUBTOTAL",$L$19:$AL$19)</f>
        <v>321.53426142383665</v>
      </c>
      <c r="AP19" s="13">
        <v>1</v>
      </c>
    </row>
    <row r="20" spans="1:42" ht="11.25" customHeight="1" x14ac:dyDescent="0.25">
      <c r="A20" s="139"/>
      <c r="B20" s="139" t="s">
        <v>23</v>
      </c>
      <c r="C20" s="139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6670.0239999999994</v>
      </c>
      <c r="J20" s="15"/>
      <c r="L20" s="13">
        <f>'TR TUSD'!$L$20*'TR TUSD'!$L$60</f>
        <v>0</v>
      </c>
      <c r="M20" s="13">
        <f>'TR TUSD'!$M$20*'TR TUSD'!$M$60</f>
        <v>1.3579386744728197</v>
      </c>
      <c r="N20" s="13">
        <f ca="1">'TR TUSD'!$N$20*'TR TUSD'!$N$60</f>
        <v>4.3297971605062271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89.580775441589381</v>
      </c>
      <c r="R20" s="13">
        <f>'TR TUSD'!$R$20*'TR TUSD'!$R$60</f>
        <v>13.852839075591866</v>
      </c>
      <c r="S20" s="13">
        <f>'TR TUSD'!$S$20*'TR TUSD'!$S$60</f>
        <v>0</v>
      </c>
      <c r="T20" s="13">
        <f ca="1">SUM($L$20:$S$20)</f>
        <v>109.12135035216031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99.158359423231815</v>
      </c>
      <c r="Z20" s="13">
        <f>'TR TUSD'!$Z$20</f>
        <v>0</v>
      </c>
      <c r="AA20" s="13">
        <f>'TR TUSD'!$AA$20</f>
        <v>0</v>
      </c>
      <c r="AB20" s="13">
        <f>SUM($U$20:$AA$20)</f>
        <v>99.158359423231815</v>
      </c>
      <c r="AC20" s="13">
        <f>'TR TUSD'!$AC$20*'TR TUSD'!$AC$60</f>
        <v>245.84452152395534</v>
      </c>
      <c r="AD20" s="13">
        <f>SUM($AC$20:$AC$20)</f>
        <v>245.84452152395534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18.934572208317622</v>
      </c>
      <c r="AI20" s="13">
        <f>'TR TUSD'!$AI$20*'TR TUSD'!$AI$60</f>
        <v>0</v>
      </c>
      <c r="AJ20" s="13">
        <f ca="1">'TR TUSD'!$AJ$20*'TR TUSD'!$AJ$60</f>
        <v>1.4865991309868904</v>
      </c>
      <c r="AK20" s="13">
        <f ca="1">'TR TUSD'!$AK$20*'TR TUSD'!$AK$60</f>
        <v>0.4583229612578808</v>
      </c>
      <c r="AL20" s="13">
        <f ca="1">SUM($AH$20:$AK$20)</f>
        <v>20.879494300562392</v>
      </c>
      <c r="AM20" s="13">
        <f ca="1">SUMIF($L$4:$AL$4,"SUBTOTAL",$L$20:$AL$20)</f>
        <v>475.00372559990984</v>
      </c>
      <c r="AP20" s="13">
        <v>1</v>
      </c>
    </row>
    <row r="21" spans="1:42" ht="11.25" customHeight="1" x14ac:dyDescent="0.25">
      <c r="A21" s="139"/>
      <c r="B21" s="139"/>
      <c r="C21" s="139"/>
      <c r="D21" s="17" t="s">
        <v>28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127.41000000000001</v>
      </c>
      <c r="J21" s="15"/>
      <c r="L21" s="13">
        <f>'TR TUSD'!$L$21*'TR TUSD'!$L$60</f>
        <v>0</v>
      </c>
      <c r="M21" s="13">
        <f>'TR TUSD'!$M$21*'TR TUSD'!$M$60</f>
        <v>1.3579386744728197</v>
      </c>
      <c r="N21" s="13">
        <f ca="1">'TR TUSD'!$N$21*'TR TUSD'!$N$60</f>
        <v>4.3172697085187979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5.6752083829916176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99.158359423231815</v>
      </c>
      <c r="Z21" s="13">
        <f>'TR TUSD'!$Z$21</f>
        <v>0</v>
      </c>
      <c r="AA21" s="13">
        <f>'TR TUSD'!$AA$21</f>
        <v>0</v>
      </c>
      <c r="AB21" s="13">
        <f>SUM($U$21:$AA$21)</f>
        <v>99.158359423231815</v>
      </c>
      <c r="AC21" s="13">
        <f>'TR TUSD'!$AC$21*'TR TUSD'!$AC$60</f>
        <v>245.84452152395534</v>
      </c>
      <c r="AD21" s="13">
        <f>SUM($AC$21:$AC$21)</f>
        <v>245.84452152395534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18.934572208317622</v>
      </c>
      <c r="AI21" s="13">
        <f>'TR TUSD'!$AI$21*'TR TUSD'!$AI$60</f>
        <v>0</v>
      </c>
      <c r="AJ21" s="13">
        <f ca="1">'TR TUSD'!$AJ$21*'TR TUSD'!$AJ$60</f>
        <v>1.4865991309868904</v>
      </c>
      <c r="AK21" s="13">
        <f ca="1">'TR TUSD'!$AK$21*'TR TUSD'!$AK$60</f>
        <v>0.4583229612578808</v>
      </c>
      <c r="AL21" s="13">
        <f ca="1">SUM($AH$21:$AK$21)</f>
        <v>20.879494300562392</v>
      </c>
      <c r="AM21" s="13">
        <f ca="1">SUMIF($L$4:$AL$4,"SUBTOTAL",$L$21:$AL$21)</f>
        <v>371.55758363074114</v>
      </c>
      <c r="AP21" s="13">
        <f>IF((1 - CUSTOS!$M$24)&lt;&gt;0,1/(1 - CUSTOS!$M$24),1)</f>
        <v>1</v>
      </c>
    </row>
    <row r="22" spans="1:42" ht="11.25" customHeight="1" x14ac:dyDescent="0.25">
      <c r="A22" s="139"/>
      <c r="B22" s="139"/>
      <c r="C22" s="139"/>
      <c r="D22" s="17" t="s">
        <v>29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275.43099999999998</v>
      </c>
      <c r="J22" s="15"/>
      <c r="L22" s="13">
        <f>'TR TUSD'!$L$22*'TR TUSD'!$L$60</f>
        <v>0</v>
      </c>
      <c r="M22" s="13">
        <f>'TR TUSD'!$M$22*'TR TUSD'!$M$60</f>
        <v>1.3579386744728197</v>
      </c>
      <c r="N22" s="13">
        <f ca="1">'TR TUSD'!$N$22*'TR TUSD'!$N$60</f>
        <v>4.3172697085187979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5.6752083829916176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99.158359423231815</v>
      </c>
      <c r="Z22" s="13">
        <f>'TR TUSD'!$Z$22</f>
        <v>0</v>
      </c>
      <c r="AA22" s="13">
        <f>'TR TUSD'!$AA$22</f>
        <v>0</v>
      </c>
      <c r="AB22" s="13">
        <f>SUM($U$22:$AA$22)</f>
        <v>99.158359423231815</v>
      </c>
      <c r="AC22" s="13">
        <f>'TR TUSD'!$AC$22*'TR TUSD'!$AC$60</f>
        <v>245.84452152395534</v>
      </c>
      <c r="AD22" s="13">
        <f>SUM($AC$22:$AC$22)</f>
        <v>245.84452152395534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18.934572208317622</v>
      </c>
      <c r="AI22" s="13">
        <f>'TR TUSD'!$AI$22*'TR TUSD'!$AI$60</f>
        <v>0</v>
      </c>
      <c r="AJ22" s="13">
        <f ca="1">'TR TUSD'!$AJ$22*'TR TUSD'!$AJ$60</f>
        <v>1.4865991309868904</v>
      </c>
      <c r="AK22" s="13">
        <f ca="1">'TR TUSD'!$AK$22*'TR TUSD'!$AK$60</f>
        <v>0.4583229612578808</v>
      </c>
      <c r="AL22" s="13">
        <f ca="1">SUM($AH$22:$AK$22)</f>
        <v>20.879494300562392</v>
      </c>
      <c r="AM22" s="13">
        <f ca="1">SUMIF($L$4:$AL$4,"SUBTOTAL",$L$22:$AL$22)</f>
        <v>371.55758363074114</v>
      </c>
      <c r="AP22" s="13">
        <f>IF((1 - CUSTOS!$M$25)&lt;&gt;0,1/(1 - CUSTOS!$M$25),1)</f>
        <v>1</v>
      </c>
    </row>
    <row r="23" spans="1:42" ht="11.25" customHeight="1" x14ac:dyDescent="0.25">
      <c r="A23" s="139"/>
      <c r="B23" s="139"/>
      <c r="C23" s="139"/>
      <c r="D23" s="17" t="s">
        <v>30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305.03699999999998</v>
      </c>
      <c r="J23" s="15"/>
      <c r="L23" s="13">
        <f>'TR TUSD'!$L$23*'TR TUSD'!$L$60</f>
        <v>0</v>
      </c>
      <c r="M23" s="13">
        <f>'TR TUSD'!$M$23*'TR TUSD'!$M$60</f>
        <v>1.3579386744728197</v>
      </c>
      <c r="N23" s="13">
        <f ca="1">'TR TUSD'!$N$23*'TR TUSD'!$N$60</f>
        <v>4.3172697085187979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5.6752083829916176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99.158359423231815</v>
      </c>
      <c r="Z23" s="13">
        <f>'TR TUSD'!$Z$23</f>
        <v>0</v>
      </c>
      <c r="AA23" s="13">
        <f>'TR TUSD'!$AA$23</f>
        <v>0</v>
      </c>
      <c r="AB23" s="13">
        <f>SUM($U$23:$AA$23)</f>
        <v>99.158359423231815</v>
      </c>
      <c r="AC23" s="13">
        <f>'TR TUSD'!$AC$23*'TR TUSD'!$AC$60</f>
        <v>245.84452152395534</v>
      </c>
      <c r="AD23" s="13">
        <f>SUM($AC$23:$AC$23)</f>
        <v>245.84452152395534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18.934572208317622</v>
      </c>
      <c r="AI23" s="13">
        <f>'TR TUSD'!$AI$23*'TR TUSD'!$AI$60</f>
        <v>0</v>
      </c>
      <c r="AJ23" s="13">
        <f ca="1">'TR TUSD'!$AJ$23*'TR TUSD'!$AJ$60</f>
        <v>1.4865991309868904</v>
      </c>
      <c r="AK23" s="13">
        <f ca="1">'TR TUSD'!$AK$23*'TR TUSD'!$AK$60</f>
        <v>0.4583229612578808</v>
      </c>
      <c r="AL23" s="13">
        <f ca="1">SUM($AH$23:$AK$23)</f>
        <v>20.879494300562392</v>
      </c>
      <c r="AM23" s="13">
        <f ca="1">SUMIF($L$4:$AL$4,"SUBTOTAL",$L$23:$AL$23)</f>
        <v>371.55758363074114</v>
      </c>
      <c r="AP23" s="13">
        <f>IF((1 - CUSTOS!$M$26)&lt;&gt;0,1/(1 - CUSTOS!$M$26),1)</f>
        <v>1</v>
      </c>
    </row>
    <row r="24" spans="1:42" ht="11.25" customHeight="1" x14ac:dyDescent="0.25">
      <c r="A24" s="139"/>
      <c r="B24" s="139"/>
      <c r="C24" s="139"/>
      <c r="D24" s="17" t="s">
        <v>31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109.482</v>
      </c>
      <c r="J24" s="15"/>
      <c r="L24" s="13">
        <f>'TR TUSD'!$L$24*'TR TUSD'!$L$60</f>
        <v>0</v>
      </c>
      <c r="M24" s="13">
        <f>'TR TUSD'!$M$24*'TR TUSD'!$M$60</f>
        <v>1.3579386744728197</v>
      </c>
      <c r="N24" s="13">
        <f ca="1">'TR TUSD'!$N$24*'TR TUSD'!$N$60</f>
        <v>4.3172697085187979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5.6752083829916176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99.158359423231815</v>
      </c>
      <c r="Z24" s="13">
        <f>'TR TUSD'!$Z$24</f>
        <v>0</v>
      </c>
      <c r="AA24" s="13">
        <f>'TR TUSD'!$AA$24</f>
        <v>0</v>
      </c>
      <c r="AB24" s="13">
        <f>SUM($U$24:$AA$24)</f>
        <v>99.158359423231815</v>
      </c>
      <c r="AC24" s="13">
        <f>'TR TUSD'!$AC$24*'TR TUSD'!$AC$60</f>
        <v>245.84452152395534</v>
      </c>
      <c r="AD24" s="13">
        <f>SUM($AC$24:$AC$24)</f>
        <v>245.84452152395534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18.934572208317622</v>
      </c>
      <c r="AI24" s="13">
        <f>'TR TUSD'!$AI$24*'TR TUSD'!$AI$60</f>
        <v>0</v>
      </c>
      <c r="AJ24" s="13">
        <f ca="1">'TR TUSD'!$AJ$24*'TR TUSD'!$AJ$60</f>
        <v>1.4865991309868904</v>
      </c>
      <c r="AK24" s="13">
        <f ca="1">'TR TUSD'!$AK$24*'TR TUSD'!$AK$60</f>
        <v>0.4583229612578808</v>
      </c>
      <c r="AL24" s="13">
        <f ca="1">SUM($AH$24:$AK$24)</f>
        <v>20.879494300562392</v>
      </c>
      <c r="AM24" s="13">
        <f ca="1">SUMIF($L$4:$AL$4,"SUBTOTAL",$L$24:$AL$24)</f>
        <v>371.55758363074114</v>
      </c>
      <c r="AP24" s="13">
        <f>IF((1 - CUSTOS!$M$27)&lt;&gt;0,1/(1 - CUSTOS!$M$27),1)</f>
        <v>1</v>
      </c>
    </row>
    <row r="25" spans="1:42" ht="11.25" customHeight="1" x14ac:dyDescent="0.25">
      <c r="A25" s="139"/>
      <c r="B25" s="139" t="s">
        <v>84</v>
      </c>
      <c r="C25" s="139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1.3579386744728197</v>
      </c>
      <c r="N25" s="13">
        <f ca="1">'TR TUSD'!$N$25*'TR TUSD'!$N$60</f>
        <v>4.3297971605062271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89.580775441589381</v>
      </c>
      <c r="R25" s="13">
        <f>'TR TUSD'!$R$25*'TR TUSD'!$R$60</f>
        <v>13.852839075591866</v>
      </c>
      <c r="S25" s="13">
        <f>'TR TUSD'!$S$25*'TR TUSD'!$S$60</f>
        <v>0</v>
      </c>
      <c r="T25" s="13">
        <f ca="1">SUM($L$25:$S$25)</f>
        <v>109.12135035216031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99.158359423231815</v>
      </c>
      <c r="Z25" s="13">
        <f>'TR TUSD'!$Z$25</f>
        <v>0</v>
      </c>
      <c r="AA25" s="13">
        <f>'TR TUSD'!$AA$25</f>
        <v>0</v>
      </c>
      <c r="AB25" s="13">
        <f>SUM($U$25:$AA$25)</f>
        <v>99.158359423231815</v>
      </c>
      <c r="AC25" s="13">
        <f>'TR TUSD'!$AC$25*'TR TUSD'!$AC$60</f>
        <v>245.84452152395534</v>
      </c>
      <c r="AD25" s="13">
        <f>SUM($AC$25:$AC$25)</f>
        <v>245.84452152395534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18.934572208317622</v>
      </c>
      <c r="AI25" s="13">
        <f>'TR TUSD'!$AI$25*'TR TUSD'!$AI$60</f>
        <v>0</v>
      </c>
      <c r="AJ25" s="13">
        <f ca="1">'TR TUSD'!$AJ$25*'TR TUSD'!$AJ$60</f>
        <v>1.4865991309868904</v>
      </c>
      <c r="AK25" s="13">
        <f ca="1">'TR TUSD'!$AK$25*'TR TUSD'!$AK$60</f>
        <v>0.4583229612578808</v>
      </c>
      <c r="AL25" s="13">
        <f ca="1">SUM($AH$25:$AK$25)</f>
        <v>20.879494300562392</v>
      </c>
      <c r="AM25" s="13">
        <f ca="1">SUMIF($L$4:$AL$4,"SUBTOTAL",$L$25:$AL$25)</f>
        <v>475.00372559990984</v>
      </c>
      <c r="AP25" s="13">
        <v>1</v>
      </c>
    </row>
    <row r="26" spans="1:42" ht="11.25" customHeight="1" x14ac:dyDescent="0.25">
      <c r="A26" s="139"/>
      <c r="B26" s="139"/>
      <c r="C26" s="139"/>
      <c r="D26" s="17" t="s">
        <v>28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1.3579386744728197</v>
      </c>
      <c r="N26" s="13">
        <f ca="1">'TR TUSD'!$N$26*'TR TUSD'!$N$60</f>
        <v>4.3172697085187979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5.6752083829916176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99.158359423231815</v>
      </c>
      <c r="Z26" s="13">
        <f>'TR TUSD'!$Z$26</f>
        <v>0</v>
      </c>
      <c r="AA26" s="13">
        <f>'TR TUSD'!$AA$26</f>
        <v>0</v>
      </c>
      <c r="AB26" s="13">
        <f>SUM($U$26:$AA$26)</f>
        <v>99.158359423231815</v>
      </c>
      <c r="AC26" s="13">
        <f>'TR TUSD'!$AC$26*'TR TUSD'!$AC$60</f>
        <v>245.84452152395534</v>
      </c>
      <c r="AD26" s="13">
        <f>SUM($AC$26:$AC$26)</f>
        <v>245.84452152395534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18.934572208317622</v>
      </c>
      <c r="AI26" s="13">
        <f>'TR TUSD'!$AI$26*'TR TUSD'!$AI$60</f>
        <v>0</v>
      </c>
      <c r="AJ26" s="13">
        <f ca="1">'TR TUSD'!$AJ$26*'TR TUSD'!$AJ$60</f>
        <v>1.4865991309868904</v>
      </c>
      <c r="AK26" s="13">
        <f ca="1">'TR TUSD'!$AK$26*'TR TUSD'!$AK$60</f>
        <v>0.4583229612578808</v>
      </c>
      <c r="AL26" s="13">
        <f ca="1">SUM($AH$26:$AK$26)</f>
        <v>20.879494300562392</v>
      </c>
      <c r="AM26" s="13">
        <f ca="1">SUMIF($L$4:$AL$4,"SUBTOTAL",$L$26:$AL$26)</f>
        <v>371.55758363074114</v>
      </c>
      <c r="AP26" s="13">
        <f>IF((1 - CUSTOS!$M$24)&lt;&gt;0,1/(1 - CUSTOS!$M$24),1)</f>
        <v>1</v>
      </c>
    </row>
    <row r="27" spans="1:42" ht="11.25" customHeight="1" x14ac:dyDescent="0.25">
      <c r="A27" s="139"/>
      <c r="B27" s="139"/>
      <c r="C27" s="139"/>
      <c r="D27" s="17" t="s">
        <v>29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1.3579386744728197</v>
      </c>
      <c r="N27" s="13">
        <f ca="1">'TR TUSD'!$N$27*'TR TUSD'!$N$60</f>
        <v>4.3172697085187979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5.6752083829916176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99.158359423231815</v>
      </c>
      <c r="Z27" s="13">
        <f>'TR TUSD'!$Z$27</f>
        <v>0</v>
      </c>
      <c r="AA27" s="13">
        <f>'TR TUSD'!$AA$27</f>
        <v>0</v>
      </c>
      <c r="AB27" s="13">
        <f>SUM($U$27:$AA$27)</f>
        <v>99.158359423231815</v>
      </c>
      <c r="AC27" s="13">
        <f>'TR TUSD'!$AC$27*'TR TUSD'!$AC$60</f>
        <v>245.84452152395534</v>
      </c>
      <c r="AD27" s="13">
        <f>SUM($AC$27:$AC$27)</f>
        <v>245.84452152395534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18.934572208317622</v>
      </c>
      <c r="AI27" s="13">
        <f>'TR TUSD'!$AI$27*'TR TUSD'!$AI$60</f>
        <v>0</v>
      </c>
      <c r="AJ27" s="13">
        <f ca="1">'TR TUSD'!$AJ$27*'TR TUSD'!$AJ$60</f>
        <v>1.4865991309868904</v>
      </c>
      <c r="AK27" s="13">
        <f ca="1">'TR TUSD'!$AK$27*'TR TUSD'!$AK$60</f>
        <v>0.4583229612578808</v>
      </c>
      <c r="AL27" s="13">
        <f ca="1">SUM($AH$27:$AK$27)</f>
        <v>20.879494300562392</v>
      </c>
      <c r="AM27" s="13">
        <f ca="1">SUMIF($L$4:$AL$4,"SUBTOTAL",$L$27:$AL$27)</f>
        <v>371.55758363074114</v>
      </c>
      <c r="AP27" s="13">
        <f>IF((1 - CUSTOS!$M$25)&lt;&gt;0,1/(1 - CUSTOS!$M$25),1)</f>
        <v>1</v>
      </c>
    </row>
    <row r="28" spans="1:42" ht="11.25" customHeight="1" x14ac:dyDescent="0.25">
      <c r="A28" s="139"/>
      <c r="B28" s="139"/>
      <c r="C28" s="139"/>
      <c r="D28" s="17" t="s">
        <v>30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1.3579386744728197</v>
      </c>
      <c r="N28" s="13">
        <f ca="1">'TR TUSD'!$N$28*'TR TUSD'!$N$60</f>
        <v>4.3172697085187979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5.6752083829916176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99.158359423231815</v>
      </c>
      <c r="Z28" s="13">
        <f>'TR TUSD'!$Z$28</f>
        <v>0</v>
      </c>
      <c r="AA28" s="13">
        <f>'TR TUSD'!$AA$28</f>
        <v>0</v>
      </c>
      <c r="AB28" s="13">
        <f>SUM($U$28:$AA$28)</f>
        <v>99.158359423231815</v>
      </c>
      <c r="AC28" s="13">
        <f>'TR TUSD'!$AC$28*'TR TUSD'!$AC$60</f>
        <v>245.84452152395534</v>
      </c>
      <c r="AD28" s="13">
        <f>SUM($AC$28:$AC$28)</f>
        <v>245.84452152395534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18.934572208317622</v>
      </c>
      <c r="AI28" s="13">
        <f>'TR TUSD'!$AI$28*'TR TUSD'!$AI$60</f>
        <v>0</v>
      </c>
      <c r="AJ28" s="13">
        <f ca="1">'TR TUSD'!$AJ$28*'TR TUSD'!$AJ$60</f>
        <v>1.4865991309868904</v>
      </c>
      <c r="AK28" s="13">
        <f ca="1">'TR TUSD'!$AK$28*'TR TUSD'!$AK$60</f>
        <v>0.4583229612578808</v>
      </c>
      <c r="AL28" s="13">
        <f ca="1">SUM($AH$28:$AK$28)</f>
        <v>20.879494300562392</v>
      </c>
      <c r="AM28" s="13">
        <f ca="1">SUMIF($L$4:$AL$4,"SUBTOTAL",$L$28:$AL$28)</f>
        <v>371.55758363074114</v>
      </c>
      <c r="AP28" s="13">
        <f>IF((1 - CUSTOS!$M$26)&lt;&gt;0,1/(1 - CUSTOS!$M$26),1)</f>
        <v>1</v>
      </c>
    </row>
    <row r="29" spans="1:42" ht="11.25" customHeight="1" x14ac:dyDescent="0.25">
      <c r="A29" s="139"/>
      <c r="B29" s="139"/>
      <c r="C29" s="139"/>
      <c r="D29" s="17" t="s">
        <v>31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1.3579386744728197</v>
      </c>
      <c r="N29" s="13">
        <f ca="1">'TR TUSD'!$N$29*'TR TUSD'!$N$60</f>
        <v>4.3172697085187979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5.6752083829916176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99.158359423231815</v>
      </c>
      <c r="Z29" s="13">
        <f>'TR TUSD'!$Z$29</f>
        <v>0</v>
      </c>
      <c r="AA29" s="13">
        <f>'TR TUSD'!$AA$29</f>
        <v>0</v>
      </c>
      <c r="AB29" s="13">
        <f>SUM($U$29:$AA$29)</f>
        <v>99.158359423231815</v>
      </c>
      <c r="AC29" s="13">
        <f>'TR TUSD'!$AC$29*'TR TUSD'!$AC$60</f>
        <v>245.84452152395534</v>
      </c>
      <c r="AD29" s="13">
        <f>SUM($AC$29:$AC$29)</f>
        <v>245.84452152395534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18.934572208317622</v>
      </c>
      <c r="AI29" s="13">
        <f>'TR TUSD'!$AI$29*'TR TUSD'!$AI$60</f>
        <v>0</v>
      </c>
      <c r="AJ29" s="13">
        <f ca="1">'TR TUSD'!$AJ$29*'TR TUSD'!$AJ$60</f>
        <v>1.4865991309868904</v>
      </c>
      <c r="AK29" s="13">
        <f ca="1">'TR TUSD'!$AK$29*'TR TUSD'!$AK$60</f>
        <v>0.4583229612578808</v>
      </c>
      <c r="AL29" s="13">
        <f ca="1">SUM($AH$29:$AK$29)</f>
        <v>20.879494300562392</v>
      </c>
      <c r="AM29" s="13">
        <f ca="1">SUMIF($L$4:$AL$4,"SUBTOTAL",$L$29:$AL$29)</f>
        <v>371.55758363074114</v>
      </c>
      <c r="AP29" s="13">
        <f>IF((1 - CUSTOS!$M$27)&lt;&gt;0,1/(1 - CUSTOS!$M$27),1)</f>
        <v>1</v>
      </c>
    </row>
    <row r="30" spans="1:42" ht="11.25" customHeight="1" x14ac:dyDescent="0.25">
      <c r="A30" s="139" t="s">
        <v>41</v>
      </c>
      <c r="B30" s="139" t="s">
        <v>38</v>
      </c>
      <c r="C30" s="139" t="s">
        <v>42</v>
      </c>
      <c r="D30" s="139" t="s">
        <v>25</v>
      </c>
      <c r="E30" s="139" t="s">
        <v>25</v>
      </c>
      <c r="F30" s="139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1.3579386744728197</v>
      </c>
      <c r="N30" s="13">
        <f ca="1">'TR TUSD'!$N$30*'TR TUSD'!$N$60</f>
        <v>0.53846654161708019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89.580775441589381</v>
      </c>
      <c r="R30" s="13">
        <f>'TR TUSD'!$R$30*'TR TUSD'!$R$60</f>
        <v>13.852839075591866</v>
      </c>
      <c r="S30" s="13">
        <f>'TR TUSD'!$S$30*'TR TUSD'!$S$60</f>
        <v>0</v>
      </c>
      <c r="T30" s="13">
        <f ca="1">SUM($L$30:$S$30)</f>
        <v>105.33001973327114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0</v>
      </c>
      <c r="Z30" s="13">
        <f>'TR TUSD'!$Z$30</f>
        <v>0</v>
      </c>
      <c r="AA30" s="13">
        <f>'TR TUSD'!$AA$30</f>
        <v>0</v>
      </c>
      <c r="AB30" s="13">
        <f>SUM($U$30:$AA$30)</f>
        <v>0</v>
      </c>
      <c r="AC30" s="13">
        <f>'TR TUSD'!$AC$30*'TR TUSD'!$AC$60</f>
        <v>0</v>
      </c>
      <c r="AD30" s="13">
        <f>SUM($AC$30:$AC$30)</f>
        <v>0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18.934572208317622</v>
      </c>
      <c r="AI30" s="13">
        <f>'TR TUSD'!$AI$30*'TR TUSD'!$AI$60</f>
        <v>0</v>
      </c>
      <c r="AJ30" s="13">
        <f ca="1">'TR TUSD'!$AJ$30*'TR TUSD'!$AJ$60</f>
        <v>1.4865991309868904</v>
      </c>
      <c r="AK30" s="13">
        <f ca="1">'TR TUSD'!$AK$30*'TR TUSD'!$AK$60</f>
        <v>0.4583229612578808</v>
      </c>
      <c r="AL30" s="13">
        <f ca="1">SUM($AH$30:$AK$30)</f>
        <v>20.879494300562392</v>
      </c>
      <c r="AM30" s="13">
        <f ca="1">SUMIF($L$4:$AL$4,"SUBTOTAL",$L$30:$AL$30)</f>
        <v>126.20951403383353</v>
      </c>
      <c r="AP30" s="13">
        <f>IF((1 - CUSTOS!$M$28)&lt;&gt;0,1/(1 - CUSTOS!$M$28),1)</f>
        <v>1</v>
      </c>
    </row>
    <row r="31" spans="1:42" ht="11.25" customHeight="1" x14ac:dyDescent="0.25">
      <c r="A31" s="139"/>
      <c r="B31" s="139"/>
      <c r="C31" s="139"/>
      <c r="D31" s="139"/>
      <c r="E31" s="139"/>
      <c r="F31" s="139"/>
      <c r="G31" s="18" t="s">
        <v>82</v>
      </c>
      <c r="H31" s="18" t="s">
        <v>68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1.3579386744728197</v>
      </c>
      <c r="N31" s="13">
        <f ca="1">'TR TUSD'!$N$31*'TR TUSD'!$N$60</f>
        <v>0.53846654161708019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89.580775441589381</v>
      </c>
      <c r="R31" s="13">
        <f>'TR TUSD'!$R$31*'TR TUSD'!$R$60</f>
        <v>13.852839075591866</v>
      </c>
      <c r="S31" s="13">
        <f>'TR TUSD'!$S$31*'TR TUSD'!$S$60</f>
        <v>0</v>
      </c>
      <c r="T31" s="13">
        <f ca="1">SUM($L$31:$S$31)</f>
        <v>105.33001973327114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0</v>
      </c>
      <c r="Z31" s="13">
        <f>'TR TUSD'!$Z$31</f>
        <v>0</v>
      </c>
      <c r="AA31" s="13">
        <f>'TR TUSD'!$AA$31</f>
        <v>0</v>
      </c>
      <c r="AB31" s="13">
        <f>SUM($U$31:$AA$31)</f>
        <v>0</v>
      </c>
      <c r="AC31" s="13">
        <f>'TR TUSD'!$AC$31*'TR TUSD'!$AC$60</f>
        <v>0</v>
      </c>
      <c r="AD31" s="13">
        <f>SUM($AC$31:$AC$31)</f>
        <v>0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18.934572208317622</v>
      </c>
      <c r="AI31" s="13">
        <f>'TR TUSD'!$AI$31*'TR TUSD'!$AI$60</f>
        <v>0</v>
      </c>
      <c r="AJ31" s="13">
        <f ca="1">'TR TUSD'!$AJ$31*'TR TUSD'!$AJ$60</f>
        <v>1.4865991309868904</v>
      </c>
      <c r="AK31" s="13">
        <f ca="1">'TR TUSD'!$AK$31*'TR TUSD'!$AK$60</f>
        <v>0.4583229612578808</v>
      </c>
      <c r="AL31" s="13">
        <f ca="1">SUM($AH$31:$AK$31)</f>
        <v>20.879494300562392</v>
      </c>
      <c r="AM31" s="13">
        <f ca="1">SUMIF($L$4:$AL$4,"SUBTOTAL",$L$31:$AL$31)</f>
        <v>126.20951403383353</v>
      </c>
      <c r="AP31" s="13">
        <f>IF((1 - CUSTOS!$M$28)&lt;&gt;0,1/(1 - CUSTOS!$M$28),1)</f>
        <v>1</v>
      </c>
    </row>
    <row r="32" spans="1:42" ht="11.25" customHeight="1" x14ac:dyDescent="0.25">
      <c r="A32" s="139"/>
      <c r="B32" s="139"/>
      <c r="C32" s="139"/>
      <c r="D32" s="139"/>
      <c r="E32" s="139"/>
      <c r="F32" s="139"/>
      <c r="G32" s="18" t="s">
        <v>70</v>
      </c>
      <c r="H32" s="18" t="s">
        <v>68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1.3579386744728197</v>
      </c>
      <c r="N32" s="13">
        <f ca="1">'TR TUSD'!$N$32*'TR TUSD'!$N$60</f>
        <v>0.53846654161708019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89.580775441589381</v>
      </c>
      <c r="R32" s="13">
        <f>'TR TUSD'!$R$32*'TR TUSD'!$R$60</f>
        <v>13.852839075591866</v>
      </c>
      <c r="S32" s="13">
        <f>'TR TUSD'!$S$32*'TR TUSD'!$S$60</f>
        <v>0</v>
      </c>
      <c r="T32" s="13">
        <f ca="1">SUM($L$32:$S$32)</f>
        <v>105.33001973327114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0</v>
      </c>
      <c r="Z32" s="13">
        <f>'TR TUSD'!$Z$32</f>
        <v>0</v>
      </c>
      <c r="AA32" s="13">
        <f>'TR TUSD'!$AA$32</f>
        <v>0</v>
      </c>
      <c r="AB32" s="13">
        <f>SUM($U$32:$AA$32)</f>
        <v>0</v>
      </c>
      <c r="AC32" s="13">
        <f>'TR TUSD'!$AC$32*'TR TUSD'!$AC$60</f>
        <v>0</v>
      </c>
      <c r="AD32" s="13">
        <f>SUM($AC$32:$AC$32)</f>
        <v>0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18.934572208317622</v>
      </c>
      <c r="AI32" s="13">
        <f>'TR TUSD'!$AI$32*'TR TUSD'!$AI$60</f>
        <v>0</v>
      </c>
      <c r="AJ32" s="13">
        <f ca="1">'TR TUSD'!$AJ$32*'TR TUSD'!$AJ$60</f>
        <v>1.4865991309868904</v>
      </c>
      <c r="AK32" s="13">
        <f ca="1">'TR TUSD'!$AK$32*'TR TUSD'!$AK$60</f>
        <v>0.4583229612578808</v>
      </c>
      <c r="AL32" s="13">
        <f ca="1">SUM($AH$32:$AK$32)</f>
        <v>20.879494300562392</v>
      </c>
      <c r="AM32" s="13">
        <f ca="1">SUMIF($L$4:$AL$4,"SUBTOTAL",$L$32:$AL$32)</f>
        <v>126.20951403383353</v>
      </c>
      <c r="AP32" s="13">
        <f>IF((1 - CUSTOS!$M$28)&lt;&gt;0,1/(1 - CUSTOS!$M$28),1)</f>
        <v>1</v>
      </c>
    </row>
    <row r="33" spans="1:42" ht="11.25" customHeight="1" x14ac:dyDescent="0.25">
      <c r="A33" s="139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11.840000000000002</v>
      </c>
      <c r="J33" s="15"/>
      <c r="L33" s="13">
        <f>'TR TUSD'!$L$33*'TR TUSD'!$L$60</f>
        <v>0</v>
      </c>
      <c r="M33" s="13">
        <f>'TR TUSD'!$M$33*'TR TUSD'!$M$60</f>
        <v>1.3579386744728197</v>
      </c>
      <c r="N33" s="13">
        <f ca="1">'TR TUSD'!$N$33*'TR TUSD'!$N$60</f>
        <v>4.3297971605062271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89.580775441589381</v>
      </c>
      <c r="R33" s="13">
        <f>'TR TUSD'!$R$33*'TR TUSD'!$R$60</f>
        <v>13.852839075591866</v>
      </c>
      <c r="S33" s="13">
        <f>'TR TUSD'!$S$33*'TR TUSD'!$S$60</f>
        <v>0</v>
      </c>
      <c r="T33" s="13">
        <f ca="1">SUM($L$33:$S$33)</f>
        <v>109.12135035216031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99.158359423231815</v>
      </c>
      <c r="Z33" s="13">
        <f>'TR TUSD'!$Z$33</f>
        <v>0</v>
      </c>
      <c r="AA33" s="13">
        <f>'TR TUSD'!$AA$33</f>
        <v>0</v>
      </c>
      <c r="AB33" s="13">
        <f>SUM($U$33:$AA$33)</f>
        <v>99.158359423231815</v>
      </c>
      <c r="AC33" s="13">
        <f>'TR TUSD'!$AC$33*'TR TUSD'!$AC$60</f>
        <v>245.84452152395534</v>
      </c>
      <c r="AD33" s="13">
        <f>SUM($AC$33:$AC$33)</f>
        <v>245.84452152395534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18.934572208317622</v>
      </c>
      <c r="AI33" s="13">
        <f>'TR TUSD'!$AI$33*'TR TUSD'!$AI$60</f>
        <v>0</v>
      </c>
      <c r="AJ33" s="13">
        <f ca="1">'TR TUSD'!$AJ$33*'TR TUSD'!$AJ$60</f>
        <v>1.4865991309868904</v>
      </c>
      <c r="AK33" s="13">
        <f ca="1">'TR TUSD'!$AK$33*'TR TUSD'!$AK$60</f>
        <v>0.4583229612578808</v>
      </c>
      <c r="AL33" s="13">
        <f ca="1">SUM($AH$33:$AK$33)</f>
        <v>20.879494300562392</v>
      </c>
      <c r="AM33" s="13">
        <f ca="1">SUMIF($L$4:$AL$4,"SUBTOTAL",$L$33:$AL$33)</f>
        <v>475.00372559990984</v>
      </c>
      <c r="AP33" s="13">
        <f>IF((1 - CUSTOS!$M$28)&lt;&gt;0,1/(1 - CUSTOS!$M$28),1)</f>
        <v>1</v>
      </c>
    </row>
    <row r="34" spans="1:42" ht="11.25" customHeight="1" x14ac:dyDescent="0.25">
      <c r="A34" s="139"/>
      <c r="B34" s="139" t="s">
        <v>38</v>
      </c>
      <c r="C34" s="139" t="s">
        <v>42</v>
      </c>
      <c r="D34" s="139" t="s">
        <v>85</v>
      </c>
      <c r="E34" s="139" t="s">
        <v>25</v>
      </c>
      <c r="F34" s="139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1.3579386744728197</v>
      </c>
      <c r="N34" s="13">
        <f ca="1">'TR TUSD'!$N$34*'TR TUSD'!$N$60</f>
        <v>0.53846654161708019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89.580775441589381</v>
      </c>
      <c r="R34" s="13">
        <f>'TR TUSD'!$R$34*'TR TUSD'!$R$60</f>
        <v>13.852839075591866</v>
      </c>
      <c r="S34" s="13">
        <f>'TR TUSD'!$S$34*'TR TUSD'!$S$60</f>
        <v>0</v>
      </c>
      <c r="T34" s="13">
        <f ca="1">SUM($L$34:$S$34)</f>
        <v>105.33001973327114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0</v>
      </c>
      <c r="Z34" s="13">
        <f>'TR TUSD'!$Z$34</f>
        <v>0</v>
      </c>
      <c r="AA34" s="13">
        <f>'TR TUSD'!$AA$34</f>
        <v>0</v>
      </c>
      <c r="AB34" s="13">
        <f>SUM($U$34:$AA$34)</f>
        <v>0</v>
      </c>
      <c r="AC34" s="13">
        <f>'TR TUSD'!$AC$34*'TR TUSD'!$AC$60</f>
        <v>0</v>
      </c>
      <c r="AD34" s="13">
        <f>SUM($AC$34:$AC$34)</f>
        <v>0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18.934572208317622</v>
      </c>
      <c r="AI34" s="13">
        <f>'TR TUSD'!$AI$34*'TR TUSD'!$AI$60</f>
        <v>0</v>
      </c>
      <c r="AJ34" s="13">
        <f ca="1">'TR TUSD'!$AJ$34*'TR TUSD'!$AJ$60</f>
        <v>1.4865991309868904</v>
      </c>
      <c r="AK34" s="13">
        <f ca="1">'TR TUSD'!$AK$34*'TR TUSD'!$AK$60</f>
        <v>0.4583229612578808</v>
      </c>
      <c r="AL34" s="13">
        <f ca="1">SUM($AH$34:$AK$34)</f>
        <v>20.879494300562392</v>
      </c>
      <c r="AM34" s="13">
        <f ca="1">SUMIF($L$4:$AL$4,"SUBTOTAL",$L$34:$AL$34)</f>
        <v>126.20951403383353</v>
      </c>
      <c r="AP34" s="13">
        <f>IF((1 - CUSTOS!$M$29)&lt;&gt;0,1/(1 - CUSTOS!$M$29),1)</f>
        <v>1</v>
      </c>
    </row>
    <row r="35" spans="1:42" ht="11.25" customHeight="1" x14ac:dyDescent="0.25">
      <c r="A35" s="139"/>
      <c r="B35" s="139"/>
      <c r="C35" s="139"/>
      <c r="D35" s="139"/>
      <c r="E35" s="139"/>
      <c r="F35" s="139"/>
      <c r="G35" s="18" t="s">
        <v>82</v>
      </c>
      <c r="H35" s="18" t="s">
        <v>68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1.3579386744728197</v>
      </c>
      <c r="N35" s="13">
        <f ca="1">'TR TUSD'!$N$35*'TR TUSD'!$N$60</f>
        <v>0.53846654161708019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89.580775441589381</v>
      </c>
      <c r="R35" s="13">
        <f>'TR TUSD'!$R$35*'TR TUSD'!$R$60</f>
        <v>13.852839075591866</v>
      </c>
      <c r="S35" s="13">
        <f>'TR TUSD'!$S$35*'TR TUSD'!$S$60</f>
        <v>0</v>
      </c>
      <c r="T35" s="13">
        <f ca="1">SUM($L$35:$S$35)</f>
        <v>105.33001973327114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0</v>
      </c>
      <c r="Z35" s="13">
        <f>'TR TUSD'!$Z$35</f>
        <v>0</v>
      </c>
      <c r="AA35" s="13">
        <f>'TR TUSD'!$AA$35</f>
        <v>0</v>
      </c>
      <c r="AB35" s="13">
        <f>SUM($U$35:$AA$35)</f>
        <v>0</v>
      </c>
      <c r="AC35" s="13">
        <f>'TR TUSD'!$AC$35*'TR TUSD'!$AC$60</f>
        <v>0</v>
      </c>
      <c r="AD35" s="13">
        <f>SUM($AC$35:$AC$35)</f>
        <v>0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18.934572208317622</v>
      </c>
      <c r="AI35" s="13">
        <f>'TR TUSD'!$AI$35*'TR TUSD'!$AI$60</f>
        <v>0</v>
      </c>
      <c r="AJ35" s="13">
        <f ca="1">'TR TUSD'!$AJ$35*'TR TUSD'!$AJ$60</f>
        <v>1.4865991309868904</v>
      </c>
      <c r="AK35" s="13">
        <f ca="1">'TR TUSD'!$AK$35*'TR TUSD'!$AK$60</f>
        <v>0.4583229612578808</v>
      </c>
      <c r="AL35" s="13">
        <f ca="1">SUM($AH$35:$AK$35)</f>
        <v>20.879494300562392</v>
      </c>
      <c r="AM35" s="13">
        <f ca="1">SUMIF($L$4:$AL$4,"SUBTOTAL",$L$35:$AL$35)</f>
        <v>126.20951403383353</v>
      </c>
      <c r="AP35" s="13">
        <f>IF((1 - CUSTOS!$M$29)&lt;&gt;0,1/(1 - CUSTOS!$M$29),1)</f>
        <v>1</v>
      </c>
    </row>
    <row r="36" spans="1:42" ht="11.25" customHeight="1" x14ac:dyDescent="0.25">
      <c r="A36" s="139"/>
      <c r="B36" s="139"/>
      <c r="C36" s="139"/>
      <c r="D36" s="139"/>
      <c r="E36" s="139"/>
      <c r="F36" s="139"/>
      <c r="G36" s="18" t="s">
        <v>70</v>
      </c>
      <c r="H36" s="18" t="s">
        <v>68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1.3579386744728197</v>
      </c>
      <c r="N36" s="13">
        <f ca="1">'TR TUSD'!$N$36*'TR TUSD'!$N$60</f>
        <v>0.53846654161708019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89.580775441589381</v>
      </c>
      <c r="R36" s="13">
        <f>'TR TUSD'!$R$36*'TR TUSD'!$R$60</f>
        <v>13.852839075591866</v>
      </c>
      <c r="S36" s="13">
        <f>'TR TUSD'!$S$36*'TR TUSD'!$S$60</f>
        <v>0</v>
      </c>
      <c r="T36" s="13">
        <f ca="1">SUM($L$36:$S$36)</f>
        <v>105.33001973327114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0</v>
      </c>
      <c r="Z36" s="13">
        <f>'TR TUSD'!$Z$36</f>
        <v>0</v>
      </c>
      <c r="AA36" s="13">
        <f>'TR TUSD'!$AA$36</f>
        <v>0</v>
      </c>
      <c r="AB36" s="13">
        <f>SUM($U$36:$AA$36)</f>
        <v>0</v>
      </c>
      <c r="AC36" s="13">
        <f>'TR TUSD'!$AC$36*'TR TUSD'!$AC$60</f>
        <v>0</v>
      </c>
      <c r="AD36" s="13">
        <f>SUM($AC$36:$AC$36)</f>
        <v>0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18.934572208317622</v>
      </c>
      <c r="AI36" s="13">
        <f>'TR TUSD'!$AI$36*'TR TUSD'!$AI$60</f>
        <v>0</v>
      </c>
      <c r="AJ36" s="13">
        <f ca="1">'TR TUSD'!$AJ$36*'TR TUSD'!$AJ$60</f>
        <v>1.4865991309868904</v>
      </c>
      <c r="AK36" s="13">
        <f ca="1">'TR TUSD'!$AK$36*'TR TUSD'!$AK$60</f>
        <v>0.4583229612578808</v>
      </c>
      <c r="AL36" s="13">
        <f ca="1">SUM($AH$36:$AK$36)</f>
        <v>20.879494300562392</v>
      </c>
      <c r="AM36" s="13">
        <f ca="1">SUMIF($L$4:$AL$4,"SUBTOTAL",$L$36:$AL$36)</f>
        <v>126.20951403383353</v>
      </c>
      <c r="AP36" s="13">
        <f>IF((1 - CUSTOS!$M$29)&lt;&gt;0,1/(1 - CUSTOS!$M$29),1)</f>
        <v>1</v>
      </c>
    </row>
    <row r="37" spans="1:42" ht="11.25" customHeight="1" x14ac:dyDescent="0.25">
      <c r="A37" s="139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1.3579386744728197</v>
      </c>
      <c r="N37" s="13">
        <f ca="1">'TR TUSD'!$N$37*'TR TUSD'!$N$60</f>
        <v>4.3297971605062271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89.580775441589381</v>
      </c>
      <c r="R37" s="13">
        <f>'TR TUSD'!$R$37*'TR TUSD'!$R$60</f>
        <v>13.852839075591866</v>
      </c>
      <c r="S37" s="13">
        <f>'TR TUSD'!$S$37*'TR TUSD'!$S$60</f>
        <v>0</v>
      </c>
      <c r="T37" s="13">
        <f ca="1">SUM($L$37:$S$37)</f>
        <v>109.12135035216031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99.158359423231815</v>
      </c>
      <c r="Z37" s="13">
        <f>'TR TUSD'!$Z$37</f>
        <v>0</v>
      </c>
      <c r="AA37" s="13">
        <f>'TR TUSD'!$AA$37</f>
        <v>0</v>
      </c>
      <c r="AB37" s="13">
        <f>SUM($U$37:$AA$37)</f>
        <v>99.158359423231815</v>
      </c>
      <c r="AC37" s="13">
        <f>'TR TUSD'!$AC$37*'TR TUSD'!$AC$60</f>
        <v>245.84452152395534</v>
      </c>
      <c r="AD37" s="13">
        <f>SUM($AC$37:$AC$37)</f>
        <v>245.84452152395534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18.934572208317622</v>
      </c>
      <c r="AI37" s="13">
        <f>'TR TUSD'!$AI$37*'TR TUSD'!$AI$60</f>
        <v>0</v>
      </c>
      <c r="AJ37" s="13">
        <f ca="1">'TR TUSD'!$AJ$37*'TR TUSD'!$AJ$60</f>
        <v>1.4865991309868904</v>
      </c>
      <c r="AK37" s="13">
        <f ca="1">'TR TUSD'!$AK$37*'TR TUSD'!$AK$60</f>
        <v>0.4583229612578808</v>
      </c>
      <c r="AL37" s="13">
        <f ca="1">SUM($AH$37:$AK$37)</f>
        <v>20.879494300562392</v>
      </c>
      <c r="AM37" s="13">
        <f ca="1">SUMIF($L$4:$AL$4,"SUBTOTAL",$L$37:$AL$37)</f>
        <v>475.00372559990984</v>
      </c>
      <c r="AP37" s="13">
        <f>IF((1 - CUSTOS!$M$29)&lt;&gt;0,1/(1 - CUSTOS!$M$29),1)</f>
        <v>1</v>
      </c>
    </row>
    <row r="38" spans="1:42" ht="11.25" customHeight="1" x14ac:dyDescent="0.25">
      <c r="A38" s="139"/>
      <c r="B38" s="139" t="s">
        <v>38</v>
      </c>
      <c r="C38" s="139" t="s">
        <v>42</v>
      </c>
      <c r="D38" s="139" t="s">
        <v>86</v>
      </c>
      <c r="E38" s="139" t="s">
        <v>25</v>
      </c>
      <c r="F38" s="139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1.3579386744728197</v>
      </c>
      <c r="N38" s="13">
        <f ca="1">'TR TUSD'!$N$38*'TR TUSD'!$N$60</f>
        <v>0.53846654161708019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89.580775441589381</v>
      </c>
      <c r="R38" s="13">
        <f>'TR TUSD'!$R$38*'TR TUSD'!$R$60</f>
        <v>13.852839075591866</v>
      </c>
      <c r="S38" s="13">
        <f>'TR TUSD'!$S$38*'TR TUSD'!$S$60</f>
        <v>0</v>
      </c>
      <c r="T38" s="13">
        <f ca="1">SUM($L$38:$S$38)</f>
        <v>105.33001973327114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0</v>
      </c>
      <c r="Z38" s="13">
        <f>'TR TUSD'!$Z$38</f>
        <v>0</v>
      </c>
      <c r="AA38" s="13">
        <f>'TR TUSD'!$AA$38</f>
        <v>0</v>
      </c>
      <c r="AB38" s="13">
        <f>SUM($U$38:$AA$38)</f>
        <v>0</v>
      </c>
      <c r="AC38" s="13">
        <f>'TR TUSD'!$AC$38*'TR TUSD'!$AC$60</f>
        <v>0</v>
      </c>
      <c r="AD38" s="13">
        <f>SUM($AC$38:$AC$38)</f>
        <v>0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18.934572208317622</v>
      </c>
      <c r="AI38" s="13">
        <f>'TR TUSD'!$AI$38*'TR TUSD'!$AI$60</f>
        <v>0</v>
      </c>
      <c r="AJ38" s="13">
        <f ca="1">'TR TUSD'!$AJ$38*'TR TUSD'!$AJ$60</f>
        <v>1.4865991309868904</v>
      </c>
      <c r="AK38" s="13">
        <f ca="1">'TR TUSD'!$AK$38*'TR TUSD'!$AK$60</f>
        <v>0.4583229612578808</v>
      </c>
      <c r="AL38" s="13">
        <f ca="1">SUM($AH$38:$AK$38)</f>
        <v>20.879494300562392</v>
      </c>
      <c r="AM38" s="13">
        <f ca="1">SUMIF($L$4:$AL$4,"SUBTOTAL",$L$38:$AL$38)</f>
        <v>126.20951403383353</v>
      </c>
      <c r="AP38" s="13">
        <f>IF((1 - CUSTOS!$M$30)&lt;&gt;0,1/(1 - CUSTOS!$M$30),1)</f>
        <v>1</v>
      </c>
    </row>
    <row r="39" spans="1:42" ht="11.25" customHeight="1" x14ac:dyDescent="0.25">
      <c r="A39" s="139"/>
      <c r="B39" s="139"/>
      <c r="C39" s="139"/>
      <c r="D39" s="139"/>
      <c r="E39" s="139"/>
      <c r="F39" s="139"/>
      <c r="G39" s="18" t="s">
        <v>82</v>
      </c>
      <c r="H39" s="18" t="s">
        <v>68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1.3579386744728197</v>
      </c>
      <c r="N39" s="13">
        <f ca="1">'TR TUSD'!$N$39*'TR TUSD'!$N$60</f>
        <v>0.53846654161708019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89.580775441589381</v>
      </c>
      <c r="R39" s="13">
        <f>'TR TUSD'!$R$39*'TR TUSD'!$R$60</f>
        <v>13.852839075591866</v>
      </c>
      <c r="S39" s="13">
        <f>'TR TUSD'!$S$39*'TR TUSD'!$S$60</f>
        <v>0</v>
      </c>
      <c r="T39" s="13">
        <f ca="1">SUM($L$39:$S$39)</f>
        <v>105.33001973327114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0</v>
      </c>
      <c r="Z39" s="13">
        <f>'TR TUSD'!$Z$39</f>
        <v>0</v>
      </c>
      <c r="AA39" s="13">
        <f>'TR TUSD'!$AA$39</f>
        <v>0</v>
      </c>
      <c r="AB39" s="13">
        <f>SUM($U$39:$AA$39)</f>
        <v>0</v>
      </c>
      <c r="AC39" s="13">
        <f>'TR TUSD'!$AC$39*'TR TUSD'!$AC$60</f>
        <v>0</v>
      </c>
      <c r="AD39" s="13">
        <f>SUM($AC$39:$AC$39)</f>
        <v>0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18.934572208317622</v>
      </c>
      <c r="AI39" s="13">
        <f>'TR TUSD'!$AI$39*'TR TUSD'!$AI$60</f>
        <v>0</v>
      </c>
      <c r="AJ39" s="13">
        <f ca="1">'TR TUSD'!$AJ$39*'TR TUSD'!$AJ$60</f>
        <v>1.4865991309868904</v>
      </c>
      <c r="AK39" s="13">
        <f ca="1">'TR TUSD'!$AK$39*'TR TUSD'!$AK$60</f>
        <v>0.4583229612578808</v>
      </c>
      <c r="AL39" s="13">
        <f ca="1">SUM($AH$39:$AK$39)</f>
        <v>20.879494300562392</v>
      </c>
      <c r="AM39" s="13">
        <f ca="1">SUMIF($L$4:$AL$4,"SUBTOTAL",$L$39:$AL$39)</f>
        <v>126.20951403383353</v>
      </c>
      <c r="AP39" s="13">
        <f>IF((1 - CUSTOS!$M$30)&lt;&gt;0,1/(1 - CUSTOS!$M$30),1)</f>
        <v>1</v>
      </c>
    </row>
    <row r="40" spans="1:42" ht="11.25" customHeight="1" x14ac:dyDescent="0.25">
      <c r="A40" s="139"/>
      <c r="B40" s="139"/>
      <c r="C40" s="139"/>
      <c r="D40" s="139"/>
      <c r="E40" s="139"/>
      <c r="F40" s="139"/>
      <c r="G40" s="18" t="s">
        <v>70</v>
      </c>
      <c r="H40" s="18" t="s">
        <v>68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1.3579386744728197</v>
      </c>
      <c r="N40" s="13">
        <f ca="1">'TR TUSD'!$N$40*'TR TUSD'!$N$60</f>
        <v>0.53846654161708019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89.580775441589381</v>
      </c>
      <c r="R40" s="13">
        <f>'TR TUSD'!$R$40*'TR TUSD'!$R$60</f>
        <v>13.852839075591866</v>
      </c>
      <c r="S40" s="13">
        <f>'TR TUSD'!$S$40*'TR TUSD'!$S$60</f>
        <v>0</v>
      </c>
      <c r="T40" s="13">
        <f ca="1">SUM($L$40:$S$40)</f>
        <v>105.33001973327114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0</v>
      </c>
      <c r="Z40" s="13">
        <f>'TR TUSD'!$Z$40</f>
        <v>0</v>
      </c>
      <c r="AA40" s="13">
        <f>'TR TUSD'!$AA$40</f>
        <v>0</v>
      </c>
      <c r="AB40" s="13">
        <f>SUM($U$40:$AA$40)</f>
        <v>0</v>
      </c>
      <c r="AC40" s="13">
        <f>'TR TUSD'!$AC$40*'TR TUSD'!$AC$60</f>
        <v>0</v>
      </c>
      <c r="AD40" s="13">
        <f>SUM($AC$40:$AC$40)</f>
        <v>0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18.934572208317622</v>
      </c>
      <c r="AI40" s="13">
        <f>'TR TUSD'!$AI$40*'TR TUSD'!$AI$60</f>
        <v>0</v>
      </c>
      <c r="AJ40" s="13">
        <f ca="1">'TR TUSD'!$AJ$40*'TR TUSD'!$AJ$60</f>
        <v>1.4865991309868904</v>
      </c>
      <c r="AK40" s="13">
        <f ca="1">'TR TUSD'!$AK$40*'TR TUSD'!$AK$60</f>
        <v>0.4583229612578808</v>
      </c>
      <c r="AL40" s="13">
        <f ca="1">SUM($AH$40:$AK$40)</f>
        <v>20.879494300562392</v>
      </c>
      <c r="AM40" s="13">
        <f ca="1">SUMIF($L$4:$AL$4,"SUBTOTAL",$L$40:$AL$40)</f>
        <v>126.20951403383353</v>
      </c>
      <c r="AP40" s="13">
        <f>IF((1 - CUSTOS!$M$30)&lt;&gt;0,1/(1 - CUSTOS!$M$30),1)</f>
        <v>1</v>
      </c>
    </row>
    <row r="41" spans="1:42" ht="11.25" customHeight="1" x14ac:dyDescent="0.25">
      <c r="A41" s="139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1.3579386744728197</v>
      </c>
      <c r="N41" s="13">
        <f ca="1">'TR TUSD'!$N$41*'TR TUSD'!$N$60</f>
        <v>4.3297971605062271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89.580775441589381</v>
      </c>
      <c r="R41" s="13">
        <f>'TR TUSD'!$R$41*'TR TUSD'!$R$60</f>
        <v>13.852839075591866</v>
      </c>
      <c r="S41" s="13">
        <f>'TR TUSD'!$S$41*'TR TUSD'!$S$60</f>
        <v>0</v>
      </c>
      <c r="T41" s="13">
        <f ca="1">SUM($L$41:$S$41)</f>
        <v>109.12135035216031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99.158359423231815</v>
      </c>
      <c r="Z41" s="13">
        <f>'TR TUSD'!$Z$41</f>
        <v>0</v>
      </c>
      <c r="AA41" s="13">
        <f>'TR TUSD'!$AA$41</f>
        <v>0</v>
      </c>
      <c r="AB41" s="13">
        <f>SUM($U$41:$AA$41)</f>
        <v>99.158359423231815</v>
      </c>
      <c r="AC41" s="13">
        <f>'TR TUSD'!$AC$41*'TR TUSD'!$AC$60</f>
        <v>245.84452152395534</v>
      </c>
      <c r="AD41" s="13">
        <f>SUM($AC$41:$AC$41)</f>
        <v>245.84452152395534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18.934572208317622</v>
      </c>
      <c r="AI41" s="13">
        <f>'TR TUSD'!$AI$41*'TR TUSD'!$AI$60</f>
        <v>0</v>
      </c>
      <c r="AJ41" s="13">
        <f ca="1">'TR TUSD'!$AJ$41*'TR TUSD'!$AJ$60</f>
        <v>1.4865991309868904</v>
      </c>
      <c r="AK41" s="13">
        <f ca="1">'TR TUSD'!$AK$41*'TR TUSD'!$AK$60</f>
        <v>0.4583229612578808</v>
      </c>
      <c r="AL41" s="13">
        <f ca="1">SUM($AH$41:$AK$41)</f>
        <v>20.879494300562392</v>
      </c>
      <c r="AM41" s="13">
        <f ca="1">SUMIF($L$4:$AL$4,"SUBTOTAL",$L$41:$AL$41)</f>
        <v>475.00372559990984</v>
      </c>
      <c r="AP41" s="13">
        <f>IF((1 - CUSTOS!$M$30)&lt;&gt;0,1/(1 - CUSTOS!$M$30),1)</f>
        <v>1</v>
      </c>
    </row>
    <row r="42" spans="1:42" ht="11.25" customHeight="1" x14ac:dyDescent="0.25">
      <c r="A42" s="139"/>
      <c r="B42" s="139" t="s">
        <v>84</v>
      </c>
      <c r="C42" s="139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1.3579386744728197</v>
      </c>
      <c r="N42" s="13">
        <f ca="1">'TR TUSD'!$N$42*'TR TUSD'!$N$60</f>
        <v>4.3297971605062271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89.580775441589381</v>
      </c>
      <c r="R42" s="13">
        <f>'TR TUSD'!$R$42*'TR TUSD'!$R$60</f>
        <v>13.852839075591866</v>
      </c>
      <c r="S42" s="13">
        <f>'TR TUSD'!$S$42*'TR TUSD'!$S$60</f>
        <v>0</v>
      </c>
      <c r="T42" s="13">
        <f ca="1">SUM($L$42:$S$42)</f>
        <v>109.12135035216031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99.158359423231815</v>
      </c>
      <c r="Z42" s="13">
        <f>'TR TUSD'!$Z$42</f>
        <v>0</v>
      </c>
      <c r="AA42" s="13">
        <f>'TR TUSD'!$AA$42</f>
        <v>0</v>
      </c>
      <c r="AB42" s="13">
        <f>SUM($U$42:$AA$42)</f>
        <v>99.158359423231815</v>
      </c>
      <c r="AC42" s="13">
        <f>'TR TUSD'!$AC$42*'TR TUSD'!$AC$60</f>
        <v>245.84452152395534</v>
      </c>
      <c r="AD42" s="13">
        <f>SUM($AC$42:$AC$42)</f>
        <v>245.84452152395534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18.934572208317622</v>
      </c>
      <c r="AI42" s="13">
        <f>'TR TUSD'!$AI$42*'TR TUSD'!$AI$60</f>
        <v>0</v>
      </c>
      <c r="AJ42" s="13">
        <f ca="1">'TR TUSD'!$AJ$42*'TR TUSD'!$AJ$60</f>
        <v>1.4865991309868904</v>
      </c>
      <c r="AK42" s="13">
        <f ca="1">'TR TUSD'!$AK$42*'TR TUSD'!$AK$60</f>
        <v>0.4583229612578808</v>
      </c>
      <c r="AL42" s="13">
        <f ca="1">SUM($AH$42:$AK$42)</f>
        <v>20.879494300562392</v>
      </c>
      <c r="AM42" s="13">
        <f ca="1">SUMIF($L$4:$AL$4,"SUBTOTAL",$L$42:$AL$42)</f>
        <v>475.00372559990984</v>
      </c>
      <c r="AP42" s="13">
        <f>IF((1 - CUSTOS!$M$28)&lt;&gt;0,1/(1 - CUSTOS!$M$28),1)</f>
        <v>1</v>
      </c>
    </row>
    <row r="43" spans="1:42" ht="11.25" customHeight="1" x14ac:dyDescent="0.25">
      <c r="A43" s="139"/>
      <c r="B43" s="139"/>
      <c r="C43" s="139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1.3579386744728197</v>
      </c>
      <c r="N43" s="13">
        <f ca="1">'TR TUSD'!$N$43*'TR TUSD'!$N$60</f>
        <v>4.3297971605062271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89.580775441589381</v>
      </c>
      <c r="R43" s="13">
        <f>'TR TUSD'!$R$43*'TR TUSD'!$R$60</f>
        <v>13.852839075591866</v>
      </c>
      <c r="S43" s="13">
        <f>'TR TUSD'!$S$43*'TR TUSD'!$S$60</f>
        <v>0</v>
      </c>
      <c r="T43" s="13">
        <f ca="1">SUM($L$43:$S$43)</f>
        <v>109.12135035216031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99.158359423231815</v>
      </c>
      <c r="Z43" s="13">
        <f>'TR TUSD'!$Z$43</f>
        <v>0</v>
      </c>
      <c r="AA43" s="13">
        <f>'TR TUSD'!$AA$43</f>
        <v>0</v>
      </c>
      <c r="AB43" s="13">
        <f>SUM($U$43:$AA$43)</f>
        <v>99.158359423231815</v>
      </c>
      <c r="AC43" s="13">
        <f>'TR TUSD'!$AC$43*'TR TUSD'!$AC$60</f>
        <v>245.84452152395534</v>
      </c>
      <c r="AD43" s="13">
        <f>SUM($AC$43:$AC$43)</f>
        <v>245.84452152395534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18.934572208317622</v>
      </c>
      <c r="AI43" s="13">
        <f>'TR TUSD'!$AI$43*'TR TUSD'!$AI$60</f>
        <v>0</v>
      </c>
      <c r="AJ43" s="13">
        <f ca="1">'TR TUSD'!$AJ$43*'TR TUSD'!$AJ$60</f>
        <v>1.4865991309868904</v>
      </c>
      <c r="AK43" s="13">
        <f ca="1">'TR TUSD'!$AK$43*'TR TUSD'!$AK$60</f>
        <v>0.4583229612578808</v>
      </c>
      <c r="AL43" s="13">
        <f ca="1">SUM($AH$43:$AK$43)</f>
        <v>20.879494300562392</v>
      </c>
      <c r="AM43" s="13">
        <f ca="1">SUMIF($L$4:$AL$4,"SUBTOTAL",$L$43:$AL$43)</f>
        <v>475.00372559990984</v>
      </c>
      <c r="AP43" s="13">
        <f>IF((1 - CUSTOS!$M$29)&lt;&gt;0,1/(1 - CUSTOS!$M$29),1)</f>
        <v>1</v>
      </c>
    </row>
    <row r="44" spans="1:42" ht="11.25" customHeight="1" x14ac:dyDescent="0.25">
      <c r="A44" s="139"/>
      <c r="B44" s="139"/>
      <c r="C44" s="139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1.3579386744728197</v>
      </c>
      <c r="N44" s="13">
        <f ca="1">'TR TUSD'!$N$44*'TR TUSD'!$N$60</f>
        <v>4.3297971605062271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89.580775441589381</v>
      </c>
      <c r="R44" s="13">
        <f>'TR TUSD'!$R$44*'TR TUSD'!$R$60</f>
        <v>13.852839075591866</v>
      </c>
      <c r="S44" s="13">
        <f>'TR TUSD'!$S$44*'TR TUSD'!$S$60</f>
        <v>0</v>
      </c>
      <c r="T44" s="13">
        <f ca="1">SUM($L$44:$S$44)</f>
        <v>109.12135035216031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99.158359423231815</v>
      </c>
      <c r="Z44" s="13">
        <f>'TR TUSD'!$Z$44</f>
        <v>0</v>
      </c>
      <c r="AA44" s="13">
        <f>'TR TUSD'!$AA$44</f>
        <v>0</v>
      </c>
      <c r="AB44" s="13">
        <f>SUM($U$44:$AA$44)</f>
        <v>99.158359423231815</v>
      </c>
      <c r="AC44" s="13">
        <f>'TR TUSD'!$AC$44*'TR TUSD'!$AC$60</f>
        <v>245.84452152395534</v>
      </c>
      <c r="AD44" s="13">
        <f>SUM($AC$44:$AC$44)</f>
        <v>245.84452152395534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18.934572208317622</v>
      </c>
      <c r="AI44" s="13">
        <f>'TR TUSD'!$AI$44*'TR TUSD'!$AI$60</f>
        <v>0</v>
      </c>
      <c r="AJ44" s="13">
        <f ca="1">'TR TUSD'!$AJ$44*'TR TUSD'!$AJ$60</f>
        <v>1.4865991309868904</v>
      </c>
      <c r="AK44" s="13">
        <f ca="1">'TR TUSD'!$AK$44*'TR TUSD'!$AK$60</f>
        <v>0.4583229612578808</v>
      </c>
      <c r="AL44" s="13">
        <f ca="1">SUM($AH$44:$AK$44)</f>
        <v>20.879494300562392</v>
      </c>
      <c r="AM44" s="13">
        <f ca="1">SUMIF($L$4:$AL$4,"SUBTOTAL",$L$44:$AL$44)</f>
        <v>475.00372559990984</v>
      </c>
      <c r="AP44" s="13">
        <f>IF((1 - CUSTOS!$M$30)&lt;&gt;0,1/(1 - CUSTOS!$M$30),1)</f>
        <v>1</v>
      </c>
    </row>
    <row r="45" spans="1:42" ht="11.25" customHeight="1" x14ac:dyDescent="0.25">
      <c r="A45" s="139" t="s">
        <v>32</v>
      </c>
      <c r="B45" s="139" t="s">
        <v>38</v>
      </c>
      <c r="C45" s="139" t="s">
        <v>25</v>
      </c>
      <c r="D45" s="139" t="s">
        <v>25</v>
      </c>
      <c r="E45" s="139" t="s">
        <v>25</v>
      </c>
      <c r="F45" s="139" t="s">
        <v>25</v>
      </c>
      <c r="G45" s="18" t="s">
        <v>69</v>
      </c>
      <c r="H45" s="18" t="s">
        <v>68</v>
      </c>
      <c r="I45" s="18">
        <f>'MERCADO TUSD'!$U$42</f>
        <v>8.897000000000002</v>
      </c>
      <c r="J45" s="15"/>
      <c r="L45" s="13">
        <f>'TR TUSD'!$L$45*'TR TUSD'!$L$60</f>
        <v>0</v>
      </c>
      <c r="M45" s="13">
        <f>'TR TUSD'!$M$45*'TR TUSD'!$M$60</f>
        <v>1.3579386744728197</v>
      </c>
      <c r="N45" s="13">
        <f ca="1">'TR TUSD'!$N$45*'TR TUSD'!$N$60</f>
        <v>14.566390332605003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89.580775441589381</v>
      </c>
      <c r="R45" s="13">
        <f>'TR TUSD'!$R$45*'TR TUSD'!$R$60</f>
        <v>13.852839075591866</v>
      </c>
      <c r="S45" s="13">
        <f>'TR TUSD'!$S$45*'TR TUSD'!$S$60</f>
        <v>0</v>
      </c>
      <c r="T45" s="13">
        <f ca="1">SUM($L$45:$S$45)</f>
        <v>119.35794352425907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366.88587868427965</v>
      </c>
      <c r="Z45" s="13">
        <f>'TR TUSD'!$Z$45</f>
        <v>0</v>
      </c>
      <c r="AA45" s="13">
        <f>'TR TUSD'!$AA$45</f>
        <v>0</v>
      </c>
      <c r="AB45" s="13">
        <f>SUM($U$45:$AA$45)</f>
        <v>366.88587868427965</v>
      </c>
      <c r="AC45" s="13">
        <f>'TR TUSD'!$AC$45*'TR TUSD'!$AC$60</f>
        <v>909.62481699310388</v>
      </c>
      <c r="AD45" s="13">
        <f>SUM($AC$45:$AC$45)</f>
        <v>909.62481699310388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18.934572208317622</v>
      </c>
      <c r="AI45" s="13">
        <f>'TR TUSD'!$AI$45*'TR TUSD'!$AI$60</f>
        <v>0</v>
      </c>
      <c r="AJ45" s="13">
        <f ca="1">'TR TUSD'!$AJ$45*'TR TUSD'!$AJ$60</f>
        <v>1.4865991309868904</v>
      </c>
      <c r="AK45" s="13">
        <f ca="1">'TR TUSD'!$AK$45*'TR TUSD'!$AK$60</f>
        <v>0.4583229612578808</v>
      </c>
      <c r="AL45" s="13">
        <f ca="1">SUM($AH$45:$AK$45)</f>
        <v>20.879494300562392</v>
      </c>
      <c r="AM45" s="13">
        <f ca="1">SUMIF($L$4:$AL$4,"SUBTOTAL",$L$45:$AL$45)</f>
        <v>1416.7481335022048</v>
      </c>
      <c r="AP45" s="13">
        <f>IF((1 - CUSTOS!$M$31)&lt;&gt;0,1/(1 - CUSTOS!$M$31),1)</f>
        <v>1</v>
      </c>
    </row>
    <row r="46" spans="1:42" ht="11.25" customHeight="1" x14ac:dyDescent="0.25">
      <c r="A46" s="139"/>
      <c r="B46" s="139"/>
      <c r="C46" s="139"/>
      <c r="D46" s="139"/>
      <c r="E46" s="139"/>
      <c r="F46" s="139"/>
      <c r="G46" s="18" t="s">
        <v>82</v>
      </c>
      <c r="H46" s="18" t="s">
        <v>68</v>
      </c>
      <c r="I46" s="18">
        <f>'MERCADO TUSD'!$U$43</f>
        <v>7.0329999999999995</v>
      </c>
      <c r="J46" s="15"/>
      <c r="L46" s="13">
        <f>'TR TUSD'!$L$46*'TR TUSD'!$L$60</f>
        <v>0</v>
      </c>
      <c r="M46" s="13">
        <f>'TR TUSD'!$M$46*'TR TUSD'!$M$60</f>
        <v>1.3579386744728197</v>
      </c>
      <c r="N46" s="13">
        <f ca="1">'TR TUSD'!$N$46*'TR TUSD'!$N$60</f>
        <v>8.9552205656607953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89.580775441589381</v>
      </c>
      <c r="R46" s="13">
        <f>'TR TUSD'!$R$46*'TR TUSD'!$R$60</f>
        <v>13.852839075591866</v>
      </c>
      <c r="S46" s="13">
        <f>'TR TUSD'!$S$46*'TR TUSD'!$S$60</f>
        <v>0</v>
      </c>
      <c r="T46" s="13">
        <f ca="1">SUM($L$46:$S$46)</f>
        <v>113.74677375731486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220.13150161972879</v>
      </c>
      <c r="Z46" s="13">
        <f>'TR TUSD'!$Z$46</f>
        <v>0</v>
      </c>
      <c r="AA46" s="13">
        <f>'TR TUSD'!$AA$46</f>
        <v>0</v>
      </c>
      <c r="AB46" s="13">
        <f>SUM($U$46:$AA$46)</f>
        <v>220.13150161972879</v>
      </c>
      <c r="AC46" s="13">
        <f>'TR TUSD'!$AC$46*'TR TUSD'!$AC$60</f>
        <v>545.77489019586233</v>
      </c>
      <c r="AD46" s="13">
        <f>SUM($AC$46:$AC$46)</f>
        <v>545.77489019586233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18.934572208317622</v>
      </c>
      <c r="AI46" s="13">
        <f>'TR TUSD'!$AI$46*'TR TUSD'!$AI$60</f>
        <v>0</v>
      </c>
      <c r="AJ46" s="13">
        <f ca="1">'TR TUSD'!$AJ$46*'TR TUSD'!$AJ$60</f>
        <v>1.4865991309868904</v>
      </c>
      <c r="AK46" s="13">
        <f ca="1">'TR TUSD'!$AK$46*'TR TUSD'!$AK$60</f>
        <v>0.4583229612578808</v>
      </c>
      <c r="AL46" s="13">
        <f ca="1">SUM($AH$46:$AK$46)</f>
        <v>20.879494300562392</v>
      </c>
      <c r="AM46" s="13">
        <f ca="1">SUMIF($L$4:$AL$4,"SUBTOTAL",$L$46:$AL$46)</f>
        <v>900.53265987346845</v>
      </c>
      <c r="AP46" s="13">
        <f>IF((1 - CUSTOS!$M$31)&lt;&gt;0,1/(1 - CUSTOS!$M$31),1)</f>
        <v>1</v>
      </c>
    </row>
    <row r="47" spans="1:42" ht="11.25" customHeight="1" x14ac:dyDescent="0.25">
      <c r="A47" s="139"/>
      <c r="B47" s="139"/>
      <c r="C47" s="139"/>
      <c r="D47" s="139"/>
      <c r="E47" s="139"/>
      <c r="F47" s="139"/>
      <c r="G47" s="18" t="s">
        <v>70</v>
      </c>
      <c r="H47" s="18" t="s">
        <v>68</v>
      </c>
      <c r="I47" s="18">
        <f>'MERCADO TUSD'!$U$44</f>
        <v>183.905</v>
      </c>
      <c r="J47" s="15"/>
      <c r="L47" s="13">
        <f>'TR TUSD'!$L$47*'TR TUSD'!$L$60</f>
        <v>0</v>
      </c>
      <c r="M47" s="13">
        <f>'TR TUSD'!$M$47*'TR TUSD'!$M$60</f>
        <v>1.3579386744728197</v>
      </c>
      <c r="N47" s="13">
        <f ca="1">'TR TUSD'!$N$47*'TR TUSD'!$N$60</f>
        <v>3.3440507987165855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89.580775441589381</v>
      </c>
      <c r="R47" s="13">
        <f>'TR TUSD'!$R$47*'TR TUSD'!$R$60</f>
        <v>13.852839075591866</v>
      </c>
      <c r="S47" s="13">
        <f>'TR TUSD'!$S$47*'TR TUSD'!$S$60</f>
        <v>0</v>
      </c>
      <c r="T47" s="13">
        <f ca="1">SUM($L$47:$S$47)</f>
        <v>108.13560399037064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73.377124555177886</v>
      </c>
      <c r="Z47" s="13">
        <f>'TR TUSD'!$Z$47</f>
        <v>0</v>
      </c>
      <c r="AA47" s="13">
        <f>'TR TUSD'!$AA$47</f>
        <v>0</v>
      </c>
      <c r="AB47" s="13">
        <f>SUM($U$47:$AA$47)</f>
        <v>73.377124555177886</v>
      </c>
      <c r="AC47" s="13">
        <f>'TR TUSD'!$AC$47*'TR TUSD'!$AC$60</f>
        <v>181.92496339862075</v>
      </c>
      <c r="AD47" s="13">
        <f>SUM($AC$47:$AC$47)</f>
        <v>181.92496339862075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18.934572208317622</v>
      </c>
      <c r="AI47" s="13">
        <f>'TR TUSD'!$AI$47*'TR TUSD'!$AI$60</f>
        <v>0</v>
      </c>
      <c r="AJ47" s="13">
        <f ca="1">'TR TUSD'!$AJ$47*'TR TUSD'!$AJ$60</f>
        <v>1.4865991309868904</v>
      </c>
      <c r="AK47" s="13">
        <f ca="1">'TR TUSD'!$AK$47*'TR TUSD'!$AK$60</f>
        <v>0.4583229612578808</v>
      </c>
      <c r="AL47" s="13">
        <f ca="1">SUM($AH$47:$AK$47)</f>
        <v>20.879494300562392</v>
      </c>
      <c r="AM47" s="13">
        <f ca="1">SUMIF($L$4:$AL$4,"SUBTOTAL",$L$47:$AL$47)</f>
        <v>384.31718624473166</v>
      </c>
      <c r="AP47" s="13">
        <f>IF((1 - CUSTOS!$M$31)&lt;&gt;0,1/(1 - CUSTOS!$M$31),1)</f>
        <v>1</v>
      </c>
    </row>
    <row r="48" spans="1:42" ht="11.25" customHeight="1" x14ac:dyDescent="0.25">
      <c r="A48" s="13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4632.741</v>
      </c>
      <c r="J48" s="15"/>
      <c r="L48" s="13">
        <f>'TR TUSD'!$L$48*'TR TUSD'!$L$60</f>
        <v>0</v>
      </c>
      <c r="M48" s="13">
        <f>'TR TUSD'!$M$48*'TR TUSD'!$M$60</f>
        <v>1.3579386744728197</v>
      </c>
      <c r="N48" s="13">
        <f ca="1">'TR TUSD'!$N$48*'TR TUSD'!$N$60</f>
        <v>4.3297971605062271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89.580775441589381</v>
      </c>
      <c r="R48" s="13">
        <f>'TR TUSD'!$R$48*'TR TUSD'!$R$60</f>
        <v>13.852839075591866</v>
      </c>
      <c r="S48" s="13">
        <f>'TR TUSD'!$S$48*'TR TUSD'!$S$60</f>
        <v>0</v>
      </c>
      <c r="T48" s="13">
        <f ca="1">SUM($L$48:$S$48)</f>
        <v>109.12135035216031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99.158359423231815</v>
      </c>
      <c r="Z48" s="13">
        <f>'TR TUSD'!$Z$48</f>
        <v>0</v>
      </c>
      <c r="AA48" s="13">
        <f>'TR TUSD'!$AA$48</f>
        <v>0</v>
      </c>
      <c r="AB48" s="13">
        <f>SUM($U$48:$AA$48)</f>
        <v>99.158359423231815</v>
      </c>
      <c r="AC48" s="13">
        <f>'TR TUSD'!$AC$48*'TR TUSD'!$AC$60</f>
        <v>245.84452152395534</v>
      </c>
      <c r="AD48" s="13">
        <f>SUM($AC$48:$AC$48)</f>
        <v>245.84452152395534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18.934572208317622</v>
      </c>
      <c r="AI48" s="13">
        <f>'TR TUSD'!$AI$48*'TR TUSD'!$AI$60</f>
        <v>0</v>
      </c>
      <c r="AJ48" s="13">
        <f ca="1">'TR TUSD'!$AJ$48*'TR TUSD'!$AJ$60</f>
        <v>1.4865991309868904</v>
      </c>
      <c r="AK48" s="13">
        <f ca="1">'TR TUSD'!$AK$48*'TR TUSD'!$AK$60</f>
        <v>0.4583229612578808</v>
      </c>
      <c r="AL48" s="13">
        <f ca="1">SUM($AH$48:$AK$48)</f>
        <v>20.879494300562392</v>
      </c>
      <c r="AM48" s="13">
        <f ca="1">SUMIF($L$4:$AL$4,"SUBTOTAL",$L$48:$AL$48)</f>
        <v>475.00372559990984</v>
      </c>
      <c r="AP48" s="13">
        <f>IF((1 - CUSTOS!$M$31)&lt;&gt;0,1/(1 - CUSTOS!$M$31),1)</f>
        <v>1</v>
      </c>
    </row>
    <row r="49" spans="1:42" ht="11.25" customHeight="1" x14ac:dyDescent="0.25">
      <c r="A49" s="139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1.3579386744728197</v>
      </c>
      <c r="N49" s="13">
        <f ca="1">'TR TUSD'!$N$49*'TR TUSD'!$N$60</f>
        <v>4.3297971605062271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89.580775441589381</v>
      </c>
      <c r="R49" s="13">
        <f>'TR TUSD'!$R$49*'TR TUSD'!$R$60</f>
        <v>13.852839075591866</v>
      </c>
      <c r="S49" s="13">
        <f>'TR TUSD'!$S$49*'TR TUSD'!$S$60</f>
        <v>0</v>
      </c>
      <c r="T49" s="13">
        <f ca="1">SUM($L$49:$S$49)</f>
        <v>109.12135035216031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99.158359423231815</v>
      </c>
      <c r="Z49" s="13">
        <f>'TR TUSD'!$Z$49</f>
        <v>0</v>
      </c>
      <c r="AA49" s="13">
        <f>'TR TUSD'!$AA$49</f>
        <v>0</v>
      </c>
      <c r="AB49" s="13">
        <f>SUM($U$49:$AA$49)</f>
        <v>99.158359423231815</v>
      </c>
      <c r="AC49" s="13">
        <f>'TR TUSD'!$AC$49*'TR TUSD'!$AC$60</f>
        <v>245.84452152395534</v>
      </c>
      <c r="AD49" s="13">
        <f>SUM($AC$49:$AC$49)</f>
        <v>245.84452152395534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18.934572208317622</v>
      </c>
      <c r="AI49" s="13">
        <f>'TR TUSD'!$AI$49*'TR TUSD'!$AI$60</f>
        <v>0</v>
      </c>
      <c r="AJ49" s="13">
        <f ca="1">'TR TUSD'!$AJ$49*'TR TUSD'!$AJ$60</f>
        <v>1.4865991309868904</v>
      </c>
      <c r="AK49" s="13">
        <f ca="1">'TR TUSD'!$AK$49*'TR TUSD'!$AK$60</f>
        <v>0.4583229612578808</v>
      </c>
      <c r="AL49" s="13">
        <f ca="1">SUM($AH$49:$AK$49)</f>
        <v>20.879494300562392</v>
      </c>
      <c r="AM49" s="13">
        <f ca="1">SUMIF($L$4:$AL$4,"SUBTOTAL",$L$49:$AL$49)</f>
        <v>475.00372559990984</v>
      </c>
      <c r="AP49" s="13">
        <f>IF((1 - CUSTOS!$M$31)&lt;&gt;0,1/(1 - CUSTOS!$M$31),1)</f>
        <v>1</v>
      </c>
    </row>
    <row r="50" spans="1:42" ht="11.25" customHeight="1" x14ac:dyDescent="0.25">
      <c r="A50" s="139" t="s">
        <v>44</v>
      </c>
      <c r="B50" s="139" t="s">
        <v>23</v>
      </c>
      <c r="C50" s="139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356.69600000000003</v>
      </c>
      <c r="J50" s="15"/>
      <c r="L50" s="13">
        <f>'TR TUSD'!$L$50*'TR TUSD'!$L$60</f>
        <v>0</v>
      </c>
      <c r="M50" s="13">
        <f>'TR TUSD'!$M$50*'TR TUSD'!$M$60</f>
        <v>0.74686627096005098</v>
      </c>
      <c r="N50" s="13">
        <f ca="1">'TR TUSD'!$N$50*'TR TUSD'!$N$60</f>
        <v>2.3813884382784254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49.26942649287416</v>
      </c>
      <c r="R50" s="13">
        <f>'TR TUSD'!$R$50*'TR TUSD'!$R$60</f>
        <v>7.6190614915755273</v>
      </c>
      <c r="S50" s="13">
        <f>'TR TUSD'!$S$50*'TR TUSD'!$S$60</f>
        <v>0</v>
      </c>
      <c r="T50" s="13">
        <f ca="1">SUM($L$50:$S$50)</f>
        <v>60.016742693688165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54.5370976827775</v>
      </c>
      <c r="Z50" s="13">
        <f>'TR TUSD'!$Z$50</f>
        <v>0</v>
      </c>
      <c r="AA50" s="13">
        <f>'TR TUSD'!$AA$50</f>
        <v>0</v>
      </c>
      <c r="AB50" s="13">
        <f>SUM($U$50:$AA$50)</f>
        <v>54.5370976827775</v>
      </c>
      <c r="AC50" s="13">
        <f>'TR TUSD'!$AC$50*'TR TUSD'!$AC$60</f>
        <v>135.21448683817545</v>
      </c>
      <c r="AD50" s="13">
        <f>SUM($AC$50:$AC$50)</f>
        <v>135.21448683817545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10.414014714574693</v>
      </c>
      <c r="AI50" s="13">
        <f>'TR TUSD'!$AI$50*'TR TUSD'!$AI$60</f>
        <v>0</v>
      </c>
      <c r="AJ50" s="13">
        <f ca="1">'TR TUSD'!$AJ$50*'TR TUSD'!$AJ$60</f>
        <v>0.81762952204278982</v>
      </c>
      <c r="AK50" s="13">
        <f ca="1">'TR TUSD'!$AK$50*'TR TUSD'!$AK$60</f>
        <v>0.25207762869183448</v>
      </c>
      <c r="AL50" s="13">
        <f ca="1">SUM($AH$50:$AK$50)</f>
        <v>11.483721865309317</v>
      </c>
      <c r="AM50" s="13">
        <f ca="1">SUMIF($L$4:$AL$4,"SUBTOTAL",$L$50:$AL$50)</f>
        <v>261.25204907995044</v>
      </c>
      <c r="AP50" s="13">
        <f>IF((1 - CUSTOS!$M$32)&lt;&gt;0,1/(1 - CUSTOS!$M$32),1)</f>
        <v>1.8181818181818181</v>
      </c>
    </row>
    <row r="51" spans="1:42" ht="11.25" customHeight="1" x14ac:dyDescent="0.25">
      <c r="A51" s="139"/>
      <c r="B51" s="139"/>
      <c r="C51" s="139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'TR TUSD'!$L$51*'TR TUSD'!$L$60</f>
        <v>0</v>
      </c>
      <c r="M51" s="13">
        <f>'TR TUSD'!$M$51*'TR TUSD'!$M$60</f>
        <v>0.8147632046836919</v>
      </c>
      <c r="N51" s="13">
        <f ca="1">'TR TUSD'!$N$51*'TR TUSD'!$N$60</f>
        <v>2.5978782963037368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53.74846526495363</v>
      </c>
      <c r="R51" s="13">
        <f>'TR TUSD'!$R$51*'TR TUSD'!$R$60</f>
        <v>8.3117034453551195</v>
      </c>
      <c r="S51" s="13">
        <f>'TR TUSD'!$S$51*'TR TUSD'!$S$60</f>
        <v>0</v>
      </c>
      <c r="T51" s="13">
        <f ca="1">SUM($L$51:$S$51)</f>
        <v>65.472810211296178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59.495015653939085</v>
      </c>
      <c r="Z51" s="13">
        <f>'TR TUSD'!$Z$51</f>
        <v>0</v>
      </c>
      <c r="AA51" s="13">
        <f>'TR TUSD'!$AA$51</f>
        <v>0</v>
      </c>
      <c r="AB51" s="13">
        <f>SUM($U$51:$AA$51)</f>
        <v>59.495015653939085</v>
      </c>
      <c r="AC51" s="13">
        <f>'TR TUSD'!$AC$51*'TR TUSD'!$AC$60</f>
        <v>147.5067129143732</v>
      </c>
      <c r="AD51" s="13">
        <f>SUM($AC$51:$AC$51)</f>
        <v>147.5067129143732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11.360743324990572</v>
      </c>
      <c r="AI51" s="13">
        <f>'TR TUSD'!$AI$51*'TR TUSD'!$AI$60</f>
        <v>0</v>
      </c>
      <c r="AJ51" s="13">
        <f ca="1">'TR TUSD'!$AJ$51*'TR TUSD'!$AJ$60</f>
        <v>0.8919594785921342</v>
      </c>
      <c r="AK51" s="13">
        <f ca="1">'TR TUSD'!$AK$51*'TR TUSD'!$AK$60</f>
        <v>0.27499377675472847</v>
      </c>
      <c r="AL51" s="13">
        <f ca="1">SUM($AH$51:$AK$51)</f>
        <v>12.527696580337436</v>
      </c>
      <c r="AM51" s="13">
        <f ca="1">SUMIF($L$4:$AL$4,"SUBTOTAL",$L$51:$AL$51)</f>
        <v>285.00223535994587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529</v>
      </c>
      <c r="L53" s="13">
        <f>SUMPRODUCT($I$5:$I51,$L$5:$L51)</f>
        <v>0</v>
      </c>
      <c r="M53" s="13">
        <f>SUMPRODUCT($I$5:$I51,$M$5:$M51)</f>
        <v>19438.38955486341</v>
      </c>
      <c r="N53" s="13">
        <f ca="1">SUMPRODUCT($I$5:$I51,$N$5:$N51)</f>
        <v>62873.272518088714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1702303.4434674436</v>
      </c>
      <c r="R53" s="13">
        <f>SUMPRODUCT($I$5:$I51,$R$5:$R51)</f>
        <v>282487.42412703932</v>
      </c>
      <c r="S53" s="13">
        <f>SUMPRODUCT($I$5:$I51,$S$5:$S51)</f>
        <v>0</v>
      </c>
      <c r="T53" s="13">
        <f ca="1">SUMPRODUCT($I$5:$I51,$T$5:$T51)</f>
        <v>2067102.529667435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2132832.0699600005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2132832.0699600005</v>
      </c>
      <c r="AC53" s="13">
        <f>SUMPRODUCT($I$5:$I51,$AC$5:$AC51)</f>
        <v>3514906.6439787196</v>
      </c>
      <c r="AD53" s="13">
        <f>SUMPRODUCT($I$5:$I51,$AD$5:$AD51)</f>
        <v>3514906.6439787196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252579.93320726304</v>
      </c>
      <c r="AI53" s="13">
        <f>SUMPRODUCT($I$5:$I51,$AI$5:$AI51)</f>
        <v>0</v>
      </c>
      <c r="AJ53" s="13">
        <f ca="1">SUMPRODUCT($I$5:$I51,$AJ$5:$AJ51)</f>
        <v>25510.410319474628</v>
      </c>
      <c r="AK53" s="13">
        <f ca="1">SUMPRODUCT($I$5:$I51,$AK$5:$AK51)</f>
        <v>7864.9358504356042</v>
      </c>
      <c r="AL53" s="13">
        <f ca="1">SUMPRODUCT($I$5:$I51,$AL$5:$AL51)</f>
        <v>285955.27937717317</v>
      </c>
      <c r="AM53" s="13">
        <f ca="1">SUMPRODUCT($I$5:$I51,$AM$5:$AM51)</f>
        <v>8000796.5229833303</v>
      </c>
    </row>
    <row r="54" spans="1:42" ht="11.25" customHeight="1" x14ac:dyDescent="0.25">
      <c r="K54" s="16" t="s">
        <v>461</v>
      </c>
      <c r="L54" s="13">
        <f>'TR TUSD'!$L$56</f>
        <v>0</v>
      </c>
      <c r="M54" s="13">
        <f>'TR TUSD'!$M$56</f>
        <v>19438.38955486341</v>
      </c>
      <c r="N54" s="13">
        <f>'TR TUSD'!$N$56</f>
        <v>62873.272518088721</v>
      </c>
      <c r="O54" s="13">
        <f>'TR TUSD'!$O$56</f>
        <v>0</v>
      </c>
      <c r="P54" s="13">
        <f>'TR TUSD'!$P$56</f>
        <v>0</v>
      </c>
      <c r="Q54" s="13">
        <f>'TR TUSD'!$Q$56</f>
        <v>1702303.4434674436</v>
      </c>
      <c r="R54" s="13">
        <f>'TR TUSD'!$R$56</f>
        <v>282487.42412703927</v>
      </c>
      <c r="S54" s="13">
        <f>'TR TUSD'!$S$56</f>
        <v>0</v>
      </c>
      <c r="T54" s="13">
        <f>'TR TUSD'!$T$56</f>
        <v>2067102.529667435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2132832.06996</v>
      </c>
      <c r="Z54" s="13">
        <f>'TR TUSD'!$Z$56</f>
        <v>0</v>
      </c>
      <c r="AA54" s="13">
        <f>'TR TUSD'!$AA$56</f>
        <v>0</v>
      </c>
      <c r="AB54" s="13">
        <f>'TR TUSD'!$AB$56</f>
        <v>2132832.06996</v>
      </c>
      <c r="AC54" s="13">
        <f>'TR TUSD'!$AC$56</f>
        <v>3514906.6439787205</v>
      </c>
      <c r="AD54" s="13">
        <f>'TR TUSD'!$AD$56</f>
        <v>3514906.6439787205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252579.93320726309</v>
      </c>
      <c r="AI54" s="13">
        <f>'TR TUSD'!$AI$56</f>
        <v>0</v>
      </c>
      <c r="AJ54" s="13">
        <f>'TR TUSD'!$AJ$56</f>
        <v>25510.410319474628</v>
      </c>
      <c r="AK54" s="13">
        <f>'TR TUSD'!$AK$56</f>
        <v>7864.935850435606</v>
      </c>
      <c r="AL54" s="13">
        <f>'TR TUSD'!$AL$56</f>
        <v>285955.27937717328</v>
      </c>
      <c r="AM54" s="13">
        <f>CUSTOS!$D$29</f>
        <v>8000796.5229833294</v>
      </c>
    </row>
    <row r="55" spans="1:42" ht="11.25" customHeight="1" x14ac:dyDescent="0.25">
      <c r="K55" s="16" t="s">
        <v>462</v>
      </c>
      <c r="L55" s="13">
        <f>CUSTOS!$E$2</f>
        <v>0</v>
      </c>
      <c r="M55" s="13">
        <f>CUSTOS!$E$3</f>
        <v>-605.2669514483473</v>
      </c>
      <c r="N55" s="13">
        <f>CUSTOS!$E$4</f>
        <v>3.3834428704921385E-2</v>
      </c>
      <c r="O55" s="13">
        <f>CUSTOS!$E$5</f>
        <v>0</v>
      </c>
      <c r="P55" s="13">
        <f>CUSTOS!$E$6</f>
        <v>0</v>
      </c>
      <c r="Q55" s="13">
        <f>CUSTOS!$E$7</f>
        <v>-49197.963101249363</v>
      </c>
      <c r="R55" s="13">
        <f>CUSTOS!$E$8</f>
        <v>-8721.5821381477435</v>
      </c>
      <c r="S55" s="13">
        <f>CUSTOS!$E$9</f>
        <v>0</v>
      </c>
      <c r="T55" s="13">
        <f>CUSTOS!$E$10</f>
        <v>-58524.778356416748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-56662.602195281324</v>
      </c>
      <c r="Z55" s="13">
        <f>CUSTOS!$E$16</f>
        <v>0</v>
      </c>
      <c r="AA55" s="13">
        <f>CUSTOS!$E$17</f>
        <v>0</v>
      </c>
      <c r="AB55" s="13">
        <f>CUSTOS!$E$18</f>
        <v>-56662.602195281324</v>
      </c>
      <c r="AC55" s="13">
        <f>CUSTOS!$E$19</f>
        <v>0</v>
      </c>
      <c r="AD55" s="13">
        <f>CUSTOS!$E$20</f>
        <v>0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6955.1173179812113</v>
      </c>
      <c r="AI55" s="13">
        <f>CUSTOS!$E$25</f>
        <v>0</v>
      </c>
      <c r="AJ55" s="13">
        <f>CUSTOS!$E$26</f>
        <v>702.46236250363586</v>
      </c>
      <c r="AK55" s="13">
        <f>CUSTOS!$E$27</f>
        <v>330.6146778908705</v>
      </c>
      <c r="AL55" s="13">
        <f>CUSTOS!$E$28</f>
        <v>7988.1943583757175</v>
      </c>
      <c r="AM55" s="13">
        <f>CUSTOS!$E$29</f>
        <v>-107199.18619332234</v>
      </c>
    </row>
    <row r="56" spans="1:42" ht="11.25" customHeight="1" x14ac:dyDescent="0.25">
      <c r="K56" s="16" t="s">
        <v>463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373798.43119999999</v>
      </c>
      <c r="R56" s="13">
        <f>CUSTOS!$F$8</f>
        <v>76622.522500000006</v>
      </c>
      <c r="S56" s="13">
        <f>CUSTOS!$F$9</f>
        <v>0</v>
      </c>
      <c r="T56" s="13">
        <f>CUSTOS!$F$10</f>
        <v>450420.95370000001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-2712.6759334384456</v>
      </c>
      <c r="AI56" s="13">
        <f>CUSTOS!$F$25</f>
        <v>0</v>
      </c>
      <c r="AJ56" s="13">
        <f>CUSTOS!$F$26</f>
        <v>-273.97851938219083</v>
      </c>
      <c r="AK56" s="13">
        <f>CUSTOS!$F$27</f>
        <v>0</v>
      </c>
      <c r="AL56" s="13">
        <f>CUSTOS!$F$28</f>
        <v>-2986.6544528206364</v>
      </c>
      <c r="AM56" s="13">
        <f>CUSTOS!$F$29</f>
        <v>447434.29924717936</v>
      </c>
    </row>
    <row r="57" spans="1:42" ht="11.25" customHeight="1" x14ac:dyDescent="0.25">
      <c r="K57" s="16" t="s">
        <v>526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530</v>
      </c>
      <c r="L58" s="13">
        <f t="shared" ref="L58:R58" si="0">IF((L53-(0))&lt;&gt;0,(L55)/(L53-(0)),0)</f>
        <v>0</v>
      </c>
      <c r="M58" s="13">
        <f t="shared" si="0"/>
        <v>-3.113771075222185E-2</v>
      </c>
      <c r="N58" s="13">
        <f t="shared" ca="1" si="0"/>
        <v>5.3813691175669566E-7</v>
      </c>
      <c r="O58" s="13">
        <f t="shared" si="0"/>
        <v>0</v>
      </c>
      <c r="P58" s="13">
        <f t="shared" si="0"/>
        <v>0</v>
      </c>
      <c r="Q58" s="13">
        <f t="shared" si="0"/>
        <v>-2.8900818646667017E-2</v>
      </c>
      <c r="R58" s="13">
        <f t="shared" si="0"/>
        <v>-3.0874231534730203E-2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-2.6566837114533816E-2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2.7536301992264579E-2</v>
      </c>
      <c r="AI58" s="13">
        <f>IF((AI53-(0))&lt;&gt;0,(AI55)/(AI53-(0)),0)</f>
        <v>0</v>
      </c>
      <c r="AJ58" s="13">
        <f ca="1">IF((AJ53-(0))&lt;&gt;0,(AJ55)/(AJ53-(0)),0)</f>
        <v>2.7536301992264572E-2</v>
      </c>
      <c r="AK58" s="13">
        <f ca="1">IF((AK53-(0))&lt;&gt;0,(AK55)/(AK53-(0)),0)</f>
        <v>4.2036538400063266E-2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77" priority="55" operator="notEqual">
      <formula>$L$54-$L$57</formula>
    </cfRule>
    <cfRule type="cellIs" dxfId="976" priority="56" operator="equal">
      <formula>$L$54-$L$57</formula>
    </cfRule>
  </conditionalFormatting>
  <conditionalFormatting sqref="M53">
    <cfRule type="cellIs" dxfId="975" priority="53" operator="notEqual">
      <formula>$M$54-$M$57</formula>
    </cfRule>
    <cfRule type="cellIs" dxfId="974" priority="54" operator="equal">
      <formula>$M$54-$M$57</formula>
    </cfRule>
  </conditionalFormatting>
  <conditionalFormatting sqref="N53">
    <cfRule type="cellIs" dxfId="973" priority="51" operator="notEqual">
      <formula>$N$54-$N$57</formula>
    </cfRule>
    <cfRule type="cellIs" dxfId="972" priority="52" operator="equal">
      <formula>$N$54-$N$57</formula>
    </cfRule>
  </conditionalFormatting>
  <conditionalFormatting sqref="O53">
    <cfRule type="cellIs" dxfId="971" priority="49" operator="notEqual">
      <formula>$O$54-$O$57</formula>
    </cfRule>
    <cfRule type="cellIs" dxfId="970" priority="50" operator="equal">
      <formula>$O$54-$O$57</formula>
    </cfRule>
  </conditionalFormatting>
  <conditionalFormatting sqref="P53">
    <cfRule type="cellIs" dxfId="969" priority="47" operator="notEqual">
      <formula>$P$54-$P$57</formula>
    </cfRule>
    <cfRule type="cellIs" dxfId="968" priority="48" operator="equal">
      <formula>$P$54-$P$57</formula>
    </cfRule>
  </conditionalFormatting>
  <conditionalFormatting sqref="Q53">
    <cfRule type="cellIs" dxfId="967" priority="45" operator="notEqual">
      <formula>$Q$54-$Q$57</formula>
    </cfRule>
    <cfRule type="cellIs" dxfId="966" priority="46" operator="equal">
      <formula>$Q$54-$Q$57</formula>
    </cfRule>
  </conditionalFormatting>
  <conditionalFormatting sqref="R53">
    <cfRule type="cellIs" dxfId="965" priority="43" operator="notEqual">
      <formula>$R$54-$R$57</formula>
    </cfRule>
    <cfRule type="cellIs" dxfId="964" priority="44" operator="equal">
      <formula>$R$54-$R$57</formula>
    </cfRule>
  </conditionalFormatting>
  <conditionalFormatting sqref="S53">
    <cfRule type="cellIs" dxfId="963" priority="41" operator="notEqual">
      <formula>$S$54-$S$57</formula>
    </cfRule>
    <cfRule type="cellIs" dxfId="962" priority="42" operator="equal">
      <formula>$S$54-$S$57</formula>
    </cfRule>
  </conditionalFormatting>
  <conditionalFormatting sqref="T53">
    <cfRule type="cellIs" dxfId="961" priority="39" operator="notEqual">
      <formula>$T$54-$T$57</formula>
    </cfRule>
    <cfRule type="cellIs" dxfId="960" priority="40" operator="equal">
      <formula>$T$54-$T$57</formula>
    </cfRule>
  </conditionalFormatting>
  <conditionalFormatting sqref="U53">
    <cfRule type="cellIs" dxfId="959" priority="37" operator="notEqual">
      <formula>$U$54-$U$57</formula>
    </cfRule>
    <cfRule type="cellIs" dxfId="958" priority="38" operator="equal">
      <formula>$U$54-$U$57</formula>
    </cfRule>
  </conditionalFormatting>
  <conditionalFormatting sqref="V53">
    <cfRule type="cellIs" dxfId="957" priority="35" operator="notEqual">
      <formula>$V$54-$V$57</formula>
    </cfRule>
    <cfRule type="cellIs" dxfId="956" priority="36" operator="equal">
      <formula>$V$54-$V$57</formula>
    </cfRule>
  </conditionalFormatting>
  <conditionalFormatting sqref="W53">
    <cfRule type="cellIs" dxfId="955" priority="33" operator="notEqual">
      <formula>$W$54-$W$57</formula>
    </cfRule>
    <cfRule type="cellIs" dxfId="954" priority="34" operator="equal">
      <formula>$W$54-$W$57</formula>
    </cfRule>
  </conditionalFormatting>
  <conditionalFormatting sqref="X53">
    <cfRule type="cellIs" dxfId="953" priority="31" operator="notEqual">
      <formula>$X$54-$X$57</formula>
    </cfRule>
    <cfRule type="cellIs" dxfId="952" priority="32" operator="equal">
      <formula>$X$54-$X$57</formula>
    </cfRule>
  </conditionalFormatting>
  <conditionalFormatting sqref="Y53">
    <cfRule type="cellIs" dxfId="951" priority="29" operator="notEqual">
      <formula>$Y$54-$Y$57</formula>
    </cfRule>
    <cfRule type="cellIs" dxfId="950" priority="30" operator="equal">
      <formula>$Y$54-$Y$57</formula>
    </cfRule>
  </conditionalFormatting>
  <conditionalFormatting sqref="Z53">
    <cfRule type="cellIs" dxfId="949" priority="27" operator="notEqual">
      <formula>$Z$54-$Z$57</formula>
    </cfRule>
    <cfRule type="cellIs" dxfId="948" priority="28" operator="equal">
      <formula>$Z$54-$Z$57</formula>
    </cfRule>
  </conditionalFormatting>
  <conditionalFormatting sqref="AA53">
    <cfRule type="cellIs" dxfId="947" priority="25" operator="notEqual">
      <formula>$AA$54-$AA$57</formula>
    </cfRule>
    <cfRule type="cellIs" dxfId="946" priority="26" operator="equal">
      <formula>$AA$54-$AA$57</formula>
    </cfRule>
  </conditionalFormatting>
  <conditionalFormatting sqref="AB53">
    <cfRule type="cellIs" dxfId="945" priority="23" operator="notEqual">
      <formula>$AB$54-$AB$57</formula>
    </cfRule>
    <cfRule type="cellIs" dxfId="944" priority="24" operator="equal">
      <formula>$AB$54-$AB$57</formula>
    </cfRule>
  </conditionalFormatting>
  <conditionalFormatting sqref="AC53">
    <cfRule type="cellIs" dxfId="943" priority="21" operator="notEqual">
      <formula>$AC$54-$AC$57</formula>
    </cfRule>
    <cfRule type="cellIs" dxfId="942" priority="22" operator="equal">
      <formula>$AC$54-$AC$57</formula>
    </cfRule>
  </conditionalFormatting>
  <conditionalFormatting sqref="AD53">
    <cfRule type="cellIs" dxfId="941" priority="19" operator="notEqual">
      <formula>$AD$54-$AD$57</formula>
    </cfRule>
    <cfRule type="cellIs" dxfId="940" priority="20" operator="equal">
      <formula>$AD$54-$AD$57</formula>
    </cfRule>
  </conditionalFormatting>
  <conditionalFormatting sqref="AE53">
    <cfRule type="cellIs" dxfId="939" priority="17" operator="notEqual">
      <formula>$AE$54-$AE$57</formula>
    </cfRule>
    <cfRule type="cellIs" dxfId="938" priority="18" operator="equal">
      <formula>$AE$54-$AE$57</formula>
    </cfRule>
  </conditionalFormatting>
  <conditionalFormatting sqref="AF53">
    <cfRule type="cellIs" dxfId="937" priority="16" operator="equal">
      <formula>$AF$54-$AF$57</formula>
    </cfRule>
  </conditionalFormatting>
  <conditionalFormatting sqref="AF53">
    <cfRule type="cellIs" dxfId="936" priority="15" operator="notEqual">
      <formula>$AF$54-$AF$57</formula>
    </cfRule>
  </conditionalFormatting>
  <conditionalFormatting sqref="AG53">
    <cfRule type="cellIs" dxfId="935" priority="14" operator="equal">
      <formula>$AG$54-$AG$57</formula>
    </cfRule>
  </conditionalFormatting>
  <conditionalFormatting sqref="AG53">
    <cfRule type="cellIs" dxfId="934" priority="13" operator="notEqual">
      <formula>$AG$54-$AG$57</formula>
    </cfRule>
  </conditionalFormatting>
  <conditionalFormatting sqref="AH53">
    <cfRule type="cellIs" dxfId="933" priority="12" operator="equal">
      <formula>$AH$54-$AH$57</formula>
    </cfRule>
  </conditionalFormatting>
  <conditionalFormatting sqref="AH53">
    <cfRule type="cellIs" dxfId="932" priority="11" operator="notEqual">
      <formula>$AH$54-$AH$57</formula>
    </cfRule>
  </conditionalFormatting>
  <conditionalFormatting sqref="AI53">
    <cfRule type="cellIs" dxfId="931" priority="10" operator="equal">
      <formula>$AI$54-$AI$57</formula>
    </cfRule>
  </conditionalFormatting>
  <conditionalFormatting sqref="AI53">
    <cfRule type="cellIs" dxfId="930" priority="9" operator="notEqual">
      <formula>$AI$54-$AI$57</formula>
    </cfRule>
  </conditionalFormatting>
  <conditionalFormatting sqref="AJ53">
    <cfRule type="cellIs" dxfId="929" priority="8" operator="equal">
      <formula>$AJ$54-$AJ$57</formula>
    </cfRule>
  </conditionalFormatting>
  <conditionalFormatting sqref="AJ53">
    <cfRule type="cellIs" dxfId="928" priority="7" operator="notEqual">
      <formula>$AJ$54-$AJ$57</formula>
    </cfRule>
  </conditionalFormatting>
  <conditionalFormatting sqref="AK53">
    <cfRule type="cellIs" dxfId="927" priority="6" operator="equal">
      <formula>$AK$54-$AK$57</formula>
    </cfRule>
  </conditionalFormatting>
  <conditionalFormatting sqref="AK53">
    <cfRule type="cellIs" dxfId="926" priority="5" operator="notEqual">
      <formula>$AK$54-$AK$57</formula>
    </cfRule>
  </conditionalFormatting>
  <conditionalFormatting sqref="AL53">
    <cfRule type="cellIs" dxfId="925" priority="4" operator="equal">
      <formula>$AL$54-$AL$57</formula>
    </cfRule>
  </conditionalFormatting>
  <conditionalFormatting sqref="AL53">
    <cfRule type="cellIs" dxfId="924" priority="3" operator="notEqual">
      <formula>$AL$54-$AL$57</formula>
    </cfRule>
  </conditionalFormatting>
  <conditionalFormatting sqref="AM53">
    <cfRule type="cellIs" dxfId="923" priority="2" operator="equal">
      <formula>$AM$54-$AM$57</formula>
    </cfRule>
  </conditionalFormatting>
  <conditionalFormatting sqref="AM53">
    <cfRule type="cellIs" dxfId="922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62B0-C3F5-4FBE-890A-85F64798534D}">
  <sheetPr codeName="Planilha11"/>
  <dimension ref="A1:AP58"/>
  <sheetViews>
    <sheetView showGridLines="0" topLeftCell="AH40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4" width="7.85546875" style="9" bestFit="1" customWidth="1"/>
    <col min="15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7" style="9" bestFit="1" customWidth="1"/>
    <col min="38" max="38" width="9.28515625" style="9" bestFit="1" customWidth="1"/>
    <col min="39" max="39" width="10" style="9" bestFit="1" customWidth="1"/>
    <col min="40" max="40" width="9.140625" style="9"/>
    <col min="41" max="42" width="10.42578125" style="9" bestFit="1" customWidth="1"/>
    <col min="43" max="16384" width="9.140625" style="9"/>
  </cols>
  <sheetData>
    <row r="1" spans="1:42" ht="11.25" customHeight="1" x14ac:dyDescent="0.25">
      <c r="A1" s="140" t="s">
        <v>58</v>
      </c>
      <c r="B1" s="140" t="s">
        <v>59</v>
      </c>
      <c r="C1" s="140" t="s">
        <v>60</v>
      </c>
      <c r="D1" s="140" t="s">
        <v>61</v>
      </c>
      <c r="E1" s="140" t="s">
        <v>62</v>
      </c>
      <c r="F1" s="140" t="s">
        <v>15</v>
      </c>
      <c r="G1" s="140" t="s">
        <v>64</v>
      </c>
      <c r="H1" s="140" t="s">
        <v>65</v>
      </c>
      <c r="I1" s="140" t="s">
        <v>520</v>
      </c>
      <c r="J1" s="128"/>
      <c r="L1" s="141" t="s">
        <v>537</v>
      </c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O1" s="20"/>
      <c r="AP1" s="144" t="s">
        <v>522</v>
      </c>
    </row>
    <row r="2" spans="1:42" ht="11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28"/>
      <c r="L2" s="141" t="s">
        <v>419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O2" s="20"/>
      <c r="AP2" s="145"/>
    </row>
    <row r="3" spans="1:42" ht="11.2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28"/>
      <c r="L3" s="141" t="s">
        <v>420</v>
      </c>
      <c r="M3" s="141"/>
      <c r="N3" s="141"/>
      <c r="O3" s="141"/>
      <c r="P3" s="141"/>
      <c r="Q3" s="141"/>
      <c r="R3" s="141"/>
      <c r="S3" s="141"/>
      <c r="T3" s="141"/>
      <c r="U3" s="141" t="s">
        <v>429</v>
      </c>
      <c r="V3" s="141"/>
      <c r="W3" s="141"/>
      <c r="X3" s="141"/>
      <c r="Y3" s="141"/>
      <c r="Z3" s="141"/>
      <c r="AA3" s="141"/>
      <c r="AB3" s="141"/>
      <c r="AC3" s="141" t="s">
        <v>437</v>
      </c>
      <c r="AD3" s="141"/>
      <c r="AE3" s="141" t="s">
        <v>439</v>
      </c>
      <c r="AF3" s="141"/>
      <c r="AG3" s="141"/>
      <c r="AH3" s="141" t="s">
        <v>442</v>
      </c>
      <c r="AI3" s="141"/>
      <c r="AJ3" s="141"/>
      <c r="AK3" s="141"/>
      <c r="AL3" s="141"/>
      <c r="AM3" s="141" t="s">
        <v>428</v>
      </c>
      <c r="AO3" s="20"/>
      <c r="AP3" s="145"/>
    </row>
    <row r="4" spans="1:42" ht="11.25" customHeight="1" x14ac:dyDescent="0.25">
      <c r="A4" s="140"/>
      <c r="B4" s="140"/>
      <c r="C4" s="140"/>
      <c r="D4" s="140"/>
      <c r="E4" s="140"/>
      <c r="F4" s="140"/>
      <c r="G4" s="140"/>
      <c r="H4" s="140"/>
      <c r="I4" s="140"/>
      <c r="J4" s="128"/>
      <c r="L4" s="10" t="s">
        <v>505</v>
      </c>
      <c r="M4" s="10" t="s">
        <v>421</v>
      </c>
      <c r="N4" s="10" t="s">
        <v>422</v>
      </c>
      <c r="O4" s="10" t="s">
        <v>423</v>
      </c>
      <c r="P4" s="10" t="s">
        <v>424</v>
      </c>
      <c r="Q4" s="10" t="s">
        <v>425</v>
      </c>
      <c r="R4" s="10" t="s">
        <v>426</v>
      </c>
      <c r="S4" s="10" t="s">
        <v>427</v>
      </c>
      <c r="T4" s="10" t="s">
        <v>428</v>
      </c>
      <c r="U4" s="10" t="s">
        <v>430</v>
      </c>
      <c r="V4" s="10" t="s">
        <v>431</v>
      </c>
      <c r="W4" s="10" t="s">
        <v>432</v>
      </c>
      <c r="X4" s="10" t="s">
        <v>433</v>
      </c>
      <c r="Y4" s="10" t="s">
        <v>434</v>
      </c>
      <c r="Z4" s="10" t="s">
        <v>435</v>
      </c>
      <c r="AA4" s="10" t="s">
        <v>436</v>
      </c>
      <c r="AB4" s="10" t="s">
        <v>428</v>
      </c>
      <c r="AC4" s="10" t="s">
        <v>438</v>
      </c>
      <c r="AD4" s="10" t="s">
        <v>428</v>
      </c>
      <c r="AE4" s="10" t="s">
        <v>440</v>
      </c>
      <c r="AF4" s="10" t="s">
        <v>441</v>
      </c>
      <c r="AG4" s="10" t="s">
        <v>428</v>
      </c>
      <c r="AH4" s="10" t="s">
        <v>443</v>
      </c>
      <c r="AI4" s="10" t="s">
        <v>444</v>
      </c>
      <c r="AJ4" s="10" t="s">
        <v>445</v>
      </c>
      <c r="AK4" s="10" t="s">
        <v>446</v>
      </c>
      <c r="AL4" s="10" t="s">
        <v>428</v>
      </c>
      <c r="AM4" s="143"/>
      <c r="AO4" s="21" t="s">
        <v>539</v>
      </c>
      <c r="AP4" s="146"/>
    </row>
    <row r="5" spans="1:42" ht="11.25" customHeight="1" x14ac:dyDescent="0.25">
      <c r="A5" s="139" t="s">
        <v>34</v>
      </c>
      <c r="B5" s="139" t="s">
        <v>73</v>
      </c>
      <c r="C5" s="139" t="s">
        <v>25</v>
      </c>
      <c r="D5" s="139" t="s">
        <v>25</v>
      </c>
      <c r="E5" s="139" t="s">
        <v>25</v>
      </c>
      <c r="F5" s="139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-0.85691198728265305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-0.85691198728265305</v>
      </c>
      <c r="AC5" s="13">
        <f>'TUSD BE'!$AC$5*'TUSD BE'!$AC$58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-0.85691198728265305</v>
      </c>
      <c r="AO5" s="20">
        <f ca="1">+'TUSD BE'!$T$5+'TUSD BE'!$AB$5+'TUSD BE'!$AD$5+'TUSD BE'!$AL$5</f>
        <v>49.155964526540544</v>
      </c>
      <c r="AP5" s="20">
        <f ca="1">+'TUSD BE'!$T$5+'TUSD BE'!$AB$5+'TUSD BE'!$AD$5+'TUSD BE'!$AL$5</f>
        <v>49.155964526540544</v>
      </c>
    </row>
    <row r="6" spans="1:42" ht="11.25" customHeight="1" x14ac:dyDescent="0.25">
      <c r="A6" s="139"/>
      <c r="B6" s="139"/>
      <c r="C6" s="139"/>
      <c r="D6" s="139"/>
      <c r="E6" s="139"/>
      <c r="F6" s="139"/>
      <c r="G6" s="18" t="s">
        <v>76</v>
      </c>
      <c r="H6" s="18" t="s">
        <v>74</v>
      </c>
      <c r="I6" s="18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-0.33024231263050302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-0.33024231263050302</v>
      </c>
      <c r="AC6" s="13">
        <f>'TUSD BE'!$AC$6*'TUSD BE'!$AC$58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-0.33024231263050302</v>
      </c>
      <c r="AO6" s="20">
        <f ca="1">+'TUSD BE'!$T$6+'TUSD BE'!$AB$6+'TUSD BE'!$AD$6+'TUSD BE'!$AL$6</f>
        <v>18.032555015470241</v>
      </c>
      <c r="AP6" s="20">
        <f ca="1">+'TUSD BE'!$T$6+'TUSD BE'!$AB$6+'TUSD BE'!$AD$6+'TUSD BE'!$AL$6</f>
        <v>18.032555015470241</v>
      </c>
    </row>
    <row r="7" spans="1:42" ht="11.25" customHeight="1" x14ac:dyDescent="0.25">
      <c r="A7" s="139"/>
      <c r="B7" s="139"/>
      <c r="C7" s="139"/>
      <c r="D7" s="139"/>
      <c r="E7" s="139"/>
      <c r="F7" s="139"/>
      <c r="G7" s="18" t="s">
        <v>72</v>
      </c>
      <c r="H7" s="18" t="s">
        <v>68</v>
      </c>
      <c r="I7" s="18">
        <f>'MERCADO TUSD'!$U$4</f>
        <v>0</v>
      </c>
      <c r="J7" s="15"/>
      <c r="L7" s="13">
        <f>'TUSD BE'!$L$7*'TUSD BE'!$L$58</f>
        <v>0</v>
      </c>
      <c r="M7" s="13">
        <f>'TUSD BE'!$M$7*'TUSD BE'!$M$58</f>
        <v>-8.7019342913275365E-3</v>
      </c>
      <c r="N7" s="13">
        <f ca="1">'TUSD BE'!$N$7*'TUSD BE'!$N$58</f>
        <v>4.9069372520292251E-8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-2.1747245060227489</v>
      </c>
      <c r="R7" s="13">
        <f>'TUSD BE'!$R$7*'TUSD BE'!$R$58</f>
        <v>-0.42769576103318119</v>
      </c>
      <c r="S7" s="13">
        <f>'TUSD BE'!$R$7*'TUSD BE'!$S$58</f>
        <v>0</v>
      </c>
      <c r="T7" s="13">
        <f ca="1">SUM($L$7:$S$7)</f>
        <v>-2.6111221522778854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4.874514940831523E-2</v>
      </c>
      <c r="AI7" s="13">
        <f>'TUSD BE'!$AI$7*'TUSD BE'!$AI$58</f>
        <v>0</v>
      </c>
      <c r="AJ7" s="13">
        <f ca="1">'TUSD BE'!$AJ$7*'TUSD BE'!$AJ$58</f>
        <v>2.1842539187677309E-2</v>
      </c>
      <c r="AK7" s="13">
        <f ca="1">'TUSD BE'!$AK$7*'TUSD BE'!$AK$58</f>
        <v>1.0280214917301387E-2</v>
      </c>
      <c r="AL7" s="13">
        <f ca="1">SUM($AH$7:$AK$7)</f>
        <v>8.0867903513293926E-2</v>
      </c>
      <c r="AM7" s="13">
        <f ca="1">SUMIF($L$4:$AL$4,"SUBTOTAL",$L$7:$AL$7)</f>
        <v>-2.5302542487645914</v>
      </c>
      <c r="AO7" s="20">
        <f ca="1">+'TUSD BE'!$T$7+'TUSD BE'!$AB$7+'TUSD BE'!$AD$7+'TUSD BE'!$AL$7</f>
        <v>92.279335725261305</v>
      </c>
      <c r="AP7" s="20">
        <f ca="1">+'TUSD BE'!$T$7+'TUSD BE'!$AB$7+'TUSD BE'!$AD$7+'TUSD BE'!$AL$7</f>
        <v>92.279335725261305</v>
      </c>
    </row>
    <row r="8" spans="1:42" ht="11.25" customHeight="1" x14ac:dyDescent="0.25">
      <c r="A8" s="139"/>
      <c r="B8" s="139"/>
      <c r="C8" s="139"/>
      <c r="D8" s="139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-8.7019342913275365E-3</v>
      </c>
      <c r="N8" s="13">
        <f ca="1">'TUSD BE'!$N$8*'TUSD BE'!$N$58</f>
        <v>4.2327888195596826E-8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-8.7018919634393403E-3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4.874514940831523E-2</v>
      </c>
      <c r="AI8" s="13">
        <f>'TUSD BE'!$AI$8*'TUSD BE'!$AI$58</f>
        <v>0</v>
      </c>
      <c r="AJ8" s="13">
        <f ca="1">'TUSD BE'!$AJ$8*'TUSD BE'!$AJ$58</f>
        <v>2.1842539187677309E-2</v>
      </c>
      <c r="AK8" s="13">
        <f ca="1">'TUSD BE'!$AK$8*'TUSD BE'!$AK$58</f>
        <v>1.0280214917301387E-2</v>
      </c>
      <c r="AL8" s="13">
        <f ca="1">SUM($AH$8:$AK$8)</f>
        <v>8.0867903513293926E-2</v>
      </c>
      <c r="AM8" s="13">
        <f ca="1">SUMIF($L$4:$AL$4,"SUBTOTAL",$L$8:$AL$8)</f>
        <v>7.2166011549854581E-2</v>
      </c>
      <c r="AO8" s="20">
        <f ca="1">+'TUSD BE'!$T$8+'TUSD BE'!$AB$8+'TUSD BE'!$AD$8+'TUSD BE'!$AL$8</f>
        <v>3.1661178267469312</v>
      </c>
      <c r="AP8" s="20">
        <f ca="1">+'TUSD BE'!$T$8+'TUSD BE'!$AB$8+'TUSD BE'!$AD$8+'TUSD BE'!$AL$8</f>
        <v>3.1661178267469312</v>
      </c>
    </row>
    <row r="9" spans="1:42" ht="11.25" customHeight="1" x14ac:dyDescent="0.25">
      <c r="A9" s="139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-7.7772556508206323E-4</v>
      </c>
      <c r="N9" s="13">
        <f ca="1">'TUSD BE'!$N$9*'TUSD BE'!$N$58</f>
        <v>4.1729787969864668E-8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-7.7768383529409338E-4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-7.7768383529409338E-4</v>
      </c>
      <c r="AO9" s="20">
        <f ca="1">+'TUSD BE'!$T$9+'TUSD BE'!$AB$9+'TUSD BE'!$AD$9+'TUSD BE'!$AL$9</f>
        <v>6.8344940588749727</v>
      </c>
      <c r="AP9" s="20">
        <f ca="1">+'TUSD BE'!$T$9+'TUSD BE'!$AB$9+'TUSD BE'!$AD$9+'TUSD BE'!$AL$9</f>
        <v>6.8344940588749727</v>
      </c>
    </row>
    <row r="10" spans="1:42" ht="11.25" customHeight="1" x14ac:dyDescent="0.25">
      <c r="A10" s="139"/>
      <c r="B10" s="139" t="s">
        <v>35</v>
      </c>
      <c r="C10" s="139" t="s">
        <v>25</v>
      </c>
      <c r="D10" s="139" t="s">
        <v>25</v>
      </c>
      <c r="E10" s="139" t="s">
        <v>25</v>
      </c>
      <c r="F10" s="139" t="s">
        <v>25</v>
      </c>
      <c r="G10" s="18" t="s">
        <v>9</v>
      </c>
      <c r="H10" s="18" t="s">
        <v>74</v>
      </c>
      <c r="I10" s="18">
        <f>'MERCADO TUSD'!$U$7</f>
        <v>31517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-0.33024231263050302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-0.33024231263050302</v>
      </c>
      <c r="AC10" s="13">
        <f>'TUSD BE'!$AC$10*'TUSD BE'!$AC$58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-0.33024231263050302</v>
      </c>
      <c r="AO10" s="20">
        <f ca="1">+'TUSD BE'!$T$10+'TUSD BE'!$AB$10+'TUSD BE'!$AD$10+'TUSD BE'!$AL$10</f>
        <v>18.032555015470241</v>
      </c>
      <c r="AP10" s="20">
        <f ca="1">+'TUSD BE'!$T$10+'TUSD BE'!$AB$10+'TUSD BE'!$AD$10+'TUSD BE'!$AL$10</f>
        <v>18.032555015470241</v>
      </c>
    </row>
    <row r="11" spans="1:42" ht="11.25" customHeight="1" x14ac:dyDescent="0.25">
      <c r="A11" s="139"/>
      <c r="B11" s="139"/>
      <c r="C11" s="139"/>
      <c r="D11" s="139"/>
      <c r="E11" s="139"/>
      <c r="F11" s="139"/>
      <c r="G11" s="18" t="s">
        <v>69</v>
      </c>
      <c r="H11" s="18" t="s">
        <v>68</v>
      </c>
      <c r="I11" s="18">
        <f>'MERCADO TUSD'!$U$8</f>
        <v>644.95300000000009</v>
      </c>
      <c r="J11" s="15"/>
      <c r="L11" s="13">
        <f>'TUSD BE'!$L$11*'TUSD BE'!$L$58</f>
        <v>0</v>
      </c>
      <c r="M11" s="13">
        <f>'TUSD BE'!$M$11*'TUSD BE'!$M$58</f>
        <v>-8.7019342913275365E-3</v>
      </c>
      <c r="N11" s="13">
        <f ca="1">'TUSD BE'!$N$11*'TUSD BE'!$N$58</f>
        <v>6.6456589746250368E-6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-2.1747245060227489</v>
      </c>
      <c r="R11" s="13">
        <f>'TUSD BE'!$R$11*'TUSD BE'!$R$58</f>
        <v>-0.42769576103318119</v>
      </c>
      <c r="S11" s="13">
        <f>'TUSD BE'!$R$11*'TUSD BE'!$S$58</f>
        <v>0</v>
      </c>
      <c r="T11" s="13">
        <f ca="1">SUM($L$11:$S$11)</f>
        <v>-2.6111155556882832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-20.608736353552242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-20.608736353552242</v>
      </c>
      <c r="AC11" s="13">
        <f>'TUSD BE'!$AC$11*'TUSD BE'!$AC$58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4.874514940831523E-2</v>
      </c>
      <c r="AI11" s="13">
        <f>'TUSD BE'!$AI$11*'TUSD BE'!$AI$58</f>
        <v>0</v>
      </c>
      <c r="AJ11" s="13">
        <f ca="1">'TUSD BE'!$AJ$11*'TUSD BE'!$AJ$58</f>
        <v>2.1842539187677309E-2</v>
      </c>
      <c r="AK11" s="13">
        <f ca="1">'TUSD BE'!$AK$11*'TUSD BE'!$AK$58</f>
        <v>1.0280214917301387E-2</v>
      </c>
      <c r="AL11" s="13">
        <f ca="1">SUM($AH$11:$AK$11)</f>
        <v>8.0867903513293926E-2</v>
      </c>
      <c r="AM11" s="13">
        <f ca="1">SUMIF($L$4:$AL$4,"SUBTOTAL",$L$11:$AL$11)</f>
        <v>-23.138984005727231</v>
      </c>
      <c r="AO11" s="20">
        <f ca="1">+'TUSD BE'!$T$11+'TUSD BE'!$AB$11+'TUSD BE'!$AD$11+'TUSD BE'!$AL$11</f>
        <v>1286.7401204527562</v>
      </c>
      <c r="AP11" s="20">
        <f ca="1">+'TUSD BE'!$T$11+'TUSD BE'!$AB$11+'TUSD BE'!$AD$11+'TUSD BE'!$AL$11</f>
        <v>1286.7401204527562</v>
      </c>
    </row>
    <row r="12" spans="1:42" ht="11.25" customHeight="1" x14ac:dyDescent="0.25">
      <c r="A12" s="139"/>
      <c r="B12" s="139"/>
      <c r="C12" s="139"/>
      <c r="D12" s="139"/>
      <c r="E12" s="139"/>
      <c r="F12" s="139"/>
      <c r="G12" s="18" t="s">
        <v>70</v>
      </c>
      <c r="H12" s="18" t="s">
        <v>68</v>
      </c>
      <c r="I12" s="18">
        <f>'MERCADO TUSD'!$U$9</f>
        <v>8036.4479999999985</v>
      </c>
      <c r="J12" s="15"/>
      <c r="L12" s="13">
        <f>'TUSD BE'!$L$12*'TUSD BE'!$L$58</f>
        <v>0</v>
      </c>
      <c r="M12" s="13">
        <f>'TUSD BE'!$M$12*'TUSD BE'!$M$58</f>
        <v>-8.7019342913275365E-3</v>
      </c>
      <c r="N12" s="13">
        <f ca="1">'TUSD BE'!$N$12*'TUSD BE'!$N$58</f>
        <v>4.9069372520292251E-8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-2.1747245060227489</v>
      </c>
      <c r="R12" s="13">
        <f>'TUSD BE'!$R$12*'TUSD BE'!$R$58</f>
        <v>-0.42769576103318119</v>
      </c>
      <c r="S12" s="13">
        <f>'TUSD BE'!$R$12*'TUSD BE'!$S$58</f>
        <v>0</v>
      </c>
      <c r="T12" s="13">
        <f ca="1">SUM($L$12:$S$12)</f>
        <v>-2.6111221522778854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4.874514940831523E-2</v>
      </c>
      <c r="AI12" s="13">
        <f>'TUSD BE'!$AI$12*'TUSD BE'!$AI$58</f>
        <v>0</v>
      </c>
      <c r="AJ12" s="13">
        <f ca="1">'TUSD BE'!$AJ$12*'TUSD BE'!$AJ$58</f>
        <v>2.1842539187677309E-2</v>
      </c>
      <c r="AK12" s="13">
        <f ca="1">'TUSD BE'!$AK$12*'TUSD BE'!$AK$58</f>
        <v>1.0280214917301387E-2</v>
      </c>
      <c r="AL12" s="13">
        <f ca="1">SUM($AH$12:$AK$12)</f>
        <v>8.0867903513293926E-2</v>
      </c>
      <c r="AM12" s="13">
        <f ca="1">SUMIF($L$4:$AL$4,"SUBTOTAL",$L$12:$AL$12)</f>
        <v>-2.5302542487645914</v>
      </c>
      <c r="AO12" s="20">
        <f ca="1">+'TUSD BE'!$T$12+'TUSD BE'!$AB$12+'TUSD BE'!$AD$12+'TUSD BE'!$AL$12</f>
        <v>92.279335725261305</v>
      </c>
      <c r="AP12" s="20">
        <f ca="1">+'TUSD BE'!$T$12+'TUSD BE'!$AB$12+'TUSD BE'!$AD$12+'TUSD BE'!$AL$12</f>
        <v>92.279335725261305</v>
      </c>
    </row>
    <row r="13" spans="1:42" ht="11.25" customHeight="1" x14ac:dyDescent="0.25">
      <c r="A13" s="139"/>
      <c r="B13" s="139"/>
      <c r="C13" s="139"/>
      <c r="D13" s="139"/>
      <c r="E13" s="139" t="s">
        <v>77</v>
      </c>
      <c r="F13" s="139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-8.7019342913275365E-3</v>
      </c>
      <c r="N13" s="13">
        <f ca="1">'TUSD BE'!$N$13*'TUSD BE'!$N$58</f>
        <v>6.6389174903003416E-6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-8.6952953738372359E-3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-20.608736353552242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-20.608736353552242</v>
      </c>
      <c r="AC13" s="13">
        <f>'TUSD BE'!$AC$13*'TUSD BE'!$AC$58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4.874514940831523E-2</v>
      </c>
      <c r="AI13" s="13">
        <f>'TUSD BE'!$AI$13*'TUSD BE'!$AI$58</f>
        <v>0</v>
      </c>
      <c r="AJ13" s="13">
        <f ca="1">'TUSD BE'!$AJ$13*'TUSD BE'!$AJ$58</f>
        <v>2.1842539187677309E-2</v>
      </c>
      <c r="AK13" s="13">
        <f ca="1">'TUSD BE'!$AK$13*'TUSD BE'!$AK$58</f>
        <v>1.0280214917301387E-2</v>
      </c>
      <c r="AL13" s="13">
        <f ca="1">SUM($AH$13:$AK$13)</f>
        <v>8.0867903513293926E-2</v>
      </c>
      <c r="AM13" s="13">
        <f ca="1">SUMIF($L$4:$AL$4,"SUBTOTAL",$L$13:$AL$13)</f>
        <v>-20.536563745412785</v>
      </c>
      <c r="AO13" s="20">
        <f ca="1">+'TUSD BE'!$T$13+'TUSD BE'!$AB$13+'TUSD BE'!$AD$13+'TUSD BE'!$AL$13</f>
        <v>1197.6269025542417</v>
      </c>
      <c r="AP13" s="20">
        <f ca="1">+'TUSD BE'!$T$13+'TUSD BE'!$AB$13+'TUSD BE'!$AD$13+'TUSD BE'!$AL$13</f>
        <v>1197.6269025542417</v>
      </c>
    </row>
    <row r="14" spans="1:42" ht="11.25" customHeight="1" x14ac:dyDescent="0.25">
      <c r="A14" s="139"/>
      <c r="B14" s="139"/>
      <c r="C14" s="139"/>
      <c r="D14" s="139"/>
      <c r="E14" s="139"/>
      <c r="F14" s="139"/>
      <c r="G14" s="18" t="s">
        <v>70</v>
      </c>
      <c r="H14" s="18" t="s">
        <v>68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-8.7019342913275365E-3</v>
      </c>
      <c r="N14" s="13">
        <f ca="1">'TUSD BE'!$N$14*'TUSD BE'!$N$58</f>
        <v>4.2327888195596826E-8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-8.7018919634393403E-3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4.874514940831523E-2</v>
      </c>
      <c r="AI14" s="13">
        <f>'TUSD BE'!$AI$14*'TUSD BE'!$AI$58</f>
        <v>0</v>
      </c>
      <c r="AJ14" s="13">
        <f ca="1">'TUSD BE'!$AJ$14*'TUSD BE'!$AJ$58</f>
        <v>2.1842539187677309E-2</v>
      </c>
      <c r="AK14" s="13">
        <f ca="1">'TUSD BE'!$AK$14*'TUSD BE'!$AK$58</f>
        <v>1.0280214917301387E-2</v>
      </c>
      <c r="AL14" s="13">
        <f ca="1">SUM($AH$14:$AK$14)</f>
        <v>8.0867903513293926E-2</v>
      </c>
      <c r="AM14" s="13">
        <f ca="1">SUMIF($L$4:$AL$4,"SUBTOTAL",$L$14:$AL$14)</f>
        <v>7.2166011549854581E-2</v>
      </c>
      <c r="AO14" s="20">
        <f ca="1">+'TUSD BE'!$T$14+'TUSD BE'!$AB$14+'TUSD BE'!$AD$14+'TUSD BE'!$AL$14</f>
        <v>3.1661178267469312</v>
      </c>
      <c r="AP14" s="20">
        <f ca="1">+'TUSD BE'!$T$14+'TUSD BE'!$AB$14+'TUSD BE'!$AD$14+'TUSD BE'!$AL$14</f>
        <v>3.1661178267469312</v>
      </c>
    </row>
    <row r="15" spans="1:42" ht="11.25" customHeight="1" x14ac:dyDescent="0.25">
      <c r="A15" s="139" t="s">
        <v>79</v>
      </c>
      <c r="B15" s="139" t="s">
        <v>78</v>
      </c>
      <c r="C15" s="139" t="s">
        <v>25</v>
      </c>
      <c r="D15" s="139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-1.6813985900964443E-3</v>
      </c>
      <c r="N15" s="13">
        <f ca="1">'TUSD BE'!$N$15*'TUSD BE'!$N$58</f>
        <v>9.0268475107671719E-8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-1.6813083216213366E-3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-1.6813083216213366E-3</v>
      </c>
      <c r="AO15" s="20">
        <f ca="1">+'TUSD BE'!$T$15+'TUSD BE'!$AB$15+'TUSD BE'!$AD$15+'TUSD BE'!$AL$15</f>
        <v>14.78820829081349</v>
      </c>
      <c r="AP15" s="20">
        <f ca="1">+'TUSD BE'!$T$15+'TUSD BE'!$AB$15+'TUSD BE'!$AD$15+'TUSD BE'!$AL$15</f>
        <v>14.78820829081349</v>
      </c>
    </row>
    <row r="16" spans="1:42" ht="11.25" customHeight="1" x14ac:dyDescent="0.25">
      <c r="A16" s="139"/>
      <c r="B16" s="139"/>
      <c r="C16" s="139"/>
      <c r="D16" s="139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-1.6813985900964443E-3</v>
      </c>
      <c r="N16" s="13">
        <f ca="1">'TUSD BE'!$N$16*'TUSD BE'!$N$58</f>
        <v>9.0268475107671719E-8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-1.6813083216213366E-3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-1.6813083216213366E-3</v>
      </c>
      <c r="AO16" s="20">
        <f ca="1">+'TUSD BE'!$T$16+'TUSD BE'!$AB$16+'TUSD BE'!$AD$16+'TUSD BE'!$AL$16</f>
        <v>22.584594661653828</v>
      </c>
      <c r="AP16" s="20">
        <f ca="1">+'TUSD BE'!$T$16+'TUSD BE'!$AB$16+'TUSD BE'!$AD$16+'TUSD BE'!$AL$16</f>
        <v>22.584594661653828</v>
      </c>
    </row>
    <row r="17" spans="1:42" ht="11.25" customHeight="1" x14ac:dyDescent="0.25">
      <c r="A17" s="139" t="s">
        <v>22</v>
      </c>
      <c r="B17" s="139" t="s">
        <v>38</v>
      </c>
      <c r="C17" s="139" t="s">
        <v>24</v>
      </c>
      <c r="D17" s="139" t="s">
        <v>24</v>
      </c>
      <c r="E17" s="139" t="s">
        <v>25</v>
      </c>
      <c r="F17" s="139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'TUSD BE'!$L$17*'TUSD BE'!$L$58</f>
        <v>0</v>
      </c>
      <c r="M17" s="13">
        <f>'TUSD BE'!$M$17*'TUSD BE'!$M$58</f>
        <v>-4.2283101664990205E-2</v>
      </c>
      <c r="N17" s="13">
        <f ca="1">'TUSD BE'!$N$17*'TUSD BE'!$N$58</f>
        <v>6.0024829882324845E-6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-2.5889577452651773</v>
      </c>
      <c r="R17" s="13">
        <f>'TUSD BE'!$R$17*'TUSD BE'!$R$58</f>
        <v>-0.42769576103318119</v>
      </c>
      <c r="S17" s="13">
        <f>'TUSD BE'!$R$17*'TUSD BE'!$S$58</f>
        <v>0</v>
      </c>
      <c r="T17" s="13">
        <f ca="1">SUM($L$17:$S$17)</f>
        <v>-3.0589306054803607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-7.3761051137529625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-7.3761051137529625</v>
      </c>
      <c r="AC17" s="13">
        <f>'TUSD BE'!$AC$17*'TUSD BE'!$AC$58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0.52138809842257405</v>
      </c>
      <c r="AI17" s="13">
        <f>'TUSD BE'!$AI$17*'TUSD BE'!$AI$58</f>
        <v>0</v>
      </c>
      <c r="AJ17" s="13">
        <f ca="1">'TUSD BE'!$AJ$17*'TUSD BE'!$AJ$58</f>
        <v>4.0935442612293094E-2</v>
      </c>
      <c r="AK17" s="13">
        <f ca="1">'TUSD BE'!$AK$17*'TUSD BE'!$AK$58</f>
        <v>1.9266310760547616E-2</v>
      </c>
      <c r="AL17" s="13">
        <f ca="1">SUM($AH$17:$AK$17)</f>
        <v>0.58158985179541478</v>
      </c>
      <c r="AM17" s="13">
        <f ca="1">SUMIF($L$4:$AL$4,"SUBTOTAL",$L$17:$AL$17)</f>
        <v>-9.8534458674379088</v>
      </c>
      <c r="AO17" s="20">
        <f ca="1">+'TUSD BE'!$T$17+'TUSD BE'!$AB$17+'TUSD BE'!$AD$17+'TUSD BE'!$AL$17</f>
        <v>1102.833361429681</v>
      </c>
      <c r="AP17" s="20">
        <f ca="1">+'TUSD BE'!$T$17+'TUSD BE'!$AB$17+'TUSD BE'!$AD$17+'TUSD BE'!$AL$17</f>
        <v>1102.833361429681</v>
      </c>
    </row>
    <row r="18" spans="1:42" ht="11.25" customHeight="1" x14ac:dyDescent="0.25">
      <c r="A18" s="139"/>
      <c r="B18" s="139"/>
      <c r="C18" s="139"/>
      <c r="D18" s="139"/>
      <c r="E18" s="139"/>
      <c r="F18" s="139"/>
      <c r="G18" s="18" t="s">
        <v>82</v>
      </c>
      <c r="H18" s="18" t="s">
        <v>68</v>
      </c>
      <c r="I18" s="18">
        <f>'MERCADO TUSD'!$U$15</f>
        <v>0</v>
      </c>
      <c r="J18" s="15"/>
      <c r="L18" s="13">
        <f>'TUSD BE'!$L$18*'TUSD BE'!$L$58</f>
        <v>0</v>
      </c>
      <c r="M18" s="13">
        <f>'TUSD BE'!$M$18*'TUSD BE'!$M$58</f>
        <v>-4.2283101664990205E-2</v>
      </c>
      <c r="N18" s="13">
        <f ca="1">'TUSD BE'!$N$18*'TUSD BE'!$N$58</f>
        <v>3.7173968771664811E-6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-2.5889577452651773</v>
      </c>
      <c r="R18" s="13">
        <f>'TUSD BE'!$R$18*'TUSD BE'!$R$58</f>
        <v>-0.42769576103318119</v>
      </c>
      <c r="S18" s="13">
        <f>'TUSD BE'!$R$18*'TUSD BE'!$S$58</f>
        <v>0</v>
      </c>
      <c r="T18" s="13">
        <f ca="1">SUM($L$18:$S$18)</f>
        <v>-3.0589328905664717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-4.4256630682517768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-4.4256630682517768</v>
      </c>
      <c r="AC18" s="13">
        <f>'TUSD BE'!$AC$18*'TUSD BE'!$AC$58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0.52138809842257405</v>
      </c>
      <c r="AI18" s="13">
        <f>'TUSD BE'!$AI$18*'TUSD BE'!$AI$58</f>
        <v>0</v>
      </c>
      <c r="AJ18" s="13">
        <f ca="1">'TUSD BE'!$AJ$18*'TUSD BE'!$AJ$58</f>
        <v>4.0935442612293094E-2</v>
      </c>
      <c r="AK18" s="13">
        <f ca="1">'TUSD BE'!$AK$18*'TUSD BE'!$AK$58</f>
        <v>1.9266310760547616E-2</v>
      </c>
      <c r="AL18" s="13">
        <f ca="1">SUM($AH$18:$AK$18)</f>
        <v>0.58158985179541478</v>
      </c>
      <c r="AM18" s="13">
        <f ca="1">SUMIF($L$4:$AL$4,"SUBTOTAL",$L$18:$AL$18)</f>
        <v>-6.9030061070228337</v>
      </c>
      <c r="AO18" s="20">
        <f ca="1">+'TUSD BE'!$T$18+'TUSD BE'!$AB$18+'TUSD BE'!$AD$18+'TUSD BE'!$AL$18</f>
        <v>712.18375620384302</v>
      </c>
      <c r="AP18" s="20">
        <f ca="1">+'TUSD BE'!$T$18+'TUSD BE'!$AB$18+'TUSD BE'!$AD$18+'TUSD BE'!$AL$18</f>
        <v>712.18375620384302</v>
      </c>
    </row>
    <row r="19" spans="1:42" ht="11.25" customHeight="1" x14ac:dyDescent="0.25">
      <c r="A19" s="139"/>
      <c r="B19" s="139"/>
      <c r="C19" s="139"/>
      <c r="D19" s="139"/>
      <c r="E19" s="139"/>
      <c r="F19" s="139"/>
      <c r="G19" s="18" t="s">
        <v>70</v>
      </c>
      <c r="H19" s="18" t="s">
        <v>68</v>
      </c>
      <c r="I19" s="18">
        <f>'MERCADO TUSD'!$U$16</f>
        <v>0</v>
      </c>
      <c r="J19" s="15"/>
      <c r="L19" s="13">
        <f>'TUSD BE'!$L$19*'TUSD BE'!$L$58</f>
        <v>0</v>
      </c>
      <c r="M19" s="13">
        <f>'TUSD BE'!$M$19*'TUSD BE'!$M$58</f>
        <v>-4.2283101664990205E-2</v>
      </c>
      <c r="N19" s="13">
        <f ca="1">'TUSD BE'!$N$19*'TUSD BE'!$N$58</f>
        <v>1.4323114402489093E-6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-2.5889577452651773</v>
      </c>
      <c r="R19" s="13">
        <f>'TUSD BE'!$R$19*'TUSD BE'!$R$58</f>
        <v>-0.42769576103318119</v>
      </c>
      <c r="S19" s="13">
        <f>'TUSD BE'!$R$19*'TUSD BE'!$S$58</f>
        <v>0</v>
      </c>
      <c r="T19" s="13">
        <f ca="1">SUM($L$19:$S$19)</f>
        <v>-3.0589351756519085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-1.4752210227505924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-1.4752210227505924</v>
      </c>
      <c r="AC19" s="13">
        <f>'TUSD BE'!$AC$19*'TUSD BE'!$AC$58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0.52138809842257405</v>
      </c>
      <c r="AI19" s="13">
        <f>'TUSD BE'!$AI$19*'TUSD BE'!$AI$58</f>
        <v>0</v>
      </c>
      <c r="AJ19" s="13">
        <f ca="1">'TUSD BE'!$AJ$19*'TUSD BE'!$AJ$58</f>
        <v>4.0935442612293094E-2</v>
      </c>
      <c r="AK19" s="13">
        <f ca="1">'TUSD BE'!$AK$19*'TUSD BE'!$AK$58</f>
        <v>1.9266310760547616E-2</v>
      </c>
      <c r="AL19" s="13">
        <f ca="1">SUM($AH$19:$AK$19)</f>
        <v>0.58158985179541478</v>
      </c>
      <c r="AM19" s="13">
        <f ca="1">SUMIF($L$4:$AL$4,"SUBTOTAL",$L$19:$AL$19)</f>
        <v>-3.9525663466070862</v>
      </c>
      <c r="AO19" s="20">
        <f ca="1">+'TUSD BE'!$T$19+'TUSD BE'!$AB$19+'TUSD BE'!$AD$19+'TUSD BE'!$AL$19</f>
        <v>321.53426142383665</v>
      </c>
      <c r="AP19" s="20">
        <f ca="1">+'TUSD BE'!$T$19+'TUSD BE'!$AB$19+'TUSD BE'!$AD$19+'TUSD BE'!$AL$19</f>
        <v>321.53426142383665</v>
      </c>
    </row>
    <row r="20" spans="1:42" ht="11.25" customHeight="1" x14ac:dyDescent="0.25">
      <c r="A20" s="139"/>
      <c r="B20" s="139" t="s">
        <v>23</v>
      </c>
      <c r="C20" s="139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6670.0239999999994</v>
      </c>
      <c r="J20" s="15"/>
      <c r="L20" s="13">
        <f>'TUSD BE'!$L$20*'TUSD BE'!$L$58</f>
        <v>0</v>
      </c>
      <c r="M20" s="13">
        <f>'TUSD BE'!$M$20*'TUSD BE'!$M$58</f>
        <v>-4.2283101664990205E-2</v>
      </c>
      <c r="N20" s="13">
        <f ca="1">'TUSD BE'!$N$20*'TUSD BE'!$N$58</f>
        <v>2.3300236724877309E-6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-2.5889577452651773</v>
      </c>
      <c r="R20" s="13">
        <f>'TUSD BE'!$R$20*'TUSD BE'!$R$58</f>
        <v>-0.42769576103318119</v>
      </c>
      <c r="S20" s="13">
        <f>'TUSD BE'!$R$20*'TUSD BE'!$S$58</f>
        <v>0</v>
      </c>
      <c r="T20" s="13">
        <f ca="1">SUM($L$20:$S$20)</f>
        <v>-3.0589342779396764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-2.6343239833413987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-2.6343239833413987</v>
      </c>
      <c r="AC20" s="13">
        <f>'TUSD BE'!$AC$20*'TUSD BE'!$AC$58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0.52138809842257405</v>
      </c>
      <c r="AI20" s="13">
        <f>'TUSD BE'!$AI$20*'TUSD BE'!$AI$58</f>
        <v>0</v>
      </c>
      <c r="AJ20" s="13">
        <f ca="1">'TUSD BE'!$AJ$20*'TUSD BE'!$AJ$58</f>
        <v>4.0935442612293094E-2</v>
      </c>
      <c r="AK20" s="13">
        <f ca="1">'TUSD BE'!$AK$20*'TUSD BE'!$AK$58</f>
        <v>1.9266310760547616E-2</v>
      </c>
      <c r="AL20" s="13">
        <f ca="1">SUM($AH$20:$AK$20)</f>
        <v>0.58158985179541478</v>
      </c>
      <c r="AM20" s="13">
        <f ca="1">SUMIF($L$4:$AL$4,"SUBTOTAL",$L$20:$AL$20)</f>
        <v>-5.1116684094856604</v>
      </c>
      <c r="AO20" s="20">
        <f ca="1">+'TUSD BE'!$T$20+'TUSD BE'!$AB$20+'TUSD BE'!$AD$20+'TUSD BE'!$AL$20</f>
        <v>475.00372559990984</v>
      </c>
      <c r="AP20" s="20">
        <f ca="1">+'TUSD BE'!$T$20+'TUSD BE'!$AB$20+'TUSD BE'!$AD$20+'TUSD BE'!$AL$20</f>
        <v>475.00372559990984</v>
      </c>
    </row>
    <row r="21" spans="1:42" ht="11.25" customHeight="1" x14ac:dyDescent="0.25">
      <c r="A21" s="139"/>
      <c r="B21" s="139"/>
      <c r="C21" s="139"/>
      <c r="D21" s="17" t="s">
        <v>28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127.41000000000001</v>
      </c>
      <c r="J21" s="15"/>
      <c r="L21" s="13">
        <f>'TUSD BE'!$L$21*'TUSD BE'!$L$58</f>
        <v>0</v>
      </c>
      <c r="M21" s="13">
        <f>'TUSD BE'!$M$21*'TUSD BE'!$M$58</f>
        <v>-4.2283101664990205E-2</v>
      </c>
      <c r="N21" s="13">
        <f ca="1">'TUSD BE'!$N$21*'TUSD BE'!$N$58</f>
        <v>2.3232821881630357E-6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-4.2280778382802045E-2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-2.6343239833413987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-2.6343239833413987</v>
      </c>
      <c r="AC21" s="13">
        <f>'TUSD BE'!$AC$21*'TUSD BE'!$AC$58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0.52138809842257405</v>
      </c>
      <c r="AI21" s="13">
        <f>'TUSD BE'!$AI$21*'TUSD BE'!$AI$58</f>
        <v>0</v>
      </c>
      <c r="AJ21" s="13">
        <f ca="1">'TUSD BE'!$AJ$21*'TUSD BE'!$AJ$58</f>
        <v>4.0935442612293094E-2</v>
      </c>
      <c r="AK21" s="13">
        <f ca="1">'TUSD BE'!$AK$21*'TUSD BE'!$AK$58</f>
        <v>1.9266310760547616E-2</v>
      </c>
      <c r="AL21" s="13">
        <f ca="1">SUM($AH$21:$AK$21)</f>
        <v>0.58158985179541478</v>
      </c>
      <c r="AM21" s="13">
        <f ca="1">SUMIF($L$4:$AL$4,"SUBTOTAL",$L$21:$AL$21)</f>
        <v>-2.095014909928786</v>
      </c>
      <c r="AO21" s="20">
        <f ca="1">+'TUSD BE'!$T$21+'TUSD BE'!$AB$21+'TUSD BE'!$AD$21+'TUSD BE'!$AL$21</f>
        <v>371.55758363074114</v>
      </c>
      <c r="AP21" s="20">
        <f ca="1">+'TUSD BE'!$T$21+'TUSD BE'!$AB$21+'TUSD BE'!$AD$21+'TUSD BE'!$AL$21</f>
        <v>371.55758363074114</v>
      </c>
    </row>
    <row r="22" spans="1:42" ht="11.25" customHeight="1" x14ac:dyDescent="0.25">
      <c r="A22" s="139"/>
      <c r="B22" s="139"/>
      <c r="C22" s="139"/>
      <c r="D22" s="17" t="s">
        <v>29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275.43099999999998</v>
      </c>
      <c r="J22" s="15"/>
      <c r="L22" s="13">
        <f>'TUSD BE'!$L$22*'TUSD BE'!$L$58</f>
        <v>0</v>
      </c>
      <c r="M22" s="13">
        <f>'TUSD BE'!$M$22*'TUSD BE'!$M$58</f>
        <v>-4.2283101664990205E-2</v>
      </c>
      <c r="N22" s="13">
        <f ca="1">'TUSD BE'!$N$22*'TUSD BE'!$N$58</f>
        <v>2.3232821881630357E-6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-4.2280778382802045E-2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-2.6343239833413987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-2.6343239833413987</v>
      </c>
      <c r="AC22" s="13">
        <f>'TUSD BE'!$AC$22*'TUSD BE'!$AC$58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0.52138809842257405</v>
      </c>
      <c r="AI22" s="13">
        <f>'TUSD BE'!$AI$22*'TUSD BE'!$AI$58</f>
        <v>0</v>
      </c>
      <c r="AJ22" s="13">
        <f ca="1">'TUSD BE'!$AJ$22*'TUSD BE'!$AJ$58</f>
        <v>4.0935442612293094E-2</v>
      </c>
      <c r="AK22" s="13">
        <f ca="1">'TUSD BE'!$AK$22*'TUSD BE'!$AK$58</f>
        <v>1.9266310760547616E-2</v>
      </c>
      <c r="AL22" s="13">
        <f ca="1">SUM($AH$22:$AK$22)</f>
        <v>0.58158985179541478</v>
      </c>
      <c r="AM22" s="13">
        <f ca="1">SUMIF($L$4:$AL$4,"SUBTOTAL",$L$22:$AL$22)</f>
        <v>-2.095014909928786</v>
      </c>
      <c r="AO22" s="20">
        <f ca="1">+'TUSD BE'!$T$22+'TUSD BE'!$AB$22+'TUSD BE'!$AD$22+'TUSD BE'!$AL$22</f>
        <v>371.55758363074114</v>
      </c>
      <c r="AP22" s="20">
        <f ca="1">+'TUSD BE'!$T$22+'TUSD BE'!$AB$22+'TUSD BE'!$AD$22+'TUSD BE'!$AL$22</f>
        <v>371.55758363074114</v>
      </c>
    </row>
    <row r="23" spans="1:42" ht="11.25" customHeight="1" x14ac:dyDescent="0.25">
      <c r="A23" s="139"/>
      <c r="B23" s="139"/>
      <c r="C23" s="139"/>
      <c r="D23" s="17" t="s">
        <v>30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305.03699999999998</v>
      </c>
      <c r="J23" s="15"/>
      <c r="L23" s="13">
        <f>'TUSD BE'!$L$23*'TUSD BE'!$L$58</f>
        <v>0</v>
      </c>
      <c r="M23" s="13">
        <f>'TUSD BE'!$M$23*'TUSD BE'!$M$58</f>
        <v>-4.2283101664990205E-2</v>
      </c>
      <c r="N23" s="13">
        <f ca="1">'TUSD BE'!$N$23*'TUSD BE'!$N$58</f>
        <v>2.3232821881630357E-6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-4.2280778382802045E-2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-2.6343239833413987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-2.6343239833413987</v>
      </c>
      <c r="AC23" s="13">
        <f>'TUSD BE'!$AC$23*'TUSD BE'!$AC$58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0.52138809842257405</v>
      </c>
      <c r="AI23" s="13">
        <f>'TUSD BE'!$AI$23*'TUSD BE'!$AI$58</f>
        <v>0</v>
      </c>
      <c r="AJ23" s="13">
        <f ca="1">'TUSD BE'!$AJ$23*'TUSD BE'!$AJ$58</f>
        <v>4.0935442612293094E-2</v>
      </c>
      <c r="AK23" s="13">
        <f ca="1">'TUSD BE'!$AK$23*'TUSD BE'!$AK$58</f>
        <v>1.9266310760547616E-2</v>
      </c>
      <c r="AL23" s="13">
        <f ca="1">SUM($AH$23:$AK$23)</f>
        <v>0.58158985179541478</v>
      </c>
      <c r="AM23" s="13">
        <f ca="1">SUMIF($L$4:$AL$4,"SUBTOTAL",$L$23:$AL$23)</f>
        <v>-2.095014909928786</v>
      </c>
      <c r="AO23" s="20">
        <f ca="1">+'TUSD BE'!$T$23+'TUSD BE'!$AB$23+'TUSD BE'!$AD$23+'TUSD BE'!$AL$23</f>
        <v>371.55758363074114</v>
      </c>
      <c r="AP23" s="20">
        <f ca="1">+'TUSD BE'!$T$23+'TUSD BE'!$AB$23+'TUSD BE'!$AD$23+'TUSD BE'!$AL$23</f>
        <v>371.55758363074114</v>
      </c>
    </row>
    <row r="24" spans="1:42" ht="11.25" customHeight="1" x14ac:dyDescent="0.25">
      <c r="A24" s="139"/>
      <c r="B24" s="139"/>
      <c r="C24" s="139"/>
      <c r="D24" s="17" t="s">
        <v>31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109.482</v>
      </c>
      <c r="J24" s="15"/>
      <c r="L24" s="13">
        <f>'TUSD BE'!$L$24*'TUSD BE'!$L$58</f>
        <v>0</v>
      </c>
      <c r="M24" s="13">
        <f>'TUSD BE'!$M$24*'TUSD BE'!$M$58</f>
        <v>-4.2283101664990205E-2</v>
      </c>
      <c r="N24" s="13">
        <f ca="1">'TUSD BE'!$N$24*'TUSD BE'!$N$58</f>
        <v>2.3232821881630357E-6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-4.2280778382802045E-2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-2.6343239833413987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-2.6343239833413987</v>
      </c>
      <c r="AC24" s="13">
        <f>'TUSD BE'!$AC$24*'TUSD BE'!$AC$58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0.52138809842257405</v>
      </c>
      <c r="AI24" s="13">
        <f>'TUSD BE'!$AI$24*'TUSD BE'!$AI$58</f>
        <v>0</v>
      </c>
      <c r="AJ24" s="13">
        <f ca="1">'TUSD BE'!$AJ$24*'TUSD BE'!$AJ$58</f>
        <v>4.0935442612293094E-2</v>
      </c>
      <c r="AK24" s="13">
        <f ca="1">'TUSD BE'!$AK$24*'TUSD BE'!$AK$58</f>
        <v>1.9266310760547616E-2</v>
      </c>
      <c r="AL24" s="13">
        <f ca="1">SUM($AH$24:$AK$24)</f>
        <v>0.58158985179541478</v>
      </c>
      <c r="AM24" s="13">
        <f ca="1">SUMIF($L$4:$AL$4,"SUBTOTAL",$L$24:$AL$24)</f>
        <v>-2.095014909928786</v>
      </c>
      <c r="AO24" s="20">
        <f ca="1">+'TUSD BE'!$T$24+'TUSD BE'!$AB$24+'TUSD BE'!$AD$24+'TUSD BE'!$AL$24</f>
        <v>371.55758363074114</v>
      </c>
      <c r="AP24" s="20">
        <f ca="1">+'TUSD BE'!$T$24+'TUSD BE'!$AB$24+'TUSD BE'!$AD$24+'TUSD BE'!$AL$24</f>
        <v>371.55758363074114</v>
      </c>
    </row>
    <row r="25" spans="1:42" ht="11.25" customHeight="1" x14ac:dyDescent="0.25">
      <c r="A25" s="139"/>
      <c r="B25" s="139" t="s">
        <v>84</v>
      </c>
      <c r="C25" s="139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-4.2283101664990205E-2</v>
      </c>
      <c r="N25" s="13">
        <f ca="1">'TUSD BE'!$N$25*'TUSD BE'!$N$58</f>
        <v>2.3300236724877309E-6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-2.5889577452651773</v>
      </c>
      <c r="R25" s="13">
        <f>'TUSD BE'!$R$25*'TUSD BE'!$R$58</f>
        <v>-0.42769576103318119</v>
      </c>
      <c r="S25" s="13">
        <f>'TUSD BE'!$R$25*'TUSD BE'!$S$58</f>
        <v>0</v>
      </c>
      <c r="T25" s="13">
        <f ca="1">SUM($L$25:$S$25)</f>
        <v>-3.0589342779396764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-2.6343239833413987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-2.6343239833413987</v>
      </c>
      <c r="AC25" s="13">
        <f>'TUSD BE'!$AC$25*'TUSD BE'!$AC$58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0.52138809842257405</v>
      </c>
      <c r="AI25" s="13">
        <f>'TUSD BE'!$AI$25*'TUSD BE'!$AI$58</f>
        <v>0</v>
      </c>
      <c r="AJ25" s="13">
        <f ca="1">'TUSD BE'!$AJ$25*'TUSD BE'!$AJ$58</f>
        <v>4.0935442612293094E-2</v>
      </c>
      <c r="AK25" s="13">
        <f ca="1">'TUSD BE'!$AK$25*'TUSD BE'!$AK$58</f>
        <v>1.9266310760547616E-2</v>
      </c>
      <c r="AL25" s="13">
        <f ca="1">SUM($AH$25:$AK$25)</f>
        <v>0.58158985179541478</v>
      </c>
      <c r="AM25" s="13">
        <f ca="1">SUMIF($L$4:$AL$4,"SUBTOTAL",$L$25:$AL$25)</f>
        <v>-5.1116684094856604</v>
      </c>
      <c r="AO25" s="20">
        <f ca="1">+'TUSD BE'!$T$25+'TUSD BE'!$AB$25+'TUSD BE'!$AD$25+'TUSD BE'!$AL$25</f>
        <v>475.00372559990984</v>
      </c>
      <c r="AP25" s="20">
        <f ca="1">+'TUSD BE'!$T$25+'TUSD BE'!$AB$25+'TUSD BE'!$AD$25+'TUSD BE'!$AL$25</f>
        <v>475.00372559990984</v>
      </c>
    </row>
    <row r="26" spans="1:42" ht="11.25" customHeight="1" x14ac:dyDescent="0.25">
      <c r="A26" s="139"/>
      <c r="B26" s="139"/>
      <c r="C26" s="139"/>
      <c r="D26" s="17" t="s">
        <v>28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-4.2283101664990205E-2</v>
      </c>
      <c r="N26" s="13">
        <f ca="1">'TUSD BE'!$N$26*'TUSD BE'!$N$58</f>
        <v>2.3232821881630357E-6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-4.2280778382802045E-2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-2.6343239833413987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-2.6343239833413987</v>
      </c>
      <c r="AC26" s="13">
        <f>'TUSD BE'!$AC$26*'TUSD BE'!$AC$58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0.52138809842257405</v>
      </c>
      <c r="AI26" s="13">
        <f>'TUSD BE'!$AI$26*'TUSD BE'!$AI$58</f>
        <v>0</v>
      </c>
      <c r="AJ26" s="13">
        <f ca="1">'TUSD BE'!$AJ$26*'TUSD BE'!$AJ$58</f>
        <v>4.0935442612293094E-2</v>
      </c>
      <c r="AK26" s="13">
        <f ca="1">'TUSD BE'!$AK$26*'TUSD BE'!$AK$58</f>
        <v>1.9266310760547616E-2</v>
      </c>
      <c r="AL26" s="13">
        <f ca="1">SUM($AH$26:$AK$26)</f>
        <v>0.58158985179541478</v>
      </c>
      <c r="AM26" s="13">
        <f ca="1">SUMIF($L$4:$AL$4,"SUBTOTAL",$L$26:$AL$26)</f>
        <v>-2.095014909928786</v>
      </c>
      <c r="AO26" s="20">
        <f ca="1">+'TUSD BE'!$T$26+'TUSD BE'!$AB$26+'TUSD BE'!$AD$26+'TUSD BE'!$AL$26</f>
        <v>371.55758363074114</v>
      </c>
      <c r="AP26" s="20">
        <f ca="1">+'TUSD BE'!$T$26+'TUSD BE'!$AB$26+'TUSD BE'!$AD$26+'TUSD BE'!$AL$26</f>
        <v>371.55758363074114</v>
      </c>
    </row>
    <row r="27" spans="1:42" ht="11.25" customHeight="1" x14ac:dyDescent="0.25">
      <c r="A27" s="139"/>
      <c r="B27" s="139"/>
      <c r="C27" s="139"/>
      <c r="D27" s="17" t="s">
        <v>29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-4.2283101664990205E-2</v>
      </c>
      <c r="N27" s="13">
        <f ca="1">'TUSD BE'!$N$27*'TUSD BE'!$N$58</f>
        <v>2.3232821881630357E-6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-4.2280778382802045E-2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-2.6343239833413987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-2.6343239833413987</v>
      </c>
      <c r="AC27" s="13">
        <f>'TUSD BE'!$AC$27*'TUSD BE'!$AC$58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0.52138809842257405</v>
      </c>
      <c r="AI27" s="13">
        <f>'TUSD BE'!$AI$27*'TUSD BE'!$AI$58</f>
        <v>0</v>
      </c>
      <c r="AJ27" s="13">
        <f ca="1">'TUSD BE'!$AJ$27*'TUSD BE'!$AJ$58</f>
        <v>4.0935442612293094E-2</v>
      </c>
      <c r="AK27" s="13">
        <f ca="1">'TUSD BE'!$AK$27*'TUSD BE'!$AK$58</f>
        <v>1.9266310760547616E-2</v>
      </c>
      <c r="AL27" s="13">
        <f ca="1">SUM($AH$27:$AK$27)</f>
        <v>0.58158985179541478</v>
      </c>
      <c r="AM27" s="13">
        <f ca="1">SUMIF($L$4:$AL$4,"SUBTOTAL",$L$27:$AL$27)</f>
        <v>-2.095014909928786</v>
      </c>
      <c r="AO27" s="20">
        <f ca="1">+'TUSD BE'!$T$27+'TUSD BE'!$AB$27+'TUSD BE'!$AD$27+'TUSD BE'!$AL$27</f>
        <v>371.55758363074114</v>
      </c>
      <c r="AP27" s="20">
        <f ca="1">+'TUSD BE'!$T$27+'TUSD BE'!$AB$27+'TUSD BE'!$AD$27+'TUSD BE'!$AL$27</f>
        <v>371.55758363074114</v>
      </c>
    </row>
    <row r="28" spans="1:42" ht="11.25" customHeight="1" x14ac:dyDescent="0.25">
      <c r="A28" s="139"/>
      <c r="B28" s="139"/>
      <c r="C28" s="139"/>
      <c r="D28" s="17" t="s">
        <v>30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-4.2283101664990205E-2</v>
      </c>
      <c r="N28" s="13">
        <f ca="1">'TUSD BE'!$N$28*'TUSD BE'!$N$58</f>
        <v>2.3232821881630357E-6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-4.2280778382802045E-2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-2.6343239833413987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-2.6343239833413987</v>
      </c>
      <c r="AC28" s="13">
        <f>'TUSD BE'!$AC$28*'TUSD BE'!$AC$58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0.52138809842257405</v>
      </c>
      <c r="AI28" s="13">
        <f>'TUSD BE'!$AI$28*'TUSD BE'!$AI$58</f>
        <v>0</v>
      </c>
      <c r="AJ28" s="13">
        <f ca="1">'TUSD BE'!$AJ$28*'TUSD BE'!$AJ$58</f>
        <v>4.0935442612293094E-2</v>
      </c>
      <c r="AK28" s="13">
        <f ca="1">'TUSD BE'!$AK$28*'TUSD BE'!$AK$58</f>
        <v>1.9266310760547616E-2</v>
      </c>
      <c r="AL28" s="13">
        <f ca="1">SUM($AH$28:$AK$28)</f>
        <v>0.58158985179541478</v>
      </c>
      <c r="AM28" s="13">
        <f ca="1">SUMIF($L$4:$AL$4,"SUBTOTAL",$L$28:$AL$28)</f>
        <v>-2.095014909928786</v>
      </c>
      <c r="AO28" s="20">
        <f ca="1">+'TUSD BE'!$T$28+'TUSD BE'!$AB$28+'TUSD BE'!$AD$28+'TUSD BE'!$AL$28</f>
        <v>371.55758363074114</v>
      </c>
      <c r="AP28" s="20">
        <f ca="1">+'TUSD BE'!$T$28+'TUSD BE'!$AB$28+'TUSD BE'!$AD$28+'TUSD BE'!$AL$28</f>
        <v>371.55758363074114</v>
      </c>
    </row>
    <row r="29" spans="1:42" ht="11.25" customHeight="1" x14ac:dyDescent="0.25">
      <c r="A29" s="139"/>
      <c r="B29" s="139"/>
      <c r="C29" s="139"/>
      <c r="D29" s="17" t="s">
        <v>31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-4.2283101664990205E-2</v>
      </c>
      <c r="N29" s="13">
        <f ca="1">'TUSD BE'!$N$29*'TUSD BE'!$N$58</f>
        <v>2.3232821881630357E-6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-4.2280778382802045E-2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-2.6343239833413987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-2.6343239833413987</v>
      </c>
      <c r="AC29" s="13">
        <f>'TUSD BE'!$AC$29*'TUSD BE'!$AC$58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0.52138809842257405</v>
      </c>
      <c r="AI29" s="13">
        <f>'TUSD BE'!$AI$29*'TUSD BE'!$AI$58</f>
        <v>0</v>
      </c>
      <c r="AJ29" s="13">
        <f ca="1">'TUSD BE'!$AJ$29*'TUSD BE'!$AJ$58</f>
        <v>4.0935442612293094E-2</v>
      </c>
      <c r="AK29" s="13">
        <f ca="1">'TUSD BE'!$AK$29*'TUSD BE'!$AK$58</f>
        <v>1.9266310760547616E-2</v>
      </c>
      <c r="AL29" s="13">
        <f ca="1">SUM($AH$29:$AK$29)</f>
        <v>0.58158985179541478</v>
      </c>
      <c r="AM29" s="13">
        <f ca="1">SUMIF($L$4:$AL$4,"SUBTOTAL",$L$29:$AL$29)</f>
        <v>-2.095014909928786</v>
      </c>
      <c r="AO29" s="20">
        <f ca="1">+'TUSD BE'!$T$29+'TUSD BE'!$AB$29+'TUSD BE'!$AD$29+'TUSD BE'!$AL$29</f>
        <v>371.55758363074114</v>
      </c>
      <c r="AP29" s="20">
        <f ca="1">+'TUSD BE'!$T$29+'TUSD BE'!$AB$29+'TUSD BE'!$AD$29+'TUSD BE'!$AL$29</f>
        <v>371.55758363074114</v>
      </c>
    </row>
    <row r="30" spans="1:42" ht="11.25" customHeight="1" x14ac:dyDescent="0.25">
      <c r="A30" s="139" t="s">
        <v>41</v>
      </c>
      <c r="B30" s="139" t="s">
        <v>38</v>
      </c>
      <c r="C30" s="139" t="s">
        <v>42</v>
      </c>
      <c r="D30" s="139" t="s">
        <v>25</v>
      </c>
      <c r="E30" s="139" t="s">
        <v>25</v>
      </c>
      <c r="F30" s="139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-4.2283101664990205E-2</v>
      </c>
      <c r="N30" s="13">
        <f ca="1">'TUSD BE'!$N$30*'TUSD BE'!$N$58</f>
        <v>2.8976872179012377E-7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-2.5889577452651773</v>
      </c>
      <c r="R30" s="13">
        <f>'TUSD BE'!$R$30*'TUSD BE'!$R$58</f>
        <v>-0.42769576103318119</v>
      </c>
      <c r="S30" s="13">
        <f>'TUSD BE'!$R$30*'TUSD BE'!$S$58</f>
        <v>0</v>
      </c>
      <c r="T30" s="13">
        <f ca="1">SUM($L$30:$S$30)</f>
        <v>-3.0589363181946272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0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0</v>
      </c>
      <c r="AC30" s="13">
        <f>'TUSD BE'!$AC$30*'TUSD BE'!$AC$58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0.52138809842257405</v>
      </c>
      <c r="AI30" s="13">
        <f>'TUSD BE'!$AI$30*'TUSD BE'!$AI$58</f>
        <v>0</v>
      </c>
      <c r="AJ30" s="13">
        <f ca="1">'TUSD BE'!$AJ$30*'TUSD BE'!$AJ$58</f>
        <v>4.0935442612293094E-2</v>
      </c>
      <c r="AK30" s="13">
        <f ca="1">'TUSD BE'!$AK$30*'TUSD BE'!$AK$58</f>
        <v>1.9266310760547616E-2</v>
      </c>
      <c r="AL30" s="13">
        <f ca="1">SUM($AH$30:$AK$30)</f>
        <v>0.58158985179541478</v>
      </c>
      <c r="AM30" s="13">
        <f ca="1">SUMIF($L$4:$AL$4,"SUBTOTAL",$L$30:$AL$30)</f>
        <v>-2.4773464663992124</v>
      </c>
      <c r="AO30" s="20">
        <f ca="1">+'TUSD BE'!$T$30+'TUSD BE'!$AB$30+'TUSD BE'!$AD$30+'TUSD BE'!$AL$30</f>
        <v>126.20951403383353</v>
      </c>
      <c r="AP30" s="20">
        <f ca="1">+'TUSD BE'!$T$30+'TUSD BE'!$AB$30+'TUSD BE'!$AD$30+'TUSD BE'!$AL$30</f>
        <v>126.20951403383353</v>
      </c>
    </row>
    <row r="31" spans="1:42" ht="11.25" customHeight="1" x14ac:dyDescent="0.25">
      <c r="A31" s="139"/>
      <c r="B31" s="139"/>
      <c r="C31" s="139"/>
      <c r="D31" s="139"/>
      <c r="E31" s="139"/>
      <c r="F31" s="139"/>
      <c r="G31" s="18" t="s">
        <v>82</v>
      </c>
      <c r="H31" s="18" t="s">
        <v>68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-4.2283101664990205E-2</v>
      </c>
      <c r="N31" s="13">
        <f ca="1">'TUSD BE'!$N$31*'TUSD BE'!$N$58</f>
        <v>2.8976872179012377E-7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-2.5889577452651773</v>
      </c>
      <c r="R31" s="13">
        <f>'TUSD BE'!$R$31*'TUSD BE'!$R$58</f>
        <v>-0.42769576103318119</v>
      </c>
      <c r="S31" s="13">
        <f>'TUSD BE'!$R$31*'TUSD BE'!$S$58</f>
        <v>0</v>
      </c>
      <c r="T31" s="13">
        <f ca="1">SUM($L$31:$S$31)</f>
        <v>-3.0589363181946272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0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0</v>
      </c>
      <c r="AC31" s="13">
        <f>'TUSD BE'!$AC$31*'TUSD BE'!$AC$58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0.52138809842257405</v>
      </c>
      <c r="AI31" s="13">
        <f>'TUSD BE'!$AI$31*'TUSD BE'!$AI$58</f>
        <v>0</v>
      </c>
      <c r="AJ31" s="13">
        <f ca="1">'TUSD BE'!$AJ$31*'TUSD BE'!$AJ$58</f>
        <v>4.0935442612293094E-2</v>
      </c>
      <c r="AK31" s="13">
        <f ca="1">'TUSD BE'!$AK$31*'TUSD BE'!$AK$58</f>
        <v>1.9266310760547616E-2</v>
      </c>
      <c r="AL31" s="13">
        <f ca="1">SUM($AH$31:$AK$31)</f>
        <v>0.58158985179541478</v>
      </c>
      <c r="AM31" s="13">
        <f ca="1">SUMIF($L$4:$AL$4,"SUBTOTAL",$L$31:$AL$31)</f>
        <v>-2.4773464663992124</v>
      </c>
      <c r="AO31" s="20">
        <f ca="1">+'TUSD BE'!$T$31+'TUSD BE'!$AB$31+'TUSD BE'!$AD$31+'TUSD BE'!$AL$31</f>
        <v>126.20951403383353</v>
      </c>
      <c r="AP31" s="20">
        <f ca="1">+'TUSD BE'!$T$31+'TUSD BE'!$AB$31+'TUSD BE'!$AD$31+'TUSD BE'!$AL$31</f>
        <v>126.20951403383353</v>
      </c>
    </row>
    <row r="32" spans="1:42" ht="11.25" customHeight="1" x14ac:dyDescent="0.25">
      <c r="A32" s="139"/>
      <c r="B32" s="139"/>
      <c r="C32" s="139"/>
      <c r="D32" s="139"/>
      <c r="E32" s="139"/>
      <c r="F32" s="139"/>
      <c r="G32" s="18" t="s">
        <v>70</v>
      </c>
      <c r="H32" s="18" t="s">
        <v>68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-4.2283101664990205E-2</v>
      </c>
      <c r="N32" s="13">
        <f ca="1">'TUSD BE'!$N$32*'TUSD BE'!$N$58</f>
        <v>2.8976872179012377E-7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-2.5889577452651773</v>
      </c>
      <c r="R32" s="13">
        <f>'TUSD BE'!$R$32*'TUSD BE'!$R$58</f>
        <v>-0.42769576103318119</v>
      </c>
      <c r="S32" s="13">
        <f>'TUSD BE'!$R$32*'TUSD BE'!$S$58</f>
        <v>0</v>
      </c>
      <c r="T32" s="13">
        <f ca="1">SUM($L$32:$S$32)</f>
        <v>-3.0589363181946272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0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0</v>
      </c>
      <c r="AC32" s="13">
        <f>'TUSD BE'!$AC$32*'TUSD BE'!$AC$58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0.52138809842257405</v>
      </c>
      <c r="AI32" s="13">
        <f>'TUSD BE'!$AI$32*'TUSD BE'!$AI$58</f>
        <v>0</v>
      </c>
      <c r="AJ32" s="13">
        <f ca="1">'TUSD BE'!$AJ$32*'TUSD BE'!$AJ$58</f>
        <v>4.0935442612293094E-2</v>
      </c>
      <c r="AK32" s="13">
        <f ca="1">'TUSD BE'!$AK$32*'TUSD BE'!$AK$58</f>
        <v>1.9266310760547616E-2</v>
      </c>
      <c r="AL32" s="13">
        <f ca="1">SUM($AH$32:$AK$32)</f>
        <v>0.58158985179541478</v>
      </c>
      <c r="AM32" s="13">
        <f ca="1">SUMIF($L$4:$AL$4,"SUBTOTAL",$L$32:$AL$32)</f>
        <v>-2.4773464663992124</v>
      </c>
      <c r="AO32" s="20">
        <f ca="1">+'TUSD BE'!$T$32+'TUSD BE'!$AB$32+'TUSD BE'!$AD$32+'TUSD BE'!$AL$32</f>
        <v>126.20951403383353</v>
      </c>
      <c r="AP32" s="20">
        <f ca="1">+'TUSD BE'!$T$32+'TUSD BE'!$AB$32+'TUSD BE'!$AD$32+'TUSD BE'!$AL$32</f>
        <v>126.20951403383353</v>
      </c>
    </row>
    <row r="33" spans="1:42" ht="11.25" customHeight="1" x14ac:dyDescent="0.25">
      <c r="A33" s="139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11.840000000000002</v>
      </c>
      <c r="J33" s="15"/>
      <c r="L33" s="13">
        <f>'TUSD BE'!$L$33*'TUSD BE'!$L$58</f>
        <v>0</v>
      </c>
      <c r="M33" s="13">
        <f>'TUSD BE'!$M$33*'TUSD BE'!$M$58</f>
        <v>-4.2283101664990205E-2</v>
      </c>
      <c r="N33" s="13">
        <f ca="1">'TUSD BE'!$N$33*'TUSD BE'!$N$58</f>
        <v>2.3300236724877309E-6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-2.5889577452651773</v>
      </c>
      <c r="R33" s="13">
        <f>'TUSD BE'!$R$33*'TUSD BE'!$R$58</f>
        <v>-0.42769576103318119</v>
      </c>
      <c r="S33" s="13">
        <f>'TUSD BE'!$R$33*'TUSD BE'!$S$58</f>
        <v>0</v>
      </c>
      <c r="T33" s="13">
        <f ca="1">SUM($L$33:$S$33)</f>
        <v>-3.0589342779396764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-2.6343239833413987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-2.6343239833413987</v>
      </c>
      <c r="AC33" s="13">
        <f>'TUSD BE'!$AC$33*'TUSD BE'!$AC$58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0.52138809842257405</v>
      </c>
      <c r="AI33" s="13">
        <f>'TUSD BE'!$AI$33*'TUSD BE'!$AI$58</f>
        <v>0</v>
      </c>
      <c r="AJ33" s="13">
        <f ca="1">'TUSD BE'!$AJ$33*'TUSD BE'!$AJ$58</f>
        <v>4.0935442612293094E-2</v>
      </c>
      <c r="AK33" s="13">
        <f ca="1">'TUSD BE'!$AK$33*'TUSD BE'!$AK$58</f>
        <v>1.9266310760547616E-2</v>
      </c>
      <c r="AL33" s="13">
        <f ca="1">SUM($AH$33:$AK$33)</f>
        <v>0.58158985179541478</v>
      </c>
      <c r="AM33" s="13">
        <f ca="1">SUMIF($L$4:$AL$4,"SUBTOTAL",$L$33:$AL$33)</f>
        <v>-5.1116684094856604</v>
      </c>
      <c r="AO33" s="20">
        <f ca="1">+'TUSD BE'!$T$33+'TUSD BE'!$AB$33+'TUSD BE'!$AD$33+'TUSD BE'!$AL$33</f>
        <v>475.00372559990984</v>
      </c>
      <c r="AP33" s="20">
        <f ca="1">+'TUSD BE'!$T$33+'TUSD BE'!$AB$33+'TUSD BE'!$AD$33+'TUSD BE'!$AL$33</f>
        <v>475.00372559990984</v>
      </c>
    </row>
    <row r="34" spans="1:42" ht="11.25" customHeight="1" x14ac:dyDescent="0.25">
      <c r="A34" s="139"/>
      <c r="B34" s="139" t="s">
        <v>38</v>
      </c>
      <c r="C34" s="139" t="s">
        <v>42</v>
      </c>
      <c r="D34" s="139" t="s">
        <v>85</v>
      </c>
      <c r="E34" s="139" t="s">
        <v>25</v>
      </c>
      <c r="F34" s="139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-4.2283101664990205E-2</v>
      </c>
      <c r="N34" s="13">
        <f ca="1">'TUSD BE'!$N$34*'TUSD BE'!$N$58</f>
        <v>2.8976872179012377E-7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-2.5889577452651773</v>
      </c>
      <c r="R34" s="13">
        <f>'TUSD BE'!$R$34*'TUSD BE'!$R$58</f>
        <v>-0.42769576103318119</v>
      </c>
      <c r="S34" s="13">
        <f>'TUSD BE'!$R$34*'TUSD BE'!$S$58</f>
        <v>0</v>
      </c>
      <c r="T34" s="13">
        <f ca="1">SUM($L$34:$S$34)</f>
        <v>-3.0589363181946272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0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0</v>
      </c>
      <c r="AC34" s="13">
        <f>'TUSD BE'!$AC$34*'TUSD BE'!$AC$58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0.52138809842257405</v>
      </c>
      <c r="AI34" s="13">
        <f>'TUSD BE'!$AI$34*'TUSD BE'!$AI$58</f>
        <v>0</v>
      </c>
      <c r="AJ34" s="13">
        <f ca="1">'TUSD BE'!$AJ$34*'TUSD BE'!$AJ$58</f>
        <v>4.0935442612293094E-2</v>
      </c>
      <c r="AK34" s="13">
        <f ca="1">'TUSD BE'!$AK$34*'TUSD BE'!$AK$58</f>
        <v>1.9266310760547616E-2</v>
      </c>
      <c r="AL34" s="13">
        <f ca="1">SUM($AH$34:$AK$34)</f>
        <v>0.58158985179541478</v>
      </c>
      <c r="AM34" s="13">
        <f ca="1">SUMIF($L$4:$AL$4,"SUBTOTAL",$L$34:$AL$34)</f>
        <v>-2.4773464663992124</v>
      </c>
      <c r="AO34" s="20">
        <f ca="1">+'TUSD BE'!$T$34+'TUSD BE'!$AB$34+'TUSD BE'!$AD$34+'TUSD BE'!$AL$34</f>
        <v>126.20951403383353</v>
      </c>
      <c r="AP34" s="20">
        <f ca="1">+'TUSD BE'!$T$34+'TUSD BE'!$AB$34+'TUSD BE'!$AD$34+'TUSD BE'!$AL$34</f>
        <v>126.20951403383353</v>
      </c>
    </row>
    <row r="35" spans="1:42" ht="11.25" customHeight="1" x14ac:dyDescent="0.25">
      <c r="A35" s="139"/>
      <c r="B35" s="139"/>
      <c r="C35" s="139"/>
      <c r="D35" s="139"/>
      <c r="E35" s="139"/>
      <c r="F35" s="139"/>
      <c r="G35" s="18" t="s">
        <v>82</v>
      </c>
      <c r="H35" s="18" t="s">
        <v>68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-4.2283101664990205E-2</v>
      </c>
      <c r="N35" s="13">
        <f ca="1">'TUSD BE'!$N$35*'TUSD BE'!$N$58</f>
        <v>2.8976872179012377E-7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-2.5889577452651773</v>
      </c>
      <c r="R35" s="13">
        <f>'TUSD BE'!$R$35*'TUSD BE'!$R$58</f>
        <v>-0.42769576103318119</v>
      </c>
      <c r="S35" s="13">
        <f>'TUSD BE'!$R$35*'TUSD BE'!$S$58</f>
        <v>0</v>
      </c>
      <c r="T35" s="13">
        <f ca="1">SUM($L$35:$S$35)</f>
        <v>-3.0589363181946272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0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0</v>
      </c>
      <c r="AC35" s="13">
        <f>'TUSD BE'!$AC$35*'TUSD BE'!$AC$58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0.52138809842257405</v>
      </c>
      <c r="AI35" s="13">
        <f>'TUSD BE'!$AI$35*'TUSD BE'!$AI$58</f>
        <v>0</v>
      </c>
      <c r="AJ35" s="13">
        <f ca="1">'TUSD BE'!$AJ$35*'TUSD BE'!$AJ$58</f>
        <v>4.0935442612293094E-2</v>
      </c>
      <c r="AK35" s="13">
        <f ca="1">'TUSD BE'!$AK$35*'TUSD BE'!$AK$58</f>
        <v>1.9266310760547616E-2</v>
      </c>
      <c r="AL35" s="13">
        <f ca="1">SUM($AH$35:$AK$35)</f>
        <v>0.58158985179541478</v>
      </c>
      <c r="AM35" s="13">
        <f ca="1">SUMIF($L$4:$AL$4,"SUBTOTAL",$L$35:$AL$35)</f>
        <v>-2.4773464663992124</v>
      </c>
      <c r="AO35" s="20">
        <f ca="1">+'TUSD BE'!$T$35+'TUSD BE'!$AB$35+'TUSD BE'!$AD$35+'TUSD BE'!$AL$35</f>
        <v>126.20951403383353</v>
      </c>
      <c r="AP35" s="20">
        <f ca="1">+'TUSD BE'!$T$35+'TUSD BE'!$AB$35+'TUSD BE'!$AD$35+'TUSD BE'!$AL$35</f>
        <v>126.20951403383353</v>
      </c>
    </row>
    <row r="36" spans="1:42" ht="11.25" customHeight="1" x14ac:dyDescent="0.25">
      <c r="A36" s="139"/>
      <c r="B36" s="139"/>
      <c r="C36" s="139"/>
      <c r="D36" s="139"/>
      <c r="E36" s="139"/>
      <c r="F36" s="139"/>
      <c r="G36" s="18" t="s">
        <v>70</v>
      </c>
      <c r="H36" s="18" t="s">
        <v>68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-4.2283101664990205E-2</v>
      </c>
      <c r="N36" s="13">
        <f ca="1">'TUSD BE'!$N$36*'TUSD BE'!$N$58</f>
        <v>2.8976872179012377E-7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-2.5889577452651773</v>
      </c>
      <c r="R36" s="13">
        <f>'TUSD BE'!$R$36*'TUSD BE'!$R$58</f>
        <v>-0.42769576103318119</v>
      </c>
      <c r="S36" s="13">
        <f>'TUSD BE'!$R$36*'TUSD BE'!$S$58</f>
        <v>0</v>
      </c>
      <c r="T36" s="13">
        <f ca="1">SUM($L$36:$S$36)</f>
        <v>-3.0589363181946272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0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0</v>
      </c>
      <c r="AC36" s="13">
        <f>'TUSD BE'!$AC$36*'TUSD BE'!$AC$58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0.52138809842257405</v>
      </c>
      <c r="AI36" s="13">
        <f>'TUSD BE'!$AI$36*'TUSD BE'!$AI$58</f>
        <v>0</v>
      </c>
      <c r="AJ36" s="13">
        <f ca="1">'TUSD BE'!$AJ$36*'TUSD BE'!$AJ$58</f>
        <v>4.0935442612293094E-2</v>
      </c>
      <c r="AK36" s="13">
        <f ca="1">'TUSD BE'!$AK$36*'TUSD BE'!$AK$58</f>
        <v>1.9266310760547616E-2</v>
      </c>
      <c r="AL36" s="13">
        <f ca="1">SUM($AH$36:$AK$36)</f>
        <v>0.58158985179541478</v>
      </c>
      <c r="AM36" s="13">
        <f ca="1">SUMIF($L$4:$AL$4,"SUBTOTAL",$L$36:$AL$36)</f>
        <v>-2.4773464663992124</v>
      </c>
      <c r="AO36" s="20">
        <f ca="1">+'TUSD BE'!$T$36+'TUSD BE'!$AB$36+'TUSD BE'!$AD$36+'TUSD BE'!$AL$36</f>
        <v>126.20951403383353</v>
      </c>
      <c r="AP36" s="20">
        <f ca="1">+'TUSD BE'!$T$36+'TUSD BE'!$AB$36+'TUSD BE'!$AD$36+'TUSD BE'!$AL$36</f>
        <v>126.20951403383353</v>
      </c>
    </row>
    <row r="37" spans="1:42" ht="11.25" customHeight="1" x14ac:dyDescent="0.25">
      <c r="A37" s="139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-4.2283101664990205E-2</v>
      </c>
      <c r="N37" s="13">
        <f ca="1">'TUSD BE'!$N$37*'TUSD BE'!$N$58</f>
        <v>2.3300236724877309E-6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-2.5889577452651773</v>
      </c>
      <c r="R37" s="13">
        <f>'TUSD BE'!$R$37*'TUSD BE'!$R$58</f>
        <v>-0.42769576103318119</v>
      </c>
      <c r="S37" s="13">
        <f>'TUSD BE'!$R$37*'TUSD BE'!$S$58</f>
        <v>0</v>
      </c>
      <c r="T37" s="13">
        <f ca="1">SUM($L$37:$S$37)</f>
        <v>-3.0589342779396764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-2.6343239833413987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-2.6343239833413987</v>
      </c>
      <c r="AC37" s="13">
        <f>'TUSD BE'!$AC$37*'TUSD BE'!$AC$58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0.52138809842257405</v>
      </c>
      <c r="AI37" s="13">
        <f>'TUSD BE'!$AI$37*'TUSD BE'!$AI$58</f>
        <v>0</v>
      </c>
      <c r="AJ37" s="13">
        <f ca="1">'TUSD BE'!$AJ$37*'TUSD BE'!$AJ$58</f>
        <v>4.0935442612293094E-2</v>
      </c>
      <c r="AK37" s="13">
        <f ca="1">'TUSD BE'!$AK$37*'TUSD BE'!$AK$58</f>
        <v>1.9266310760547616E-2</v>
      </c>
      <c r="AL37" s="13">
        <f ca="1">SUM($AH$37:$AK$37)</f>
        <v>0.58158985179541478</v>
      </c>
      <c r="AM37" s="13">
        <f ca="1">SUMIF($L$4:$AL$4,"SUBTOTAL",$L$37:$AL$37)</f>
        <v>-5.1116684094856604</v>
      </c>
      <c r="AO37" s="20">
        <f ca="1">+'TUSD BE'!$T$37+'TUSD BE'!$AB$37+'TUSD BE'!$AD$37+'TUSD BE'!$AL$37</f>
        <v>475.00372559990984</v>
      </c>
      <c r="AP37" s="20">
        <f ca="1">+'TUSD BE'!$T$37+'TUSD BE'!$AB$37+'TUSD BE'!$AD$37+'TUSD BE'!$AL$37</f>
        <v>475.00372559990984</v>
      </c>
    </row>
    <row r="38" spans="1:42" ht="11.25" customHeight="1" x14ac:dyDescent="0.25">
      <c r="A38" s="139"/>
      <c r="B38" s="139" t="s">
        <v>38</v>
      </c>
      <c r="C38" s="139" t="s">
        <v>42</v>
      </c>
      <c r="D38" s="139" t="s">
        <v>86</v>
      </c>
      <c r="E38" s="139" t="s">
        <v>25</v>
      </c>
      <c r="F38" s="139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-4.2283101664990205E-2</v>
      </c>
      <c r="N38" s="13">
        <f ca="1">'TUSD BE'!$N$38*'TUSD BE'!$N$58</f>
        <v>2.8976872179012377E-7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-2.5889577452651773</v>
      </c>
      <c r="R38" s="13">
        <f>'TUSD BE'!$R$38*'TUSD BE'!$R$58</f>
        <v>-0.42769576103318119</v>
      </c>
      <c r="S38" s="13">
        <f>'TUSD BE'!$R$38*'TUSD BE'!$S$58</f>
        <v>0</v>
      </c>
      <c r="T38" s="13">
        <f ca="1">SUM($L$38:$S$38)</f>
        <v>-3.0589363181946272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0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0</v>
      </c>
      <c r="AC38" s="13">
        <f>'TUSD BE'!$AC$38*'TUSD BE'!$AC$58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0.52138809842257405</v>
      </c>
      <c r="AI38" s="13">
        <f>'TUSD BE'!$AI$38*'TUSD BE'!$AI$58</f>
        <v>0</v>
      </c>
      <c r="AJ38" s="13">
        <f ca="1">'TUSD BE'!$AJ$38*'TUSD BE'!$AJ$58</f>
        <v>4.0935442612293094E-2</v>
      </c>
      <c r="AK38" s="13">
        <f ca="1">'TUSD BE'!$AK$38*'TUSD BE'!$AK$58</f>
        <v>1.9266310760547616E-2</v>
      </c>
      <c r="AL38" s="13">
        <f ca="1">SUM($AH$38:$AK$38)</f>
        <v>0.58158985179541478</v>
      </c>
      <c r="AM38" s="13">
        <f ca="1">SUMIF($L$4:$AL$4,"SUBTOTAL",$L$38:$AL$38)</f>
        <v>-2.4773464663992124</v>
      </c>
      <c r="AO38" s="20">
        <f ca="1">+'TUSD BE'!$T$38+'TUSD BE'!$AB$38+'TUSD BE'!$AD$38+'TUSD BE'!$AL$38</f>
        <v>126.20951403383353</v>
      </c>
      <c r="AP38" s="20">
        <f ca="1">+'TUSD BE'!$T$38+'TUSD BE'!$AB$38+'TUSD BE'!$AD$38+'TUSD BE'!$AL$38</f>
        <v>126.20951403383353</v>
      </c>
    </row>
    <row r="39" spans="1:42" ht="11.25" customHeight="1" x14ac:dyDescent="0.25">
      <c r="A39" s="139"/>
      <c r="B39" s="139"/>
      <c r="C39" s="139"/>
      <c r="D39" s="139"/>
      <c r="E39" s="139"/>
      <c r="F39" s="139"/>
      <c r="G39" s="18" t="s">
        <v>82</v>
      </c>
      <c r="H39" s="18" t="s">
        <v>68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-4.2283101664990205E-2</v>
      </c>
      <c r="N39" s="13">
        <f ca="1">'TUSD BE'!$N$39*'TUSD BE'!$N$58</f>
        <v>2.8976872179012377E-7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-2.5889577452651773</v>
      </c>
      <c r="R39" s="13">
        <f>'TUSD BE'!$R$39*'TUSD BE'!$R$58</f>
        <v>-0.42769576103318119</v>
      </c>
      <c r="S39" s="13">
        <f>'TUSD BE'!$R$39*'TUSD BE'!$S$58</f>
        <v>0</v>
      </c>
      <c r="T39" s="13">
        <f ca="1">SUM($L$39:$S$39)</f>
        <v>-3.0589363181946272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0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0</v>
      </c>
      <c r="AC39" s="13">
        <f>'TUSD BE'!$AC$39*'TUSD BE'!$AC$58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0.52138809842257405</v>
      </c>
      <c r="AI39" s="13">
        <f>'TUSD BE'!$AI$39*'TUSD BE'!$AI$58</f>
        <v>0</v>
      </c>
      <c r="AJ39" s="13">
        <f ca="1">'TUSD BE'!$AJ$39*'TUSD BE'!$AJ$58</f>
        <v>4.0935442612293094E-2</v>
      </c>
      <c r="AK39" s="13">
        <f ca="1">'TUSD BE'!$AK$39*'TUSD BE'!$AK$58</f>
        <v>1.9266310760547616E-2</v>
      </c>
      <c r="AL39" s="13">
        <f ca="1">SUM($AH$39:$AK$39)</f>
        <v>0.58158985179541478</v>
      </c>
      <c r="AM39" s="13">
        <f ca="1">SUMIF($L$4:$AL$4,"SUBTOTAL",$L$39:$AL$39)</f>
        <v>-2.4773464663992124</v>
      </c>
      <c r="AO39" s="20">
        <f ca="1">+'TUSD BE'!$T$39+'TUSD BE'!$AB$39+'TUSD BE'!$AD$39+'TUSD BE'!$AL$39</f>
        <v>126.20951403383353</v>
      </c>
      <c r="AP39" s="20">
        <f ca="1">+'TUSD BE'!$T$39+'TUSD BE'!$AB$39+'TUSD BE'!$AD$39+'TUSD BE'!$AL$39</f>
        <v>126.20951403383353</v>
      </c>
    </row>
    <row r="40" spans="1:42" ht="11.25" customHeight="1" x14ac:dyDescent="0.25">
      <c r="A40" s="139"/>
      <c r="B40" s="139"/>
      <c r="C40" s="139"/>
      <c r="D40" s="139"/>
      <c r="E40" s="139"/>
      <c r="F40" s="139"/>
      <c r="G40" s="18" t="s">
        <v>70</v>
      </c>
      <c r="H40" s="18" t="s">
        <v>68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-4.2283101664990205E-2</v>
      </c>
      <c r="N40" s="13">
        <f ca="1">'TUSD BE'!$N$40*'TUSD BE'!$N$58</f>
        <v>2.8976872179012377E-7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-2.5889577452651773</v>
      </c>
      <c r="R40" s="13">
        <f>'TUSD BE'!$R$40*'TUSD BE'!$R$58</f>
        <v>-0.42769576103318119</v>
      </c>
      <c r="S40" s="13">
        <f>'TUSD BE'!$R$40*'TUSD BE'!$S$58</f>
        <v>0</v>
      </c>
      <c r="T40" s="13">
        <f ca="1">SUM($L$40:$S$40)</f>
        <v>-3.0589363181946272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0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0</v>
      </c>
      <c r="AC40" s="13">
        <f>'TUSD BE'!$AC$40*'TUSD BE'!$AC$58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0.52138809842257405</v>
      </c>
      <c r="AI40" s="13">
        <f>'TUSD BE'!$AI$40*'TUSD BE'!$AI$58</f>
        <v>0</v>
      </c>
      <c r="AJ40" s="13">
        <f ca="1">'TUSD BE'!$AJ$40*'TUSD BE'!$AJ$58</f>
        <v>4.0935442612293094E-2</v>
      </c>
      <c r="AK40" s="13">
        <f ca="1">'TUSD BE'!$AK$40*'TUSD BE'!$AK$58</f>
        <v>1.9266310760547616E-2</v>
      </c>
      <c r="AL40" s="13">
        <f ca="1">SUM($AH$40:$AK$40)</f>
        <v>0.58158985179541478</v>
      </c>
      <c r="AM40" s="13">
        <f ca="1">SUMIF($L$4:$AL$4,"SUBTOTAL",$L$40:$AL$40)</f>
        <v>-2.4773464663992124</v>
      </c>
      <c r="AO40" s="20">
        <f ca="1">+'TUSD BE'!$T$40+'TUSD BE'!$AB$40+'TUSD BE'!$AD$40+'TUSD BE'!$AL$40</f>
        <v>126.20951403383353</v>
      </c>
      <c r="AP40" s="20">
        <f ca="1">+'TUSD BE'!$T$40+'TUSD BE'!$AB$40+'TUSD BE'!$AD$40+'TUSD BE'!$AL$40</f>
        <v>126.20951403383353</v>
      </c>
    </row>
    <row r="41" spans="1:42" ht="11.25" customHeight="1" x14ac:dyDescent="0.25">
      <c r="A41" s="139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-4.2283101664990205E-2</v>
      </c>
      <c r="N41" s="13">
        <f ca="1">'TUSD BE'!$N$41*'TUSD BE'!$N$58</f>
        <v>2.3300236724877309E-6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-2.5889577452651773</v>
      </c>
      <c r="R41" s="13">
        <f>'TUSD BE'!$R$41*'TUSD BE'!$R$58</f>
        <v>-0.42769576103318119</v>
      </c>
      <c r="S41" s="13">
        <f>'TUSD BE'!$R$41*'TUSD BE'!$S$58</f>
        <v>0</v>
      </c>
      <c r="T41" s="13">
        <f ca="1">SUM($L$41:$S$41)</f>
        <v>-3.0589342779396764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-2.6343239833413987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-2.6343239833413987</v>
      </c>
      <c r="AC41" s="13">
        <f>'TUSD BE'!$AC$41*'TUSD BE'!$AC$58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0.52138809842257405</v>
      </c>
      <c r="AI41" s="13">
        <f>'TUSD BE'!$AI$41*'TUSD BE'!$AI$58</f>
        <v>0</v>
      </c>
      <c r="AJ41" s="13">
        <f ca="1">'TUSD BE'!$AJ$41*'TUSD BE'!$AJ$58</f>
        <v>4.0935442612293094E-2</v>
      </c>
      <c r="AK41" s="13">
        <f ca="1">'TUSD BE'!$AK$41*'TUSD BE'!$AK$58</f>
        <v>1.9266310760547616E-2</v>
      </c>
      <c r="AL41" s="13">
        <f ca="1">SUM($AH$41:$AK$41)</f>
        <v>0.58158985179541478</v>
      </c>
      <c r="AM41" s="13">
        <f ca="1">SUMIF($L$4:$AL$4,"SUBTOTAL",$L$41:$AL$41)</f>
        <v>-5.1116684094856604</v>
      </c>
      <c r="AO41" s="20">
        <f ca="1">+'TUSD BE'!$T$41+'TUSD BE'!$AB$41+'TUSD BE'!$AD$41+'TUSD BE'!$AL$41</f>
        <v>475.00372559990984</v>
      </c>
      <c r="AP41" s="20">
        <f ca="1">+'TUSD BE'!$T$41+'TUSD BE'!$AB$41+'TUSD BE'!$AD$41+'TUSD BE'!$AL$41</f>
        <v>475.00372559990984</v>
      </c>
    </row>
    <row r="42" spans="1:42" ht="11.25" customHeight="1" x14ac:dyDescent="0.25">
      <c r="A42" s="139"/>
      <c r="B42" s="139" t="s">
        <v>84</v>
      </c>
      <c r="C42" s="139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-4.2283101664990205E-2</v>
      </c>
      <c r="N42" s="13">
        <f ca="1">'TUSD BE'!$N$42*'TUSD BE'!$N$58</f>
        <v>2.3300236724877309E-6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-2.5889577452651773</v>
      </c>
      <c r="R42" s="13">
        <f>'TUSD BE'!$R$42*'TUSD BE'!$R$58</f>
        <v>-0.42769576103318119</v>
      </c>
      <c r="S42" s="13">
        <f>'TUSD BE'!$R$42*'TUSD BE'!$S$58</f>
        <v>0</v>
      </c>
      <c r="T42" s="13">
        <f ca="1">SUM($L$42:$S$42)</f>
        <v>-3.0589342779396764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-2.6343239833413987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-2.6343239833413987</v>
      </c>
      <c r="AC42" s="13">
        <f>'TUSD BE'!$AC$42*'TUSD BE'!$AC$58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0.52138809842257405</v>
      </c>
      <c r="AI42" s="13">
        <f>'TUSD BE'!$AI$42*'TUSD BE'!$AI$58</f>
        <v>0</v>
      </c>
      <c r="AJ42" s="13">
        <f ca="1">'TUSD BE'!$AJ$42*'TUSD BE'!$AJ$58</f>
        <v>4.0935442612293094E-2</v>
      </c>
      <c r="AK42" s="13">
        <f ca="1">'TUSD BE'!$AK$42*'TUSD BE'!$AK$58</f>
        <v>1.9266310760547616E-2</v>
      </c>
      <c r="AL42" s="13">
        <f ca="1">SUM($AH$42:$AK$42)</f>
        <v>0.58158985179541478</v>
      </c>
      <c r="AM42" s="13">
        <f ca="1">SUMIF($L$4:$AL$4,"SUBTOTAL",$L$42:$AL$42)</f>
        <v>-5.1116684094856604</v>
      </c>
      <c r="AO42" s="20">
        <f ca="1">+'TUSD BE'!$T$42+'TUSD BE'!$AB$42+'TUSD BE'!$AD$42+'TUSD BE'!$AL$42</f>
        <v>475.00372559990984</v>
      </c>
      <c r="AP42" s="20">
        <f ca="1">+'TUSD BE'!$T$42+'TUSD BE'!$AB$42+'TUSD BE'!$AD$42+'TUSD BE'!$AL$42</f>
        <v>475.00372559990984</v>
      </c>
    </row>
    <row r="43" spans="1:42" ht="11.25" customHeight="1" x14ac:dyDescent="0.25">
      <c r="A43" s="139"/>
      <c r="B43" s="139"/>
      <c r="C43" s="139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-4.2283101664990205E-2</v>
      </c>
      <c r="N43" s="13">
        <f ca="1">'TUSD BE'!$N$43*'TUSD BE'!$N$58</f>
        <v>2.3300236724877309E-6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-2.5889577452651773</v>
      </c>
      <c r="R43" s="13">
        <f>'TUSD BE'!$R$43*'TUSD BE'!$R$58</f>
        <v>-0.42769576103318119</v>
      </c>
      <c r="S43" s="13">
        <f>'TUSD BE'!$R$43*'TUSD BE'!$S$58</f>
        <v>0</v>
      </c>
      <c r="T43" s="13">
        <f ca="1">SUM($L$43:$S$43)</f>
        <v>-3.0589342779396764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-2.6343239833413987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-2.6343239833413987</v>
      </c>
      <c r="AC43" s="13">
        <f>'TUSD BE'!$AC$43*'TUSD BE'!$AC$58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0.52138809842257405</v>
      </c>
      <c r="AI43" s="13">
        <f>'TUSD BE'!$AI$43*'TUSD BE'!$AI$58</f>
        <v>0</v>
      </c>
      <c r="AJ43" s="13">
        <f ca="1">'TUSD BE'!$AJ$43*'TUSD BE'!$AJ$58</f>
        <v>4.0935442612293094E-2</v>
      </c>
      <c r="AK43" s="13">
        <f ca="1">'TUSD BE'!$AK$43*'TUSD BE'!$AK$58</f>
        <v>1.9266310760547616E-2</v>
      </c>
      <c r="AL43" s="13">
        <f ca="1">SUM($AH$43:$AK$43)</f>
        <v>0.58158985179541478</v>
      </c>
      <c r="AM43" s="13">
        <f ca="1">SUMIF($L$4:$AL$4,"SUBTOTAL",$L$43:$AL$43)</f>
        <v>-5.1116684094856604</v>
      </c>
      <c r="AO43" s="20">
        <f ca="1">+'TUSD BE'!$T$43+'TUSD BE'!$AB$43+'TUSD BE'!$AD$43+'TUSD BE'!$AL$43</f>
        <v>475.00372559990984</v>
      </c>
      <c r="AP43" s="20">
        <f ca="1">+'TUSD BE'!$T$43+'TUSD BE'!$AB$43+'TUSD BE'!$AD$43+'TUSD BE'!$AL$43</f>
        <v>475.00372559990984</v>
      </c>
    </row>
    <row r="44" spans="1:42" ht="11.25" customHeight="1" x14ac:dyDescent="0.25">
      <c r="A44" s="139"/>
      <c r="B44" s="139"/>
      <c r="C44" s="139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-4.2283101664990205E-2</v>
      </c>
      <c r="N44" s="13">
        <f ca="1">'TUSD BE'!$N$44*'TUSD BE'!$N$58</f>
        <v>2.3300236724877309E-6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-2.5889577452651773</v>
      </c>
      <c r="R44" s="13">
        <f>'TUSD BE'!$R$44*'TUSD BE'!$R$58</f>
        <v>-0.42769576103318119</v>
      </c>
      <c r="S44" s="13">
        <f>'TUSD BE'!$R$44*'TUSD BE'!$S$58</f>
        <v>0</v>
      </c>
      <c r="T44" s="13">
        <f ca="1">SUM($L$44:$S$44)</f>
        <v>-3.0589342779396764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-2.6343239833413987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-2.6343239833413987</v>
      </c>
      <c r="AC44" s="13">
        <f>'TUSD BE'!$AC$44*'TUSD BE'!$AC$58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0.52138809842257405</v>
      </c>
      <c r="AI44" s="13">
        <f>'TUSD BE'!$AI$44*'TUSD BE'!$AI$58</f>
        <v>0</v>
      </c>
      <c r="AJ44" s="13">
        <f ca="1">'TUSD BE'!$AJ$44*'TUSD BE'!$AJ$58</f>
        <v>4.0935442612293094E-2</v>
      </c>
      <c r="AK44" s="13">
        <f ca="1">'TUSD BE'!$AK$44*'TUSD BE'!$AK$58</f>
        <v>1.9266310760547616E-2</v>
      </c>
      <c r="AL44" s="13">
        <f ca="1">SUM($AH$44:$AK$44)</f>
        <v>0.58158985179541478</v>
      </c>
      <c r="AM44" s="13">
        <f ca="1">SUMIF($L$4:$AL$4,"SUBTOTAL",$L$44:$AL$44)</f>
        <v>-5.1116684094856604</v>
      </c>
      <c r="AO44" s="20">
        <f ca="1">+'TUSD BE'!$T$44+'TUSD BE'!$AB$44+'TUSD BE'!$AD$44+'TUSD BE'!$AL$44</f>
        <v>475.00372559990984</v>
      </c>
      <c r="AP44" s="20">
        <f ca="1">+'TUSD BE'!$T$44+'TUSD BE'!$AB$44+'TUSD BE'!$AD$44+'TUSD BE'!$AL$44</f>
        <v>475.00372559990984</v>
      </c>
    </row>
    <row r="45" spans="1:42" ht="11.25" customHeight="1" x14ac:dyDescent="0.25">
      <c r="A45" s="139" t="s">
        <v>32</v>
      </c>
      <c r="B45" s="139" t="s">
        <v>38</v>
      </c>
      <c r="C45" s="139" t="s">
        <v>25</v>
      </c>
      <c r="D45" s="139" t="s">
        <v>25</v>
      </c>
      <c r="E45" s="139" t="s">
        <v>25</v>
      </c>
      <c r="F45" s="139" t="s">
        <v>25</v>
      </c>
      <c r="G45" s="18" t="s">
        <v>69</v>
      </c>
      <c r="H45" s="18" t="s">
        <v>68</v>
      </c>
      <c r="I45" s="18">
        <f>'MERCADO TUSD'!$U$42</f>
        <v>8.897000000000002</v>
      </c>
      <c r="J45" s="15"/>
      <c r="L45" s="13">
        <f>'TUSD BE'!$L$45*'TUSD BE'!$L$58</f>
        <v>0</v>
      </c>
      <c r="M45" s="13">
        <f>'TUSD BE'!$M$45*'TUSD BE'!$M$58</f>
        <v>-4.2283101664990205E-2</v>
      </c>
      <c r="N45" s="13">
        <f ca="1">'TUSD BE'!$N$45*'TUSD BE'!$N$58</f>
        <v>7.8387123090306428E-6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-2.5889577452651773</v>
      </c>
      <c r="R45" s="13">
        <f>'TUSD BE'!$R$45*'TUSD BE'!$R$58</f>
        <v>-0.42769576103318119</v>
      </c>
      <c r="S45" s="13">
        <f>'TUSD BE'!$R$45*'TUSD BE'!$S$58</f>
        <v>0</v>
      </c>
      <c r="T45" s="13">
        <f ca="1">SUM($L$45:$S$45)</f>
        <v>-3.0589287692510396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-9.7469973786278707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-9.7469973786278707</v>
      </c>
      <c r="AC45" s="13">
        <f>'TUSD BE'!$AC$45*'TUSD BE'!$AC$58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0.52138809842257405</v>
      </c>
      <c r="AI45" s="13">
        <f>'TUSD BE'!$AI$45*'TUSD BE'!$AI$58</f>
        <v>0</v>
      </c>
      <c r="AJ45" s="13">
        <f ca="1">'TUSD BE'!$AJ$45*'TUSD BE'!$AJ$58</f>
        <v>4.0935442612293094E-2</v>
      </c>
      <c r="AK45" s="13">
        <f ca="1">'TUSD BE'!$AK$45*'TUSD BE'!$AK$58</f>
        <v>1.9266310760547616E-2</v>
      </c>
      <c r="AL45" s="13">
        <f ca="1">SUM($AH$45:$AK$45)</f>
        <v>0.58158985179541478</v>
      </c>
      <c r="AM45" s="13">
        <f ca="1">SUMIF($L$4:$AL$4,"SUBTOTAL",$L$45:$AL$45)</f>
        <v>-12.224336296083496</v>
      </c>
      <c r="AO45" s="20">
        <f ca="1">+'TUSD BE'!$T$45+'TUSD BE'!$AB$45+'TUSD BE'!$AD$45+'TUSD BE'!$AL$45</f>
        <v>1416.7481335022048</v>
      </c>
      <c r="AP45" s="20">
        <f ca="1">+'TUSD BE'!$T$45+'TUSD BE'!$AB$45+'TUSD BE'!$AD$45+'TUSD BE'!$AL$45</f>
        <v>1416.7481335022048</v>
      </c>
    </row>
    <row r="46" spans="1:42" ht="11.25" customHeight="1" x14ac:dyDescent="0.25">
      <c r="A46" s="139"/>
      <c r="B46" s="139"/>
      <c r="C46" s="139"/>
      <c r="D46" s="139"/>
      <c r="E46" s="139"/>
      <c r="F46" s="139"/>
      <c r="G46" s="18" t="s">
        <v>82</v>
      </c>
      <c r="H46" s="18" t="s">
        <v>68</v>
      </c>
      <c r="I46" s="18">
        <f>'MERCADO TUSD'!$U$43</f>
        <v>7.0329999999999995</v>
      </c>
      <c r="J46" s="15"/>
      <c r="L46" s="13">
        <f>'TUSD BE'!$L$46*'TUSD BE'!$L$58</f>
        <v>0</v>
      </c>
      <c r="M46" s="13">
        <f>'TUSD BE'!$M$46*'TUSD BE'!$M$58</f>
        <v>-4.2283101664990205E-2</v>
      </c>
      <c r="N46" s="13">
        <f ca="1">'TUSD BE'!$N$46*'TUSD BE'!$N$58</f>
        <v>4.8191347393047498E-6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-2.5889577452651773</v>
      </c>
      <c r="R46" s="13">
        <f>'TUSD BE'!$R$46*'TUSD BE'!$R$58</f>
        <v>-0.42769576103318119</v>
      </c>
      <c r="S46" s="13">
        <f>'TUSD BE'!$R$46*'TUSD BE'!$S$58</f>
        <v>0</v>
      </c>
      <c r="T46" s="13">
        <f ca="1">SUM($L$46:$S$46)</f>
        <v>-3.0589317888286094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-5.8481977473090714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-5.8481977473090714</v>
      </c>
      <c r="AC46" s="13">
        <f>'TUSD BE'!$AC$46*'TUSD BE'!$AC$58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0.52138809842257405</v>
      </c>
      <c r="AI46" s="13">
        <f>'TUSD BE'!$AI$46*'TUSD BE'!$AI$58</f>
        <v>0</v>
      </c>
      <c r="AJ46" s="13">
        <f ca="1">'TUSD BE'!$AJ$46*'TUSD BE'!$AJ$58</f>
        <v>4.0935442612293094E-2</v>
      </c>
      <c r="AK46" s="13">
        <f ca="1">'TUSD BE'!$AK$46*'TUSD BE'!$AK$58</f>
        <v>1.9266310760547616E-2</v>
      </c>
      <c r="AL46" s="13">
        <f ca="1">SUM($AH$46:$AK$46)</f>
        <v>0.58158985179541478</v>
      </c>
      <c r="AM46" s="13">
        <f ca="1">SUMIF($L$4:$AL$4,"SUBTOTAL",$L$46:$AL$46)</f>
        <v>-8.3255396843422673</v>
      </c>
      <c r="AO46" s="20">
        <f ca="1">+'TUSD BE'!$T$46+'TUSD BE'!$AB$46+'TUSD BE'!$AD$46+'TUSD BE'!$AL$46</f>
        <v>900.53265987346845</v>
      </c>
      <c r="AP46" s="20">
        <f ca="1">+'TUSD BE'!$T$46+'TUSD BE'!$AB$46+'TUSD BE'!$AD$46+'TUSD BE'!$AL$46</f>
        <v>900.53265987346845</v>
      </c>
    </row>
    <row r="47" spans="1:42" ht="11.25" customHeight="1" x14ac:dyDescent="0.25">
      <c r="A47" s="139"/>
      <c r="B47" s="139"/>
      <c r="C47" s="139"/>
      <c r="D47" s="139"/>
      <c r="E47" s="139"/>
      <c r="F47" s="139"/>
      <c r="G47" s="18" t="s">
        <v>70</v>
      </c>
      <c r="H47" s="18" t="s">
        <v>68</v>
      </c>
      <c r="I47" s="18">
        <f>'MERCADO TUSD'!$U$44</f>
        <v>183.905</v>
      </c>
      <c r="J47" s="15"/>
      <c r="L47" s="13">
        <f>'TUSD BE'!$L$47*'TUSD BE'!$L$58</f>
        <v>0</v>
      </c>
      <c r="M47" s="13">
        <f>'TUSD BE'!$M$47*'TUSD BE'!$M$58</f>
        <v>-4.2283101664990205E-2</v>
      </c>
      <c r="N47" s="13">
        <f ca="1">'TUSD BE'!$N$47*'TUSD BE'!$N$58</f>
        <v>1.7995571695788547E-6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-2.5889577452651773</v>
      </c>
      <c r="R47" s="13">
        <f>'TUSD BE'!$R$47*'TUSD BE'!$R$58</f>
        <v>-0.42769576103318119</v>
      </c>
      <c r="S47" s="13">
        <f>'TUSD BE'!$R$47*'TUSD BE'!$S$58</f>
        <v>0</v>
      </c>
      <c r="T47" s="13">
        <f ca="1">SUM($L$47:$S$47)</f>
        <v>-3.0589348084061792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-1.9493981159902705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-1.9493981159902705</v>
      </c>
      <c r="AC47" s="13">
        <f>'TUSD BE'!$AC$47*'TUSD BE'!$AC$58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0.52138809842257405</v>
      </c>
      <c r="AI47" s="13">
        <f>'TUSD BE'!$AI$47*'TUSD BE'!$AI$58</f>
        <v>0</v>
      </c>
      <c r="AJ47" s="13">
        <f ca="1">'TUSD BE'!$AJ$47*'TUSD BE'!$AJ$58</f>
        <v>4.0935442612293094E-2</v>
      </c>
      <c r="AK47" s="13">
        <f ca="1">'TUSD BE'!$AK$47*'TUSD BE'!$AK$58</f>
        <v>1.9266310760547616E-2</v>
      </c>
      <c r="AL47" s="13">
        <f ca="1">SUM($AH$47:$AK$47)</f>
        <v>0.58158985179541478</v>
      </c>
      <c r="AM47" s="13">
        <f ca="1">SUMIF($L$4:$AL$4,"SUBTOTAL",$L$47:$AL$47)</f>
        <v>-4.4267430726010346</v>
      </c>
      <c r="AO47" s="20">
        <f ca="1">+'TUSD BE'!$T$47+'TUSD BE'!$AB$47+'TUSD BE'!$AD$47+'TUSD BE'!$AL$47</f>
        <v>384.31718624473166</v>
      </c>
      <c r="AP47" s="20">
        <f ca="1">+'TUSD BE'!$T$47+'TUSD BE'!$AB$47+'TUSD BE'!$AD$47+'TUSD BE'!$AL$47</f>
        <v>384.31718624473166</v>
      </c>
    </row>
    <row r="48" spans="1:42" ht="11.25" customHeight="1" x14ac:dyDescent="0.25">
      <c r="A48" s="13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4632.741</v>
      </c>
      <c r="J48" s="15"/>
      <c r="L48" s="13">
        <f>'TUSD BE'!$L$48*'TUSD BE'!$L$58</f>
        <v>0</v>
      </c>
      <c r="M48" s="13">
        <f>'TUSD BE'!$M$48*'TUSD BE'!$M$58</f>
        <v>-4.2283101664990205E-2</v>
      </c>
      <c r="N48" s="13">
        <f ca="1">'TUSD BE'!$N$48*'TUSD BE'!$N$58</f>
        <v>2.3300236724877309E-6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-2.5889577452651773</v>
      </c>
      <c r="R48" s="13">
        <f>'TUSD BE'!$R$48*'TUSD BE'!$R$58</f>
        <v>-0.42769576103318119</v>
      </c>
      <c r="S48" s="13">
        <f>'TUSD BE'!$R$48*'TUSD BE'!$S$58</f>
        <v>0</v>
      </c>
      <c r="T48" s="13">
        <f ca="1">SUM($L$48:$S$48)</f>
        <v>-3.0589342779396764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-2.6343239833413987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-2.6343239833413987</v>
      </c>
      <c r="AC48" s="13">
        <f>'TUSD BE'!$AC$48*'TUSD BE'!$AC$58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0.52138809842257405</v>
      </c>
      <c r="AI48" s="13">
        <f>'TUSD BE'!$AI$48*'TUSD BE'!$AI$58</f>
        <v>0</v>
      </c>
      <c r="AJ48" s="13">
        <f ca="1">'TUSD BE'!$AJ$48*'TUSD BE'!$AJ$58</f>
        <v>4.0935442612293094E-2</v>
      </c>
      <c r="AK48" s="13">
        <f ca="1">'TUSD BE'!$AK$48*'TUSD BE'!$AK$58</f>
        <v>1.9266310760547616E-2</v>
      </c>
      <c r="AL48" s="13">
        <f ca="1">SUM($AH$48:$AK$48)</f>
        <v>0.58158985179541478</v>
      </c>
      <c r="AM48" s="13">
        <f ca="1">SUMIF($L$4:$AL$4,"SUBTOTAL",$L$48:$AL$48)</f>
        <v>-5.1116684094856604</v>
      </c>
      <c r="AO48" s="20">
        <f ca="1">+'TUSD BE'!$T$48+'TUSD BE'!$AB$48+'TUSD BE'!$AD$48+'TUSD BE'!$AL$48</f>
        <v>475.00372559990984</v>
      </c>
      <c r="AP48" s="20">
        <f ca="1">+'TUSD BE'!$T$48+'TUSD BE'!$AB$48+'TUSD BE'!$AD$48+'TUSD BE'!$AL$48</f>
        <v>475.00372559990984</v>
      </c>
    </row>
    <row r="49" spans="1:42" ht="11.25" customHeight="1" x14ac:dyDescent="0.25">
      <c r="A49" s="139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-4.2283101664990205E-2</v>
      </c>
      <c r="N49" s="13">
        <f ca="1">'TUSD BE'!$N$49*'TUSD BE'!$N$58</f>
        <v>2.3300236724877309E-6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-2.5889577452651773</v>
      </c>
      <c r="R49" s="13">
        <f>'TUSD BE'!$R$49*'TUSD BE'!$R$58</f>
        <v>-0.42769576103318119</v>
      </c>
      <c r="S49" s="13">
        <f>'TUSD BE'!$R$49*'TUSD BE'!$S$58</f>
        <v>0</v>
      </c>
      <c r="T49" s="13">
        <f ca="1">SUM($L$49:$S$49)</f>
        <v>-3.0589342779396764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-2.6343239833413987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-2.6343239833413987</v>
      </c>
      <c r="AC49" s="13">
        <f>'TUSD BE'!$AC$49*'TUSD BE'!$AC$58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0.52138809842257405</v>
      </c>
      <c r="AI49" s="13">
        <f>'TUSD BE'!$AI$49*'TUSD BE'!$AI$58</f>
        <v>0</v>
      </c>
      <c r="AJ49" s="13">
        <f ca="1">'TUSD BE'!$AJ$49*'TUSD BE'!$AJ$58</f>
        <v>4.0935442612293094E-2</v>
      </c>
      <c r="AK49" s="13">
        <f ca="1">'TUSD BE'!$AK$49*'TUSD BE'!$AK$58</f>
        <v>1.9266310760547616E-2</v>
      </c>
      <c r="AL49" s="13">
        <f ca="1">SUM($AH$49:$AK$49)</f>
        <v>0.58158985179541478</v>
      </c>
      <c r="AM49" s="13">
        <f ca="1">SUMIF($L$4:$AL$4,"SUBTOTAL",$L$49:$AL$49)</f>
        <v>-5.1116684094856604</v>
      </c>
      <c r="AO49" s="20">
        <f ca="1">+'TUSD BE'!$T$49+'TUSD BE'!$AB$49+'TUSD BE'!$AD$49+'TUSD BE'!$AL$49</f>
        <v>475.00372559990984</v>
      </c>
      <c r="AP49" s="20">
        <f ca="1">+'TUSD BE'!$T$49+'TUSD BE'!$AB$49+'TUSD BE'!$AD$49+'TUSD BE'!$AL$49</f>
        <v>475.00372559990984</v>
      </c>
    </row>
    <row r="50" spans="1:42" ht="11.25" customHeight="1" x14ac:dyDescent="0.25">
      <c r="A50" s="139" t="s">
        <v>44</v>
      </c>
      <c r="B50" s="139" t="s">
        <v>23</v>
      </c>
      <c r="C50" s="139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356.69600000000003</v>
      </c>
      <c r="J50" s="15"/>
      <c r="L50" s="13">
        <f>'TUSD BE'!$L$50*'TUSD BE'!$L$58</f>
        <v>0</v>
      </c>
      <c r="M50" s="13">
        <f>'TUSD BE'!$M$50*'TUSD BE'!$M$58</f>
        <v>-2.3255705915744617E-2</v>
      </c>
      <c r="N50" s="13">
        <f ca="1">'TUSD BE'!$N$50*'TUSD BE'!$N$58</f>
        <v>1.2815130198682522E-6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-1.4239267598958474</v>
      </c>
      <c r="R50" s="13">
        <f>'TUSD BE'!$R$50*'TUSD BE'!$R$58</f>
        <v>-0.23523266856824968</v>
      </c>
      <c r="S50" s="13">
        <f>'TUSD BE'!$R$50*'TUSD BE'!$S$58</f>
        <v>0</v>
      </c>
      <c r="T50" s="13">
        <f ca="1">SUM($L$50:$S$50)</f>
        <v>-1.682413852866822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-1.4488781908377695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-1.4488781908377695</v>
      </c>
      <c r="AC50" s="13">
        <f>'TUSD BE'!$AC$50*'TUSD BE'!$AC$58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0.28676345413241577</v>
      </c>
      <c r="AI50" s="13">
        <f>'TUSD BE'!$AI$50*'TUSD BE'!$AI$58</f>
        <v>0</v>
      </c>
      <c r="AJ50" s="13">
        <f ca="1">'TUSD BE'!$AJ$50*'TUSD BE'!$AJ$58</f>
        <v>2.2514493436761204E-2</v>
      </c>
      <c r="AK50" s="13">
        <f ca="1">'TUSD BE'!$AK$50*'TUSD BE'!$AK$58</f>
        <v>1.0596470918301189E-2</v>
      </c>
      <c r="AL50" s="13">
        <f ca="1">SUM($AH$50:$AK$50)</f>
        <v>0.31987441848747816</v>
      </c>
      <c r="AM50" s="13">
        <f ca="1">SUMIF($L$4:$AL$4,"SUBTOTAL",$L$50:$AL$50)</f>
        <v>-2.8114176252171132</v>
      </c>
      <c r="AO50" s="20">
        <f ca="1">+'TUSD BE'!$T$50+'TUSD BE'!$AB$50+'TUSD BE'!$AD$50+'TUSD BE'!$AL$50</f>
        <v>261.25204907995044</v>
      </c>
      <c r="AP50" s="20">
        <f ca="1">+'TUSD BE'!$T$50+'TUSD BE'!$AB$50+'TUSD BE'!$AD$50+'TUSD BE'!$AL$50</f>
        <v>261.25204907995044</v>
      </c>
    </row>
    <row r="51" spans="1:42" ht="11.25" customHeight="1" x14ac:dyDescent="0.25">
      <c r="A51" s="139"/>
      <c r="B51" s="139"/>
      <c r="C51" s="139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'TUSD BE'!$L$51*'TUSD BE'!$L$58</f>
        <v>0</v>
      </c>
      <c r="M51" s="13">
        <f>'TUSD BE'!$M$51*'TUSD BE'!$M$58</f>
        <v>-2.5369860998994125E-2</v>
      </c>
      <c r="N51" s="13">
        <f ca="1">'TUSD BE'!$N$51*'TUSD BE'!$N$58</f>
        <v>1.3980142034926388E-6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-1.5533746471591063</v>
      </c>
      <c r="R51" s="13">
        <f>'TUSD BE'!$R$51*'TUSD BE'!$R$58</f>
        <v>-0.2566174566199087</v>
      </c>
      <c r="S51" s="13">
        <f>'TUSD BE'!$R$51*'TUSD BE'!$S$58</f>
        <v>0</v>
      </c>
      <c r="T51" s="13">
        <f ca="1">SUM($L$51:$S$51)</f>
        <v>-1.8353605667638055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-1.5805943900048391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-1.5805943900048391</v>
      </c>
      <c r="AC51" s="13">
        <f>'TUSD BE'!$AC$51*'TUSD BE'!$AC$58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0.31283285905354441</v>
      </c>
      <c r="AI51" s="13">
        <f>'TUSD BE'!$AI$51*'TUSD BE'!$AI$58</f>
        <v>0</v>
      </c>
      <c r="AJ51" s="13">
        <f ca="1">'TUSD BE'!$AJ$51*'TUSD BE'!$AJ$58</f>
        <v>2.4561265567375853E-2</v>
      </c>
      <c r="AK51" s="13">
        <f ca="1">'TUSD BE'!$AK$51*'TUSD BE'!$AK$58</f>
        <v>1.1559786456328568E-2</v>
      </c>
      <c r="AL51" s="13">
        <f ca="1">SUM($AH$51:$AK$51)</f>
        <v>0.34895391107724882</v>
      </c>
      <c r="AM51" s="13">
        <f ca="1">SUMIF($L$4:$AL$4,"SUBTOTAL",$L$51:$AL$51)</f>
        <v>-3.0670010456913959</v>
      </c>
      <c r="AO51" s="20">
        <f ca="1">+'TUSD BE'!$T$51+'TUSD BE'!$AB$51+'TUSD BE'!$AD$51+'TUSD BE'!$AL$51</f>
        <v>285.00223535994587</v>
      </c>
      <c r="AP51" s="20">
        <f ca="1">+'TUSD BE'!$T$51+'TUSD BE'!$AB$51+'TUSD BE'!$AD$51+'TUSD BE'!$AL$51</f>
        <v>285.00223535994587</v>
      </c>
    </row>
    <row r="53" spans="1:42" ht="11.25" customHeight="1" x14ac:dyDescent="0.25">
      <c r="K53" s="16" t="s">
        <v>529</v>
      </c>
      <c r="L53" s="13">
        <f>SUMPRODUCT($I$5:$I51,$L$5:$L51)</f>
        <v>0</v>
      </c>
      <c r="M53" s="13">
        <f>SUMPRODUCT($I$5:$I51,$M$5:$M51)</f>
        <v>-605.26695144834741</v>
      </c>
      <c r="N53" s="13">
        <f ca="1">SUMPRODUCT($I$5:$I51,$N$5:$N51)</f>
        <v>3.3834428704921378E-2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-49197.963101249363</v>
      </c>
      <c r="R53" s="13">
        <f>SUMPRODUCT($I$5:$I51,$R$5:$R51)</f>
        <v>-8721.5821381477435</v>
      </c>
      <c r="S53" s="13">
        <f>SUMPRODUCT($I$5:$I51,$S$5:$S51)</f>
        <v>0</v>
      </c>
      <c r="T53" s="13">
        <f ca="1">SUMPRODUCT($I$5:$I51,$T$5:$T51)</f>
        <v>-58524.778356416755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-56662.602195281317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-56662.602195281317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6955.1173179812122</v>
      </c>
      <c r="AI53" s="13">
        <f>SUMPRODUCT($I$5:$I51,$AI$5:$AI51)</f>
        <v>0</v>
      </c>
      <c r="AJ53" s="13">
        <f ca="1">SUMPRODUCT($I$5:$I51,$AJ$5:$AJ51)</f>
        <v>702.46236250363586</v>
      </c>
      <c r="AK53" s="13">
        <f ca="1">SUMPRODUCT($I$5:$I51,$AK$5:$AK51)</f>
        <v>330.61467789087055</v>
      </c>
      <c r="AL53" s="13">
        <f ca="1">SUMPRODUCT($I$5:$I51,$AL$5:$AL51)</f>
        <v>7988.1943583757184</v>
      </c>
      <c r="AM53" s="13">
        <f ca="1">SUMPRODUCT($I$5:$I51,$AM$5:$AM51)</f>
        <v>-107199.18619332233</v>
      </c>
      <c r="AO53" s="18">
        <f ca="1">SUMPRODUCT($I$5:$I51,$AO$5:$AO51)</f>
        <v>8000796.5229833303</v>
      </c>
      <c r="AP53" s="18">
        <f ca="1">SUMPRODUCT($I$5:$I51,$AP$5:$AP51)</f>
        <v>8000796.5229833303</v>
      </c>
    </row>
    <row r="54" spans="1:42" ht="11.25" customHeight="1" x14ac:dyDescent="0.25">
      <c r="K54" s="16" t="s">
        <v>461</v>
      </c>
      <c r="L54" s="13">
        <f>'TR TUSD'!$L$56</f>
        <v>0</v>
      </c>
      <c r="M54" s="13">
        <f>'TR TUSD'!$M$56</f>
        <v>19438.38955486341</v>
      </c>
      <c r="N54" s="13">
        <f>'TR TUSD'!$N$56</f>
        <v>62873.272518088721</v>
      </c>
      <c r="O54" s="13">
        <f>'TR TUSD'!$O$56</f>
        <v>0</v>
      </c>
      <c r="P54" s="13">
        <f>'TR TUSD'!$P$56</f>
        <v>0</v>
      </c>
      <c r="Q54" s="13">
        <f>'TR TUSD'!$Q$56</f>
        <v>1702303.4434674436</v>
      </c>
      <c r="R54" s="13">
        <f>'TR TUSD'!$R$56</f>
        <v>282487.42412703927</v>
      </c>
      <c r="S54" s="13">
        <f>'TR TUSD'!$S$56</f>
        <v>0</v>
      </c>
      <c r="T54" s="13">
        <f>'TR TUSD'!$T$56</f>
        <v>2067102.529667435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2132832.06996</v>
      </c>
      <c r="Z54" s="13">
        <f>'TR TUSD'!$Z$56</f>
        <v>0</v>
      </c>
      <c r="AA54" s="13">
        <f>'TR TUSD'!$AA$56</f>
        <v>0</v>
      </c>
      <c r="AB54" s="13">
        <f>'TR TUSD'!$AB$56</f>
        <v>2132832.06996</v>
      </c>
      <c r="AC54" s="13">
        <f>'TR TUSD'!$AC$56</f>
        <v>3514906.6439787205</v>
      </c>
      <c r="AD54" s="13">
        <f>'TR TUSD'!$AD$56</f>
        <v>3514906.6439787205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252579.93320726309</v>
      </c>
      <c r="AI54" s="13">
        <f>'TR TUSD'!$AI$56</f>
        <v>0</v>
      </c>
      <c r="AJ54" s="13">
        <f>'TR TUSD'!$AJ$56</f>
        <v>25510.410319474628</v>
      </c>
      <c r="AK54" s="13">
        <f>'TR TUSD'!$AK$56</f>
        <v>7864.935850435606</v>
      </c>
      <c r="AL54" s="13">
        <f>'TR TUSD'!$AL$56</f>
        <v>285955.27937717328</v>
      </c>
      <c r="AM54" s="13">
        <f>'TUSD BE'!$AM$54</f>
        <v>8000796.5229833294</v>
      </c>
      <c r="AO54" s="18">
        <f>$AE$55</f>
        <v>0</v>
      </c>
      <c r="AP54" s="18">
        <f>$AF$55</f>
        <v>0</v>
      </c>
    </row>
    <row r="55" spans="1:42" ht="11.25" customHeight="1" x14ac:dyDescent="0.25">
      <c r="K55" s="16" t="s">
        <v>462</v>
      </c>
      <c r="L55" s="13">
        <f>CUSTOS!$E$2</f>
        <v>0</v>
      </c>
      <c r="M55" s="13">
        <f>CUSTOS!$E$3</f>
        <v>-605.2669514483473</v>
      </c>
      <c r="N55" s="13">
        <f>CUSTOS!$E$4</f>
        <v>3.3834428704921385E-2</v>
      </c>
      <c r="O55" s="13">
        <f>CUSTOS!$E$5</f>
        <v>0</v>
      </c>
      <c r="P55" s="13">
        <f>CUSTOS!$E$6</f>
        <v>0</v>
      </c>
      <c r="Q55" s="13">
        <f>CUSTOS!$E$7</f>
        <v>-49197.963101249363</v>
      </c>
      <c r="R55" s="13">
        <f>CUSTOS!$E$8</f>
        <v>-8721.5821381477435</v>
      </c>
      <c r="S55" s="13">
        <f>CUSTOS!$E$9</f>
        <v>0</v>
      </c>
      <c r="T55" s="13">
        <f>CUSTOS!$E$10</f>
        <v>-58524.778356416748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-56662.602195281324</v>
      </c>
      <c r="Z55" s="13">
        <f>CUSTOS!$E$16</f>
        <v>0</v>
      </c>
      <c r="AA55" s="13">
        <f>CUSTOS!$E$17</f>
        <v>0</v>
      </c>
      <c r="AB55" s="13">
        <f>CUSTOS!$E$18</f>
        <v>-56662.602195281324</v>
      </c>
      <c r="AC55" s="13">
        <f>CUSTOS!$E$19</f>
        <v>0</v>
      </c>
      <c r="AD55" s="13">
        <f>CUSTOS!$E$20</f>
        <v>0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6955.1173179812113</v>
      </c>
      <c r="AI55" s="13">
        <f>CUSTOS!$E$25</f>
        <v>0</v>
      </c>
      <c r="AJ55" s="13">
        <f>CUSTOS!$E$26</f>
        <v>702.46236250363586</v>
      </c>
      <c r="AK55" s="13">
        <f>CUSTOS!$E$27</f>
        <v>330.6146778908705</v>
      </c>
      <c r="AL55" s="13">
        <f>CUSTOS!$E$28</f>
        <v>7988.1943583757175</v>
      </c>
      <c r="AM55" s="13">
        <f>CUSTOS!$E$29</f>
        <v>-107199.18619332234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463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373798.43119999999</v>
      </c>
      <c r="R56" s="13">
        <f>CUSTOS!$F$8</f>
        <v>76622.522500000006</v>
      </c>
      <c r="S56" s="13">
        <f>CUSTOS!$F$9</f>
        <v>0</v>
      </c>
      <c r="T56" s="13">
        <f>CUSTOS!$F$10</f>
        <v>450420.95370000001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-2712.6759334384456</v>
      </c>
      <c r="AI56" s="13">
        <f>CUSTOS!$F$25</f>
        <v>0</v>
      </c>
      <c r="AJ56" s="13">
        <f>CUSTOS!$F$26</f>
        <v>-273.97851938219083</v>
      </c>
      <c r="AK56" s="13">
        <f>CUSTOS!$F$27</f>
        <v>0</v>
      </c>
      <c r="AL56" s="13">
        <f>CUSTOS!$F$28</f>
        <v>-2986.6544528206364</v>
      </c>
      <c r="AM56" s="13">
        <f>CUSTOS!$F$29</f>
        <v>447434.29924717936</v>
      </c>
    </row>
    <row r="57" spans="1:42" ht="11.25" customHeight="1" x14ac:dyDescent="0.25">
      <c r="K57" s="16" t="s">
        <v>526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538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0.21958390123361626</v>
      </c>
      <c r="R58" s="13">
        <f t="shared" si="0"/>
        <v>0.27124224286013382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-1.0739871133042334E-2</v>
      </c>
      <c r="AI58" s="13">
        <f>IF((AI54-(0))&lt;&gt;0,(AI56)/(AI54-(0)),0)</f>
        <v>0</v>
      </c>
      <c r="AJ58" s="13">
        <f>IF((AJ54-(0))&lt;&gt;0,(AJ56)/(AJ54-(0)),0)</f>
        <v>-1.0739871133042334E-2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21" priority="55" operator="notEqual">
      <formula>$L$55</formula>
    </cfRule>
    <cfRule type="cellIs" dxfId="920" priority="56" operator="equal">
      <formula>$L$55</formula>
    </cfRule>
  </conditionalFormatting>
  <conditionalFormatting sqref="M53">
    <cfRule type="cellIs" dxfId="919" priority="53" operator="notEqual">
      <formula>$M$55</formula>
    </cfRule>
    <cfRule type="cellIs" dxfId="918" priority="54" operator="equal">
      <formula>$M$55</formula>
    </cfRule>
  </conditionalFormatting>
  <conditionalFormatting sqref="N53">
    <cfRule type="cellIs" dxfId="917" priority="51" operator="notEqual">
      <formula>$N$55</formula>
    </cfRule>
    <cfRule type="cellIs" dxfId="916" priority="52" operator="equal">
      <formula>$N$55</formula>
    </cfRule>
  </conditionalFormatting>
  <conditionalFormatting sqref="O53">
    <cfRule type="cellIs" dxfId="915" priority="49" operator="notEqual">
      <formula>$O$55</formula>
    </cfRule>
    <cfRule type="cellIs" dxfId="914" priority="50" operator="equal">
      <formula>$O$55</formula>
    </cfRule>
  </conditionalFormatting>
  <conditionalFormatting sqref="P53">
    <cfRule type="cellIs" dxfId="913" priority="47" operator="notEqual">
      <formula>$P$55</formula>
    </cfRule>
    <cfRule type="cellIs" dxfId="912" priority="48" operator="equal">
      <formula>$P$55</formula>
    </cfRule>
  </conditionalFormatting>
  <conditionalFormatting sqref="Q53">
    <cfRule type="cellIs" dxfId="911" priority="45" operator="notEqual">
      <formula>$Q$55</formula>
    </cfRule>
    <cfRule type="cellIs" dxfId="910" priority="46" operator="equal">
      <formula>$Q$55</formula>
    </cfRule>
  </conditionalFormatting>
  <conditionalFormatting sqref="R53">
    <cfRule type="cellIs" dxfId="909" priority="43" operator="notEqual">
      <formula>$R$55</formula>
    </cfRule>
    <cfRule type="cellIs" dxfId="908" priority="44" operator="equal">
      <formula>$R$55</formula>
    </cfRule>
  </conditionalFormatting>
  <conditionalFormatting sqref="S53">
    <cfRule type="cellIs" dxfId="907" priority="41" operator="notEqual">
      <formula>$S$55</formula>
    </cfRule>
    <cfRule type="cellIs" dxfId="906" priority="42" operator="equal">
      <formula>$S$55</formula>
    </cfRule>
  </conditionalFormatting>
  <conditionalFormatting sqref="T53">
    <cfRule type="cellIs" dxfId="905" priority="39" operator="notEqual">
      <formula>$T$55</formula>
    </cfRule>
    <cfRule type="cellIs" dxfId="904" priority="40" operator="equal">
      <formula>$T$55</formula>
    </cfRule>
  </conditionalFormatting>
  <conditionalFormatting sqref="U53">
    <cfRule type="cellIs" dxfId="903" priority="37" operator="notEqual">
      <formula>$U$55</formula>
    </cfRule>
    <cfRule type="cellIs" dxfId="902" priority="38" operator="equal">
      <formula>$U$55</formula>
    </cfRule>
  </conditionalFormatting>
  <conditionalFormatting sqref="V53">
    <cfRule type="cellIs" dxfId="901" priority="35" operator="notEqual">
      <formula>$V$55</formula>
    </cfRule>
    <cfRule type="cellIs" dxfId="900" priority="36" operator="equal">
      <formula>$V$55</formula>
    </cfRule>
  </conditionalFormatting>
  <conditionalFormatting sqref="W53">
    <cfRule type="cellIs" dxfId="899" priority="33" operator="notEqual">
      <formula>$W$55</formula>
    </cfRule>
    <cfRule type="cellIs" dxfId="898" priority="34" operator="equal">
      <formula>$W$55</formula>
    </cfRule>
  </conditionalFormatting>
  <conditionalFormatting sqref="X53">
    <cfRule type="cellIs" dxfId="897" priority="31" operator="notEqual">
      <formula>$X$55</formula>
    </cfRule>
    <cfRule type="cellIs" dxfId="896" priority="32" operator="equal">
      <formula>$X$55</formula>
    </cfRule>
  </conditionalFormatting>
  <conditionalFormatting sqref="Y53">
    <cfRule type="cellIs" dxfId="895" priority="29" operator="notEqual">
      <formula>$Y$55</formula>
    </cfRule>
    <cfRule type="cellIs" dxfId="894" priority="30" operator="equal">
      <formula>$Y$55</formula>
    </cfRule>
  </conditionalFormatting>
  <conditionalFormatting sqref="Z53">
    <cfRule type="cellIs" dxfId="893" priority="27" operator="notEqual">
      <formula>$Z$55</formula>
    </cfRule>
    <cfRule type="cellIs" dxfId="892" priority="28" operator="equal">
      <formula>$Z$55</formula>
    </cfRule>
  </conditionalFormatting>
  <conditionalFormatting sqref="AA53">
    <cfRule type="cellIs" dxfId="891" priority="25" operator="notEqual">
      <formula>$AA$55</formula>
    </cfRule>
    <cfRule type="cellIs" dxfId="890" priority="26" operator="equal">
      <formula>$AA$55</formula>
    </cfRule>
  </conditionalFormatting>
  <conditionalFormatting sqref="AB53">
    <cfRule type="cellIs" dxfId="889" priority="23" operator="notEqual">
      <formula>$AB$55</formula>
    </cfRule>
    <cfRule type="cellIs" dxfId="888" priority="24" operator="equal">
      <formula>$AB$55</formula>
    </cfRule>
  </conditionalFormatting>
  <conditionalFormatting sqref="AC53">
    <cfRule type="cellIs" dxfId="887" priority="21" operator="notEqual">
      <formula>$AC$55</formula>
    </cfRule>
    <cfRule type="cellIs" dxfId="886" priority="22" operator="equal">
      <formula>$AC$55</formula>
    </cfRule>
  </conditionalFormatting>
  <conditionalFormatting sqref="AD53">
    <cfRule type="cellIs" dxfId="885" priority="19" operator="notEqual">
      <formula>$AD$55</formula>
    </cfRule>
    <cfRule type="cellIs" dxfId="884" priority="20" operator="equal">
      <formula>$AD$55</formula>
    </cfRule>
  </conditionalFormatting>
  <conditionalFormatting sqref="AE53">
    <cfRule type="cellIs" dxfId="883" priority="17" operator="notEqual">
      <formula>$AE$55</formula>
    </cfRule>
    <cfRule type="cellIs" dxfId="882" priority="18" operator="equal">
      <formula>$AE$55</formula>
    </cfRule>
  </conditionalFormatting>
  <conditionalFormatting sqref="AF53">
    <cfRule type="cellIs" dxfId="881" priority="16" operator="equal">
      <formula>$AF$55</formula>
    </cfRule>
  </conditionalFormatting>
  <conditionalFormatting sqref="AF53">
    <cfRule type="cellIs" dxfId="880" priority="15" operator="notEqual">
      <formula>$AF$55</formula>
    </cfRule>
  </conditionalFormatting>
  <conditionalFormatting sqref="AG53">
    <cfRule type="cellIs" dxfId="879" priority="14" operator="equal">
      <formula>$AG$55</formula>
    </cfRule>
  </conditionalFormatting>
  <conditionalFormatting sqref="AG53">
    <cfRule type="cellIs" dxfId="878" priority="13" operator="notEqual">
      <formula>$AG$55</formula>
    </cfRule>
  </conditionalFormatting>
  <conditionalFormatting sqref="AH53">
    <cfRule type="cellIs" dxfId="877" priority="12" operator="equal">
      <formula>$AH$55</formula>
    </cfRule>
  </conditionalFormatting>
  <conditionalFormatting sqref="AH53">
    <cfRule type="cellIs" dxfId="876" priority="11" operator="notEqual">
      <formula>$AH$55</formula>
    </cfRule>
  </conditionalFormatting>
  <conditionalFormatting sqref="AI53">
    <cfRule type="cellIs" dxfId="875" priority="10" operator="equal">
      <formula>$AI$55</formula>
    </cfRule>
  </conditionalFormatting>
  <conditionalFormatting sqref="AI53">
    <cfRule type="cellIs" dxfId="874" priority="9" operator="notEqual">
      <formula>$AI$55</formula>
    </cfRule>
  </conditionalFormatting>
  <conditionalFormatting sqref="AJ53">
    <cfRule type="cellIs" dxfId="873" priority="8" operator="equal">
      <formula>$AJ$55</formula>
    </cfRule>
  </conditionalFormatting>
  <conditionalFormatting sqref="AJ53">
    <cfRule type="cellIs" dxfId="872" priority="7" operator="notEqual">
      <formula>$AJ$55</formula>
    </cfRule>
  </conditionalFormatting>
  <conditionalFormatting sqref="AK53">
    <cfRule type="cellIs" dxfId="871" priority="6" operator="equal">
      <formula>$AK$55</formula>
    </cfRule>
  </conditionalFormatting>
  <conditionalFormatting sqref="AK53">
    <cfRule type="cellIs" dxfId="870" priority="5" operator="notEqual">
      <formula>$AK$55</formula>
    </cfRule>
  </conditionalFormatting>
  <conditionalFormatting sqref="AL53">
    <cfRule type="cellIs" dxfId="869" priority="4" operator="equal">
      <formula>$AL$55</formula>
    </cfRule>
  </conditionalFormatting>
  <conditionalFormatting sqref="AL53">
    <cfRule type="cellIs" dxfId="868" priority="3" operator="notEqual">
      <formula>$AL$55</formula>
    </cfRule>
  </conditionalFormatting>
  <conditionalFormatting sqref="AM53">
    <cfRule type="cellIs" dxfId="867" priority="2" operator="equal">
      <formula>$AM$55</formula>
    </cfRule>
  </conditionalFormatting>
  <conditionalFormatting sqref="AM53">
    <cfRule type="cellIs" dxfId="866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D468-08F8-43DB-BFC7-C287F1C99FFC}">
  <sheetPr codeName="Planilha12"/>
  <dimension ref="A1:AP57"/>
  <sheetViews>
    <sheetView showGridLines="0" topLeftCell="AH40" workbookViewId="0">
      <selection activeCell="AO53" sqref="AO53:AP55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4" width="7.85546875" style="9" bestFit="1" customWidth="1"/>
    <col min="15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4257812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7" style="9" bestFit="1" customWidth="1"/>
    <col min="38" max="38" width="9.28515625" style="9" bestFit="1" customWidth="1"/>
    <col min="39" max="39" width="10" style="9" bestFit="1" customWidth="1"/>
    <col min="40" max="40" width="9.140625" style="9"/>
    <col min="41" max="42" width="10.42578125" style="9" bestFit="1" customWidth="1"/>
    <col min="43" max="16384" width="9.140625" style="9"/>
  </cols>
  <sheetData>
    <row r="1" spans="1:42" ht="11.25" customHeight="1" x14ac:dyDescent="0.25">
      <c r="A1" s="140" t="s">
        <v>58</v>
      </c>
      <c r="B1" s="140" t="s">
        <v>59</v>
      </c>
      <c r="C1" s="140" t="s">
        <v>60</v>
      </c>
      <c r="D1" s="140" t="s">
        <v>61</v>
      </c>
      <c r="E1" s="140" t="s">
        <v>62</v>
      </c>
      <c r="F1" s="140" t="s">
        <v>15</v>
      </c>
      <c r="G1" s="140" t="s">
        <v>64</v>
      </c>
      <c r="H1" s="140" t="s">
        <v>65</v>
      </c>
      <c r="I1" s="140" t="s">
        <v>520</v>
      </c>
      <c r="J1" s="128"/>
      <c r="L1" s="141" t="s">
        <v>540</v>
      </c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O1" s="20"/>
      <c r="AP1" s="144" t="s">
        <v>522</v>
      </c>
    </row>
    <row r="2" spans="1:42" ht="11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28"/>
      <c r="L2" s="141" t="s">
        <v>419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O2" s="20"/>
      <c r="AP2" s="145"/>
    </row>
    <row r="3" spans="1:42" ht="11.2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28"/>
      <c r="L3" s="141" t="s">
        <v>420</v>
      </c>
      <c r="M3" s="141"/>
      <c r="N3" s="141"/>
      <c r="O3" s="141"/>
      <c r="P3" s="141"/>
      <c r="Q3" s="141"/>
      <c r="R3" s="141"/>
      <c r="S3" s="141"/>
      <c r="T3" s="141"/>
      <c r="U3" s="141" t="s">
        <v>429</v>
      </c>
      <c r="V3" s="141"/>
      <c r="W3" s="141"/>
      <c r="X3" s="141"/>
      <c r="Y3" s="141"/>
      <c r="Z3" s="141"/>
      <c r="AA3" s="141"/>
      <c r="AB3" s="141"/>
      <c r="AC3" s="141" t="s">
        <v>437</v>
      </c>
      <c r="AD3" s="141"/>
      <c r="AE3" s="141" t="s">
        <v>439</v>
      </c>
      <c r="AF3" s="141"/>
      <c r="AG3" s="141"/>
      <c r="AH3" s="141" t="s">
        <v>442</v>
      </c>
      <c r="AI3" s="141"/>
      <c r="AJ3" s="141"/>
      <c r="AK3" s="141"/>
      <c r="AL3" s="141"/>
      <c r="AM3" s="141" t="s">
        <v>428</v>
      </c>
      <c r="AO3" s="20"/>
      <c r="AP3" s="145"/>
    </row>
    <row r="4" spans="1:42" ht="11.25" customHeight="1" x14ac:dyDescent="0.25">
      <c r="A4" s="140"/>
      <c r="B4" s="140"/>
      <c r="C4" s="140"/>
      <c r="D4" s="140"/>
      <c r="E4" s="140"/>
      <c r="F4" s="140"/>
      <c r="G4" s="140"/>
      <c r="H4" s="140"/>
      <c r="I4" s="140"/>
      <c r="J4" s="128"/>
      <c r="L4" s="10" t="s">
        <v>505</v>
      </c>
      <c r="M4" s="10" t="s">
        <v>421</v>
      </c>
      <c r="N4" s="10" t="s">
        <v>422</v>
      </c>
      <c r="O4" s="10" t="s">
        <v>423</v>
      </c>
      <c r="P4" s="10" t="s">
        <v>424</v>
      </c>
      <c r="Q4" s="10" t="s">
        <v>425</v>
      </c>
      <c r="R4" s="10" t="s">
        <v>426</v>
      </c>
      <c r="S4" s="10" t="s">
        <v>427</v>
      </c>
      <c r="T4" s="10" t="s">
        <v>428</v>
      </c>
      <c r="U4" s="10" t="s">
        <v>430</v>
      </c>
      <c r="V4" s="10" t="s">
        <v>431</v>
      </c>
      <c r="W4" s="10" t="s">
        <v>432</v>
      </c>
      <c r="X4" s="10" t="s">
        <v>433</v>
      </c>
      <c r="Y4" s="10" t="s">
        <v>434</v>
      </c>
      <c r="Z4" s="10" t="s">
        <v>435</v>
      </c>
      <c r="AA4" s="10" t="s">
        <v>436</v>
      </c>
      <c r="AB4" s="10" t="s">
        <v>428</v>
      </c>
      <c r="AC4" s="10" t="s">
        <v>438</v>
      </c>
      <c r="AD4" s="10" t="s">
        <v>428</v>
      </c>
      <c r="AE4" s="10" t="s">
        <v>440</v>
      </c>
      <c r="AF4" s="10" t="s">
        <v>441</v>
      </c>
      <c r="AG4" s="10" t="s">
        <v>428</v>
      </c>
      <c r="AH4" s="10" t="s">
        <v>443</v>
      </c>
      <c r="AI4" s="10" t="s">
        <v>444</v>
      </c>
      <c r="AJ4" s="10" t="s">
        <v>445</v>
      </c>
      <c r="AK4" s="10" t="s">
        <v>446</v>
      </c>
      <c r="AL4" s="10" t="s">
        <v>428</v>
      </c>
      <c r="AM4" s="143"/>
      <c r="AO4" s="21" t="s">
        <v>539</v>
      </c>
      <c r="AP4" s="146"/>
    </row>
    <row r="5" spans="1:42" ht="11.25" customHeight="1" x14ac:dyDescent="0.25">
      <c r="A5" s="139" t="s">
        <v>34</v>
      </c>
      <c r="B5" s="139" t="s">
        <v>73</v>
      </c>
      <c r="C5" s="139" t="s">
        <v>25</v>
      </c>
      <c r="D5" s="139" t="s">
        <v>25</v>
      </c>
      <c r="E5" s="139" t="s">
        <v>25</v>
      </c>
      <c r="F5" s="139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49.155964526540544</v>
      </c>
      <c r="AP5" s="20">
        <f ca="1">+'TUSD BE'!$T$5+'TUSD BE'!$AB$5+'TUSD BE'!$AD$5+'TUSD BE'!$AL$5</f>
        <v>49.155964526540544</v>
      </c>
    </row>
    <row r="6" spans="1:42" ht="11.25" customHeight="1" x14ac:dyDescent="0.25">
      <c r="A6" s="139"/>
      <c r="B6" s="139"/>
      <c r="C6" s="139"/>
      <c r="D6" s="139"/>
      <c r="E6" s="139"/>
      <c r="F6" s="139"/>
      <c r="G6" s="18" t="s">
        <v>76</v>
      </c>
      <c r="H6" s="18" t="s">
        <v>74</v>
      </c>
      <c r="I6" s="18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18.032555015470241</v>
      </c>
      <c r="AP6" s="20">
        <f ca="1">+'TUSD BE'!$T$6+'TUSD BE'!$AB$6+'TUSD BE'!$AD$6+'TUSD BE'!$AL$6</f>
        <v>18.032555015470241</v>
      </c>
    </row>
    <row r="7" spans="1:42" ht="11.25" customHeight="1" x14ac:dyDescent="0.25">
      <c r="A7" s="139"/>
      <c r="B7" s="139"/>
      <c r="C7" s="139"/>
      <c r="D7" s="139"/>
      <c r="E7" s="139"/>
      <c r="F7" s="139"/>
      <c r="G7" s="18" t="s">
        <v>72</v>
      </c>
      <c r="H7" s="18" t="s">
        <v>68</v>
      </c>
      <c r="I7" s="18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16.523216763477244</v>
      </c>
      <c r="R7" s="13">
        <f>'TUSD BE'!$R$7*'TUSD BF'!$R$58</f>
        <v>3.7574751408440408</v>
      </c>
      <c r="S7" s="13">
        <f>'TUSD BE'!$R$7*'TUSD BF'!$S$58</f>
        <v>0</v>
      </c>
      <c r="T7" s="13">
        <f ca="1">SUM($L$7:$S$7)</f>
        <v>20.280691904321284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-1.901187106218058E-2</v>
      </c>
      <c r="AI7" s="13">
        <f>'TUSD BE'!$AI$7*'TUSD BF'!$AI$58</f>
        <v>0</v>
      </c>
      <c r="AJ7" s="13">
        <f ca="1">'TUSD BE'!$AJ$7*'TUSD BF'!$AJ$58</f>
        <v>-8.5191561365059402E-3</v>
      </c>
      <c r="AK7" s="13">
        <f ca="1">'TUSD BE'!$AK$7*'TUSD BF'!$AK$58</f>
        <v>0</v>
      </c>
      <c r="AL7" s="13">
        <f ca="1">SUM($AH$7:$AK$7)</f>
        <v>-2.7531027198686518E-2</v>
      </c>
      <c r="AM7" s="13">
        <f ca="1">SUMIF($L$4:$AL$4,"SUBTOTAL",$L$7:$AL$7)</f>
        <v>20.253160877122596</v>
      </c>
      <c r="AO7" s="20">
        <f ca="1">+'TUSD BE'!$T$7+'TUSD BE'!$AB$7+'TUSD BE'!$AD$7+'TUSD BE'!$AL$7</f>
        <v>92.279335725261305</v>
      </c>
      <c r="AP7" s="20">
        <f ca="1">+'TUSD BE'!$T$7+'TUSD BE'!$AB$7+'TUSD BE'!$AD$7+'TUSD BE'!$AL$7</f>
        <v>92.279335725261305</v>
      </c>
    </row>
    <row r="8" spans="1:42" ht="11.25" customHeight="1" x14ac:dyDescent="0.25">
      <c r="A8" s="139"/>
      <c r="B8" s="139"/>
      <c r="C8" s="139"/>
      <c r="D8" s="139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-1.901187106218058E-2</v>
      </c>
      <c r="AI8" s="13">
        <f>'TUSD BE'!$AI$8*'TUSD BF'!$AI$58</f>
        <v>0</v>
      </c>
      <c r="AJ8" s="13">
        <f ca="1">'TUSD BE'!$AJ$8*'TUSD BF'!$AJ$58</f>
        <v>-8.5191561365059402E-3</v>
      </c>
      <c r="AK8" s="13">
        <f ca="1">'TUSD BE'!$AK$8*'TUSD BF'!$AK$58</f>
        <v>0</v>
      </c>
      <c r="AL8" s="13">
        <f ca="1">SUM($AH$8:$AK$8)</f>
        <v>-2.7531027198686518E-2</v>
      </c>
      <c r="AM8" s="13">
        <f ca="1">SUMIF($L$4:$AL$4,"SUBTOTAL",$L$8:$AL$8)</f>
        <v>-2.7531027198686518E-2</v>
      </c>
      <c r="AO8" s="20">
        <f ca="1">+'TUSD BE'!$T$8+'TUSD BE'!$AB$8+'TUSD BE'!$AD$8+'TUSD BE'!$AL$8</f>
        <v>3.1661178267469312</v>
      </c>
      <c r="AP8" s="20">
        <f ca="1">+'TUSD BE'!$T$8+'TUSD BE'!$AB$8+'TUSD BE'!$AD$8+'TUSD BE'!$AL$8</f>
        <v>3.1661178267469312</v>
      </c>
    </row>
    <row r="9" spans="1:42" ht="11.25" customHeight="1" x14ac:dyDescent="0.25">
      <c r="A9" s="139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6.8344940588749727</v>
      </c>
      <c r="AP9" s="20">
        <f ca="1">+'TUSD BE'!$T$9+'TUSD BE'!$AB$9+'TUSD BE'!$AD$9+'TUSD BE'!$AL$9</f>
        <v>6.8344940588749727</v>
      </c>
    </row>
    <row r="10" spans="1:42" ht="11.25" customHeight="1" x14ac:dyDescent="0.25">
      <c r="A10" s="139"/>
      <c r="B10" s="139" t="s">
        <v>35</v>
      </c>
      <c r="C10" s="139" t="s">
        <v>25</v>
      </c>
      <c r="D10" s="139" t="s">
        <v>25</v>
      </c>
      <c r="E10" s="139" t="s">
        <v>25</v>
      </c>
      <c r="F10" s="139" t="s">
        <v>25</v>
      </c>
      <c r="G10" s="18" t="s">
        <v>9</v>
      </c>
      <c r="H10" s="18" t="s">
        <v>74</v>
      </c>
      <c r="I10" s="18">
        <f>'MERCADO TUSD'!$U$7</f>
        <v>31517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18.032555015470241</v>
      </c>
      <c r="AP10" s="20">
        <f ca="1">+'TUSD BE'!$T$10+'TUSD BE'!$AB$10+'TUSD BE'!$AD$10+'TUSD BE'!$AL$10</f>
        <v>18.032555015470241</v>
      </c>
    </row>
    <row r="11" spans="1:42" ht="11.25" customHeight="1" x14ac:dyDescent="0.25">
      <c r="A11" s="139"/>
      <c r="B11" s="139"/>
      <c r="C11" s="139"/>
      <c r="D11" s="139"/>
      <c r="E11" s="139"/>
      <c r="F11" s="139"/>
      <c r="G11" s="18" t="s">
        <v>69</v>
      </c>
      <c r="H11" s="18" t="s">
        <v>68</v>
      </c>
      <c r="I11" s="18">
        <f>'MERCADO TUSD'!$U$8</f>
        <v>644.95300000000009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16.523216763477244</v>
      </c>
      <c r="R11" s="13">
        <f>'TUSD BE'!$R$11*'TUSD BF'!$R$58</f>
        <v>3.7574751408440408</v>
      </c>
      <c r="S11" s="13">
        <f>'TUSD BE'!$R$11*'TUSD BF'!$S$58</f>
        <v>0</v>
      </c>
      <c r="T11" s="13">
        <f ca="1">SUM($L$11:$S$11)</f>
        <v>20.280691904321284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-1.901187106218058E-2</v>
      </c>
      <c r="AI11" s="13">
        <f>'TUSD BE'!$AI$11*'TUSD BF'!$AI$58</f>
        <v>0</v>
      </c>
      <c r="AJ11" s="13">
        <f ca="1">'TUSD BE'!$AJ$11*'TUSD BF'!$AJ$58</f>
        <v>-8.5191561365059402E-3</v>
      </c>
      <c r="AK11" s="13">
        <f ca="1">'TUSD BE'!$AK$11*'TUSD BF'!$AK$58</f>
        <v>0</v>
      </c>
      <c r="AL11" s="13">
        <f ca="1">SUM($AH$11:$AK$11)</f>
        <v>-2.7531027198686518E-2</v>
      </c>
      <c r="AM11" s="13">
        <f ca="1">SUMIF($L$4:$AL$4,"SUBTOTAL",$L$11:$AL$11)</f>
        <v>20.253160877122596</v>
      </c>
      <c r="AO11" s="20">
        <f ca="1">+'TUSD BE'!$T$11+'TUSD BE'!$AB$11+'TUSD BE'!$AD$11+'TUSD BE'!$AL$11</f>
        <v>1286.7401204527562</v>
      </c>
      <c r="AP11" s="20">
        <f ca="1">+'TUSD BE'!$T$11+'TUSD BE'!$AB$11+'TUSD BE'!$AD$11+'TUSD BE'!$AL$11</f>
        <v>1286.7401204527562</v>
      </c>
    </row>
    <row r="12" spans="1:42" ht="11.25" customHeight="1" x14ac:dyDescent="0.25">
      <c r="A12" s="139"/>
      <c r="B12" s="139"/>
      <c r="C12" s="139"/>
      <c r="D12" s="139"/>
      <c r="E12" s="139"/>
      <c r="F12" s="139"/>
      <c r="G12" s="18" t="s">
        <v>70</v>
      </c>
      <c r="H12" s="18" t="s">
        <v>68</v>
      </c>
      <c r="I12" s="18">
        <f>'MERCADO TUSD'!$U$9</f>
        <v>8036.4479999999985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16.523216763477244</v>
      </c>
      <c r="R12" s="13">
        <f>'TUSD BE'!$R$12*'TUSD BF'!$R$58</f>
        <v>3.7574751408440408</v>
      </c>
      <c r="S12" s="13">
        <f>'TUSD BE'!$R$12*'TUSD BF'!$S$58</f>
        <v>0</v>
      </c>
      <c r="T12" s="13">
        <f ca="1">SUM($L$12:$S$12)</f>
        <v>20.280691904321284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-1.901187106218058E-2</v>
      </c>
      <c r="AI12" s="13">
        <f>'TUSD BE'!$AI$12*'TUSD BF'!$AI$58</f>
        <v>0</v>
      </c>
      <c r="AJ12" s="13">
        <f ca="1">'TUSD BE'!$AJ$12*'TUSD BF'!$AJ$58</f>
        <v>-8.5191561365059402E-3</v>
      </c>
      <c r="AK12" s="13">
        <f ca="1">'TUSD BE'!$AK$12*'TUSD BF'!$AK$58</f>
        <v>0</v>
      </c>
      <c r="AL12" s="13">
        <f ca="1">SUM($AH$12:$AK$12)</f>
        <v>-2.7531027198686518E-2</v>
      </c>
      <c r="AM12" s="13">
        <f ca="1">SUMIF($L$4:$AL$4,"SUBTOTAL",$L$12:$AL$12)</f>
        <v>20.253160877122596</v>
      </c>
      <c r="AO12" s="20">
        <f ca="1">+'TUSD BE'!$T$12+'TUSD BE'!$AB$12+'TUSD BE'!$AD$12+'TUSD BE'!$AL$12</f>
        <v>92.279335725261305</v>
      </c>
      <c r="AP12" s="20">
        <f ca="1">+'TUSD BE'!$T$12+'TUSD BE'!$AB$12+'TUSD BE'!$AD$12+'TUSD BE'!$AL$12</f>
        <v>92.279335725261305</v>
      </c>
    </row>
    <row r="13" spans="1:42" ht="11.25" customHeight="1" x14ac:dyDescent="0.25">
      <c r="A13" s="139"/>
      <c r="B13" s="139"/>
      <c r="C13" s="139"/>
      <c r="D13" s="139"/>
      <c r="E13" s="139" t="s">
        <v>77</v>
      </c>
      <c r="F13" s="139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-1.901187106218058E-2</v>
      </c>
      <c r="AI13" s="13">
        <f>'TUSD BE'!$AI$13*'TUSD BF'!$AI$58</f>
        <v>0</v>
      </c>
      <c r="AJ13" s="13">
        <f ca="1">'TUSD BE'!$AJ$13*'TUSD BF'!$AJ$58</f>
        <v>-8.5191561365059402E-3</v>
      </c>
      <c r="AK13" s="13">
        <f ca="1">'TUSD BE'!$AK$13*'TUSD BF'!$AK$58</f>
        <v>0</v>
      </c>
      <c r="AL13" s="13">
        <f ca="1">SUM($AH$13:$AK$13)</f>
        <v>-2.7531027198686518E-2</v>
      </c>
      <c r="AM13" s="13">
        <f ca="1">SUMIF($L$4:$AL$4,"SUBTOTAL",$L$13:$AL$13)</f>
        <v>-2.7531027198686518E-2</v>
      </c>
      <c r="AO13" s="20">
        <f ca="1">+'TUSD BE'!$T$13+'TUSD BE'!$AB$13+'TUSD BE'!$AD$13+'TUSD BE'!$AL$13</f>
        <v>1197.6269025542417</v>
      </c>
      <c r="AP13" s="20">
        <f ca="1">+'TUSD BE'!$T$13+'TUSD BE'!$AB$13+'TUSD BE'!$AD$13+'TUSD BE'!$AL$13</f>
        <v>1197.6269025542417</v>
      </c>
    </row>
    <row r="14" spans="1:42" ht="11.25" customHeight="1" x14ac:dyDescent="0.25">
      <c r="A14" s="139"/>
      <c r="B14" s="139"/>
      <c r="C14" s="139"/>
      <c r="D14" s="139"/>
      <c r="E14" s="139"/>
      <c r="F14" s="139"/>
      <c r="G14" s="18" t="s">
        <v>70</v>
      </c>
      <c r="H14" s="18" t="s">
        <v>68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-1.901187106218058E-2</v>
      </c>
      <c r="AI14" s="13">
        <f>'TUSD BE'!$AI$14*'TUSD BF'!$AI$58</f>
        <v>0</v>
      </c>
      <c r="AJ14" s="13">
        <f ca="1">'TUSD BE'!$AJ$14*'TUSD BF'!$AJ$58</f>
        <v>-8.5191561365059402E-3</v>
      </c>
      <c r="AK14" s="13">
        <f ca="1">'TUSD BE'!$AK$14*'TUSD BF'!$AK$58</f>
        <v>0</v>
      </c>
      <c r="AL14" s="13">
        <f ca="1">SUM($AH$14:$AK$14)</f>
        <v>-2.7531027198686518E-2</v>
      </c>
      <c r="AM14" s="13">
        <f ca="1">SUMIF($L$4:$AL$4,"SUBTOTAL",$L$14:$AL$14)</f>
        <v>-2.7531027198686518E-2</v>
      </c>
      <c r="AO14" s="20">
        <f ca="1">+'TUSD BE'!$T$14+'TUSD BE'!$AB$14+'TUSD BE'!$AD$14+'TUSD BE'!$AL$14</f>
        <v>3.1661178267469312</v>
      </c>
      <c r="AP14" s="20">
        <f ca="1">+'TUSD BE'!$T$14+'TUSD BE'!$AB$14+'TUSD BE'!$AD$14+'TUSD BE'!$AL$14</f>
        <v>3.1661178267469312</v>
      </c>
    </row>
    <row r="15" spans="1:42" ht="11.25" customHeight="1" x14ac:dyDescent="0.25">
      <c r="A15" s="139" t="s">
        <v>79</v>
      </c>
      <c r="B15" s="139" t="s">
        <v>78</v>
      </c>
      <c r="C15" s="139" t="s">
        <v>25</v>
      </c>
      <c r="D15" s="139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14.78820829081349</v>
      </c>
      <c r="AP15" s="20">
        <f ca="1">+'TUSD BE'!$T$15+'TUSD BE'!$AB$15+'TUSD BE'!$AD$15+'TUSD BE'!$AL$15</f>
        <v>14.78820829081349</v>
      </c>
    </row>
    <row r="16" spans="1:42" ht="11.25" customHeight="1" x14ac:dyDescent="0.25">
      <c r="A16" s="139"/>
      <c r="B16" s="139"/>
      <c r="C16" s="139"/>
      <c r="D16" s="139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22.584594661653828</v>
      </c>
      <c r="AP16" s="20">
        <f ca="1">+'TUSD BE'!$T$16+'TUSD BE'!$AB$16+'TUSD BE'!$AD$16+'TUSD BE'!$AL$16</f>
        <v>22.584594661653828</v>
      </c>
    </row>
    <row r="17" spans="1:42" ht="11.25" customHeight="1" x14ac:dyDescent="0.25">
      <c r="A17" s="139" t="s">
        <v>22</v>
      </c>
      <c r="B17" s="139" t="s">
        <v>38</v>
      </c>
      <c r="C17" s="139" t="s">
        <v>24</v>
      </c>
      <c r="D17" s="139" t="s">
        <v>24</v>
      </c>
      <c r="E17" s="139" t="s">
        <v>25</v>
      </c>
      <c r="F17" s="139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19.670496146996719</v>
      </c>
      <c r="R17" s="13">
        <f>'TUSD BE'!$R$17*'TUSD BF'!$R$58</f>
        <v>3.7574751408440408</v>
      </c>
      <c r="S17" s="13">
        <f>'TUSD BE'!$R$17*'TUSD BF'!$S$58</f>
        <v>0</v>
      </c>
      <c r="T17" s="13">
        <f ca="1">SUM($L$17:$S$17)</f>
        <v>23.427971287840759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-0.20335486547661608</v>
      </c>
      <c r="AI17" s="13">
        <f>'TUSD BE'!$AI$17*'TUSD BF'!$AI$58</f>
        <v>0</v>
      </c>
      <c r="AJ17" s="13">
        <f ca="1">'TUSD BE'!$AJ$17*'TUSD BF'!$AJ$58</f>
        <v>-1.5965883093291923E-2</v>
      </c>
      <c r="AK17" s="13">
        <f ca="1">'TUSD BE'!$AK$17*'TUSD BF'!$AK$58</f>
        <v>0</v>
      </c>
      <c r="AL17" s="13">
        <f ca="1">SUM($AH$17:$AK$17)</f>
        <v>-0.21932074856990799</v>
      </c>
      <c r="AM17" s="13">
        <f ca="1">SUMIF($L$4:$AL$4,"SUBTOTAL",$L$17:$AL$17)</f>
        <v>23.208650539270852</v>
      </c>
      <c r="AO17" s="20">
        <f ca="1">+'TUSD BE'!$T$17+'TUSD BE'!$AB$17+'TUSD BE'!$AD$17+'TUSD BE'!$AL$17</f>
        <v>1102.833361429681</v>
      </c>
      <c r="AP17" s="20">
        <f ca="1">+'TUSD BE'!$T$17+'TUSD BE'!$AB$17+'TUSD BE'!$AD$17+'TUSD BE'!$AL$17</f>
        <v>1102.833361429681</v>
      </c>
    </row>
    <row r="18" spans="1:42" ht="11.25" customHeight="1" x14ac:dyDescent="0.25">
      <c r="A18" s="139"/>
      <c r="B18" s="139"/>
      <c r="C18" s="139"/>
      <c r="D18" s="139"/>
      <c r="E18" s="139"/>
      <c r="F18" s="139"/>
      <c r="G18" s="18" t="s">
        <v>82</v>
      </c>
      <c r="H18" s="18" t="s">
        <v>68</v>
      </c>
      <c r="I18" s="18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19.670496146996719</v>
      </c>
      <c r="R18" s="13">
        <f>'TUSD BE'!$R$18*'TUSD BF'!$R$58</f>
        <v>3.7574751408440408</v>
      </c>
      <c r="S18" s="13">
        <f>'TUSD BE'!$R$18*'TUSD BF'!$S$58</f>
        <v>0</v>
      </c>
      <c r="T18" s="13">
        <f ca="1">SUM($L$18:$S$18)</f>
        <v>23.427971287840759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-0.20335486547661608</v>
      </c>
      <c r="AI18" s="13">
        <f>'TUSD BE'!$AI$18*'TUSD BF'!$AI$58</f>
        <v>0</v>
      </c>
      <c r="AJ18" s="13">
        <f ca="1">'TUSD BE'!$AJ$18*'TUSD BF'!$AJ$58</f>
        <v>-1.5965883093291923E-2</v>
      </c>
      <c r="AK18" s="13">
        <f ca="1">'TUSD BE'!$AK$18*'TUSD BF'!$AK$58</f>
        <v>0</v>
      </c>
      <c r="AL18" s="13">
        <f ca="1">SUM($AH$18:$AK$18)</f>
        <v>-0.21932074856990799</v>
      </c>
      <c r="AM18" s="13">
        <f ca="1">SUMIF($L$4:$AL$4,"SUBTOTAL",$L$18:$AL$18)</f>
        <v>23.208650539270852</v>
      </c>
      <c r="AO18" s="20">
        <f ca="1">+'TUSD BE'!$T$18+'TUSD BE'!$AB$18+'TUSD BE'!$AD$18+'TUSD BE'!$AL$18</f>
        <v>712.18375620384302</v>
      </c>
      <c r="AP18" s="20">
        <f ca="1">+'TUSD BE'!$T$18+'TUSD BE'!$AB$18+'TUSD BE'!$AD$18+'TUSD BE'!$AL$18</f>
        <v>712.18375620384302</v>
      </c>
    </row>
    <row r="19" spans="1:42" ht="11.25" customHeight="1" x14ac:dyDescent="0.25">
      <c r="A19" s="139"/>
      <c r="B19" s="139"/>
      <c r="C19" s="139"/>
      <c r="D19" s="139"/>
      <c r="E19" s="139"/>
      <c r="F19" s="139"/>
      <c r="G19" s="18" t="s">
        <v>70</v>
      </c>
      <c r="H19" s="18" t="s">
        <v>68</v>
      </c>
      <c r="I19" s="18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19.670496146996719</v>
      </c>
      <c r="R19" s="13">
        <f>'TUSD BE'!$R$19*'TUSD BF'!$R$58</f>
        <v>3.7574751408440408</v>
      </c>
      <c r="S19" s="13">
        <f>'TUSD BE'!$R$19*'TUSD BF'!$S$58</f>
        <v>0</v>
      </c>
      <c r="T19" s="13">
        <f ca="1">SUM($L$19:$S$19)</f>
        <v>23.427971287840759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-0.20335486547661608</v>
      </c>
      <c r="AI19" s="13">
        <f>'TUSD BE'!$AI$19*'TUSD BF'!$AI$58</f>
        <v>0</v>
      </c>
      <c r="AJ19" s="13">
        <f ca="1">'TUSD BE'!$AJ$19*'TUSD BF'!$AJ$58</f>
        <v>-1.5965883093291923E-2</v>
      </c>
      <c r="AK19" s="13">
        <f ca="1">'TUSD BE'!$AK$19*'TUSD BF'!$AK$58</f>
        <v>0</v>
      </c>
      <c r="AL19" s="13">
        <f ca="1">SUM($AH$19:$AK$19)</f>
        <v>-0.21932074856990799</v>
      </c>
      <c r="AM19" s="13">
        <f ca="1">SUMIF($L$4:$AL$4,"SUBTOTAL",$L$19:$AL$19)</f>
        <v>23.208650539270852</v>
      </c>
      <c r="AO19" s="20">
        <f ca="1">+'TUSD BE'!$T$19+'TUSD BE'!$AB$19+'TUSD BE'!$AD$19+'TUSD BE'!$AL$19</f>
        <v>321.53426142383665</v>
      </c>
      <c r="AP19" s="20">
        <f ca="1">+'TUSD BE'!$T$19+'TUSD BE'!$AB$19+'TUSD BE'!$AD$19+'TUSD BE'!$AL$19</f>
        <v>321.53426142383665</v>
      </c>
    </row>
    <row r="20" spans="1:42" ht="11.25" customHeight="1" x14ac:dyDescent="0.25">
      <c r="A20" s="139"/>
      <c r="B20" s="139" t="s">
        <v>23</v>
      </c>
      <c r="C20" s="139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6670.0239999999994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19.670496146996719</v>
      </c>
      <c r="R20" s="13">
        <f>'TUSD BE'!$R$20*'TUSD BF'!$R$58</f>
        <v>3.7574751408440408</v>
      </c>
      <c r="S20" s="13">
        <f>'TUSD BE'!$R$20*'TUSD BF'!$S$58</f>
        <v>0</v>
      </c>
      <c r="T20" s="13">
        <f ca="1">SUM($L$20:$S$20)</f>
        <v>23.427971287840759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-0.20335486547661608</v>
      </c>
      <c r="AI20" s="13">
        <f>'TUSD BE'!$AI$20*'TUSD BF'!$AI$58</f>
        <v>0</v>
      </c>
      <c r="AJ20" s="13">
        <f ca="1">'TUSD BE'!$AJ$20*'TUSD BF'!$AJ$58</f>
        <v>-1.5965883093291923E-2</v>
      </c>
      <c r="AK20" s="13">
        <f ca="1">'TUSD BE'!$AK$20*'TUSD BF'!$AK$58</f>
        <v>0</v>
      </c>
      <c r="AL20" s="13">
        <f ca="1">SUM($AH$20:$AK$20)</f>
        <v>-0.21932074856990799</v>
      </c>
      <c r="AM20" s="13">
        <f ca="1">SUMIF($L$4:$AL$4,"SUBTOTAL",$L$20:$AL$20)</f>
        <v>23.208650539270852</v>
      </c>
      <c r="AO20" s="20">
        <f ca="1">+'TUSD BE'!$T$20+'TUSD BE'!$AB$20+'TUSD BE'!$AD$20+'TUSD BE'!$AL$20</f>
        <v>475.00372559990984</v>
      </c>
      <c r="AP20" s="20">
        <f ca="1">+'TUSD BE'!$T$20+'TUSD BE'!$AB$20+'TUSD BE'!$AD$20+'TUSD BE'!$AL$20</f>
        <v>475.00372559990984</v>
      </c>
    </row>
    <row r="21" spans="1:42" ht="11.25" customHeight="1" x14ac:dyDescent="0.25">
      <c r="A21" s="139"/>
      <c r="B21" s="139"/>
      <c r="C21" s="139"/>
      <c r="D21" s="17" t="s">
        <v>28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127.41000000000001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-0.20335486547661608</v>
      </c>
      <c r="AI21" s="13">
        <f>'TUSD BE'!$AI$21*'TUSD BF'!$AI$58</f>
        <v>0</v>
      </c>
      <c r="AJ21" s="13">
        <f ca="1">'TUSD BE'!$AJ$21*'TUSD BF'!$AJ$58</f>
        <v>-1.5965883093291923E-2</v>
      </c>
      <c r="AK21" s="13">
        <f ca="1">'TUSD BE'!$AK$21*'TUSD BF'!$AK$58</f>
        <v>0</v>
      </c>
      <c r="AL21" s="13">
        <f ca="1">SUM($AH$21:$AK$21)</f>
        <v>-0.21932074856990799</v>
      </c>
      <c r="AM21" s="13">
        <f ca="1">SUMIF($L$4:$AL$4,"SUBTOTAL",$L$21:$AL$21)</f>
        <v>-0.21932074856990799</v>
      </c>
      <c r="AO21" s="20">
        <f ca="1">+'TUSD BE'!$T$21+'TUSD BE'!$AB$21+'TUSD BE'!$AD$21+'TUSD BE'!$AL$21</f>
        <v>371.55758363074114</v>
      </c>
      <c r="AP21" s="20">
        <f ca="1">+'TUSD BE'!$T$21+'TUSD BE'!$AB$21+'TUSD BE'!$AD$21+'TUSD BE'!$AL$21</f>
        <v>371.55758363074114</v>
      </c>
    </row>
    <row r="22" spans="1:42" ht="11.25" customHeight="1" x14ac:dyDescent="0.25">
      <c r="A22" s="139"/>
      <c r="B22" s="139"/>
      <c r="C22" s="139"/>
      <c r="D22" s="17" t="s">
        <v>29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275.43099999999998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-0.20335486547661608</v>
      </c>
      <c r="AI22" s="13">
        <f>'TUSD BE'!$AI$22*'TUSD BF'!$AI$58</f>
        <v>0</v>
      </c>
      <c r="AJ22" s="13">
        <f ca="1">'TUSD BE'!$AJ$22*'TUSD BF'!$AJ$58</f>
        <v>-1.5965883093291923E-2</v>
      </c>
      <c r="AK22" s="13">
        <f ca="1">'TUSD BE'!$AK$22*'TUSD BF'!$AK$58</f>
        <v>0</v>
      </c>
      <c r="AL22" s="13">
        <f ca="1">SUM($AH$22:$AK$22)</f>
        <v>-0.21932074856990799</v>
      </c>
      <c r="AM22" s="13">
        <f ca="1">SUMIF($L$4:$AL$4,"SUBTOTAL",$L$22:$AL$22)</f>
        <v>-0.21932074856990799</v>
      </c>
      <c r="AO22" s="20">
        <f ca="1">+'TUSD BE'!$T$22+'TUSD BE'!$AB$22+'TUSD BE'!$AD$22+'TUSD BE'!$AL$22</f>
        <v>371.55758363074114</v>
      </c>
      <c r="AP22" s="20">
        <f ca="1">+'TUSD BE'!$T$22+'TUSD BE'!$AB$22+'TUSD BE'!$AD$22+'TUSD BE'!$AL$22</f>
        <v>371.55758363074114</v>
      </c>
    </row>
    <row r="23" spans="1:42" ht="11.25" customHeight="1" x14ac:dyDescent="0.25">
      <c r="A23" s="139"/>
      <c r="B23" s="139"/>
      <c r="C23" s="139"/>
      <c r="D23" s="17" t="s">
        <v>30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305.03699999999998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-0.20335486547661608</v>
      </c>
      <c r="AI23" s="13">
        <f>'TUSD BE'!$AI$23*'TUSD BF'!$AI$58</f>
        <v>0</v>
      </c>
      <c r="AJ23" s="13">
        <f ca="1">'TUSD BE'!$AJ$23*'TUSD BF'!$AJ$58</f>
        <v>-1.5965883093291923E-2</v>
      </c>
      <c r="AK23" s="13">
        <f ca="1">'TUSD BE'!$AK$23*'TUSD BF'!$AK$58</f>
        <v>0</v>
      </c>
      <c r="AL23" s="13">
        <f ca="1">SUM($AH$23:$AK$23)</f>
        <v>-0.21932074856990799</v>
      </c>
      <c r="AM23" s="13">
        <f ca="1">SUMIF($L$4:$AL$4,"SUBTOTAL",$L$23:$AL$23)</f>
        <v>-0.21932074856990799</v>
      </c>
      <c r="AO23" s="20">
        <f ca="1">+'TUSD BE'!$T$23+'TUSD BE'!$AB$23+'TUSD BE'!$AD$23+'TUSD BE'!$AL$23</f>
        <v>371.55758363074114</v>
      </c>
      <c r="AP23" s="20">
        <f ca="1">+'TUSD BE'!$T$23+'TUSD BE'!$AB$23+'TUSD BE'!$AD$23+'TUSD BE'!$AL$23</f>
        <v>371.55758363074114</v>
      </c>
    </row>
    <row r="24" spans="1:42" ht="11.25" customHeight="1" x14ac:dyDescent="0.25">
      <c r="A24" s="139"/>
      <c r="B24" s="139"/>
      <c r="C24" s="139"/>
      <c r="D24" s="17" t="s">
        <v>31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109.482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-0.20335486547661608</v>
      </c>
      <c r="AI24" s="13">
        <f>'TUSD BE'!$AI$24*'TUSD BF'!$AI$58</f>
        <v>0</v>
      </c>
      <c r="AJ24" s="13">
        <f ca="1">'TUSD BE'!$AJ$24*'TUSD BF'!$AJ$58</f>
        <v>-1.5965883093291923E-2</v>
      </c>
      <c r="AK24" s="13">
        <f ca="1">'TUSD BE'!$AK$24*'TUSD BF'!$AK$58</f>
        <v>0</v>
      </c>
      <c r="AL24" s="13">
        <f ca="1">SUM($AH$24:$AK$24)</f>
        <v>-0.21932074856990799</v>
      </c>
      <c r="AM24" s="13">
        <f ca="1">SUMIF($L$4:$AL$4,"SUBTOTAL",$L$24:$AL$24)</f>
        <v>-0.21932074856990799</v>
      </c>
      <c r="AO24" s="20">
        <f ca="1">+'TUSD BE'!$T$24+'TUSD BE'!$AB$24+'TUSD BE'!$AD$24+'TUSD BE'!$AL$24</f>
        <v>371.55758363074114</v>
      </c>
      <c r="AP24" s="20">
        <f ca="1">+'TUSD BE'!$T$24+'TUSD BE'!$AB$24+'TUSD BE'!$AD$24+'TUSD BE'!$AL$24</f>
        <v>371.55758363074114</v>
      </c>
    </row>
    <row r="25" spans="1:42" ht="11.25" customHeight="1" x14ac:dyDescent="0.25">
      <c r="A25" s="139"/>
      <c r="B25" s="139" t="s">
        <v>84</v>
      </c>
      <c r="C25" s="139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19.670496146996719</v>
      </c>
      <c r="R25" s="13">
        <f>'TUSD BE'!$R$25*'TUSD BF'!$R$58</f>
        <v>3.7574751408440408</v>
      </c>
      <c r="S25" s="13">
        <f>'TUSD BE'!$R$25*'TUSD BF'!$S$58</f>
        <v>0</v>
      </c>
      <c r="T25" s="13">
        <f ca="1">SUM($L$25:$S$25)</f>
        <v>23.427971287840759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-0.20335486547661608</v>
      </c>
      <c r="AI25" s="13">
        <f>'TUSD BE'!$AI$25*'TUSD BF'!$AI$58</f>
        <v>0</v>
      </c>
      <c r="AJ25" s="13">
        <f ca="1">'TUSD BE'!$AJ$25*'TUSD BF'!$AJ$58</f>
        <v>-1.5965883093291923E-2</v>
      </c>
      <c r="AK25" s="13">
        <f ca="1">'TUSD BE'!$AK$25*'TUSD BF'!$AK$58</f>
        <v>0</v>
      </c>
      <c r="AL25" s="13">
        <f ca="1">SUM($AH$25:$AK$25)</f>
        <v>-0.21932074856990799</v>
      </c>
      <c r="AM25" s="13">
        <f ca="1">SUMIF($L$4:$AL$4,"SUBTOTAL",$L$25:$AL$25)</f>
        <v>23.208650539270852</v>
      </c>
      <c r="AO25" s="20">
        <f ca="1">+'TUSD BE'!$T$25+'TUSD BE'!$AB$25+'TUSD BE'!$AD$25+'TUSD BE'!$AL$25</f>
        <v>475.00372559990984</v>
      </c>
      <c r="AP25" s="20">
        <f ca="1">+'TUSD BE'!$T$25+'TUSD BE'!$AB$25+'TUSD BE'!$AD$25+'TUSD BE'!$AL$25</f>
        <v>475.00372559990984</v>
      </c>
    </row>
    <row r="26" spans="1:42" ht="11.25" customHeight="1" x14ac:dyDescent="0.25">
      <c r="A26" s="139"/>
      <c r="B26" s="139"/>
      <c r="C26" s="139"/>
      <c r="D26" s="17" t="s">
        <v>28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-0.20335486547661608</v>
      </c>
      <c r="AI26" s="13">
        <f>'TUSD BE'!$AI$26*'TUSD BF'!$AI$58</f>
        <v>0</v>
      </c>
      <c r="AJ26" s="13">
        <f ca="1">'TUSD BE'!$AJ$26*'TUSD BF'!$AJ$58</f>
        <v>-1.5965883093291923E-2</v>
      </c>
      <c r="AK26" s="13">
        <f ca="1">'TUSD BE'!$AK$26*'TUSD BF'!$AK$58</f>
        <v>0</v>
      </c>
      <c r="AL26" s="13">
        <f ca="1">SUM($AH$26:$AK$26)</f>
        <v>-0.21932074856990799</v>
      </c>
      <c r="AM26" s="13">
        <f ca="1">SUMIF($L$4:$AL$4,"SUBTOTAL",$L$26:$AL$26)</f>
        <v>-0.21932074856990799</v>
      </c>
      <c r="AO26" s="20">
        <f ca="1">+'TUSD BE'!$T$26+'TUSD BE'!$AB$26+'TUSD BE'!$AD$26+'TUSD BE'!$AL$26</f>
        <v>371.55758363074114</v>
      </c>
      <c r="AP26" s="20">
        <f ca="1">+'TUSD BE'!$T$26+'TUSD BE'!$AB$26+'TUSD BE'!$AD$26+'TUSD BE'!$AL$26</f>
        <v>371.55758363074114</v>
      </c>
    </row>
    <row r="27" spans="1:42" ht="11.25" customHeight="1" x14ac:dyDescent="0.25">
      <c r="A27" s="139"/>
      <c r="B27" s="139"/>
      <c r="C27" s="139"/>
      <c r="D27" s="17" t="s">
        <v>29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-0.20335486547661608</v>
      </c>
      <c r="AI27" s="13">
        <f>'TUSD BE'!$AI$27*'TUSD BF'!$AI$58</f>
        <v>0</v>
      </c>
      <c r="AJ27" s="13">
        <f ca="1">'TUSD BE'!$AJ$27*'TUSD BF'!$AJ$58</f>
        <v>-1.5965883093291923E-2</v>
      </c>
      <c r="AK27" s="13">
        <f ca="1">'TUSD BE'!$AK$27*'TUSD BF'!$AK$58</f>
        <v>0</v>
      </c>
      <c r="AL27" s="13">
        <f ca="1">SUM($AH$27:$AK$27)</f>
        <v>-0.21932074856990799</v>
      </c>
      <c r="AM27" s="13">
        <f ca="1">SUMIF($L$4:$AL$4,"SUBTOTAL",$L$27:$AL$27)</f>
        <v>-0.21932074856990799</v>
      </c>
      <c r="AO27" s="20">
        <f ca="1">+'TUSD BE'!$T$27+'TUSD BE'!$AB$27+'TUSD BE'!$AD$27+'TUSD BE'!$AL$27</f>
        <v>371.55758363074114</v>
      </c>
      <c r="AP27" s="20">
        <f ca="1">+'TUSD BE'!$T$27+'TUSD BE'!$AB$27+'TUSD BE'!$AD$27+'TUSD BE'!$AL$27</f>
        <v>371.55758363074114</v>
      </c>
    </row>
    <row r="28" spans="1:42" ht="11.25" customHeight="1" x14ac:dyDescent="0.25">
      <c r="A28" s="139"/>
      <c r="B28" s="139"/>
      <c r="C28" s="139"/>
      <c r="D28" s="17" t="s">
        <v>30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-0.20335486547661608</v>
      </c>
      <c r="AI28" s="13">
        <f>'TUSD BE'!$AI$28*'TUSD BF'!$AI$58</f>
        <v>0</v>
      </c>
      <c r="AJ28" s="13">
        <f ca="1">'TUSD BE'!$AJ$28*'TUSD BF'!$AJ$58</f>
        <v>-1.5965883093291923E-2</v>
      </c>
      <c r="AK28" s="13">
        <f ca="1">'TUSD BE'!$AK$28*'TUSD BF'!$AK$58</f>
        <v>0</v>
      </c>
      <c r="AL28" s="13">
        <f ca="1">SUM($AH$28:$AK$28)</f>
        <v>-0.21932074856990799</v>
      </c>
      <c r="AM28" s="13">
        <f ca="1">SUMIF($L$4:$AL$4,"SUBTOTAL",$L$28:$AL$28)</f>
        <v>-0.21932074856990799</v>
      </c>
      <c r="AO28" s="20">
        <f ca="1">+'TUSD BE'!$T$28+'TUSD BE'!$AB$28+'TUSD BE'!$AD$28+'TUSD BE'!$AL$28</f>
        <v>371.55758363074114</v>
      </c>
      <c r="AP28" s="20">
        <f ca="1">+'TUSD BE'!$T$28+'TUSD BE'!$AB$28+'TUSD BE'!$AD$28+'TUSD BE'!$AL$28</f>
        <v>371.55758363074114</v>
      </c>
    </row>
    <row r="29" spans="1:42" ht="11.25" customHeight="1" x14ac:dyDescent="0.25">
      <c r="A29" s="139"/>
      <c r="B29" s="139"/>
      <c r="C29" s="139"/>
      <c r="D29" s="17" t="s">
        <v>31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-0.20335486547661608</v>
      </c>
      <c r="AI29" s="13">
        <f>'TUSD BE'!$AI$29*'TUSD BF'!$AI$58</f>
        <v>0</v>
      </c>
      <c r="AJ29" s="13">
        <f ca="1">'TUSD BE'!$AJ$29*'TUSD BF'!$AJ$58</f>
        <v>-1.5965883093291923E-2</v>
      </c>
      <c r="AK29" s="13">
        <f ca="1">'TUSD BE'!$AK$29*'TUSD BF'!$AK$58</f>
        <v>0</v>
      </c>
      <c r="AL29" s="13">
        <f ca="1">SUM($AH$29:$AK$29)</f>
        <v>-0.21932074856990799</v>
      </c>
      <c r="AM29" s="13">
        <f ca="1">SUMIF($L$4:$AL$4,"SUBTOTAL",$L$29:$AL$29)</f>
        <v>-0.21932074856990799</v>
      </c>
      <c r="AO29" s="20">
        <f ca="1">+'TUSD BE'!$T$29+'TUSD BE'!$AB$29+'TUSD BE'!$AD$29+'TUSD BE'!$AL$29</f>
        <v>371.55758363074114</v>
      </c>
      <c r="AP29" s="20">
        <f ca="1">+'TUSD BE'!$T$29+'TUSD BE'!$AB$29+'TUSD BE'!$AD$29+'TUSD BE'!$AL$29</f>
        <v>371.55758363074114</v>
      </c>
    </row>
    <row r="30" spans="1:42" ht="11.25" customHeight="1" x14ac:dyDescent="0.25">
      <c r="A30" s="139" t="s">
        <v>41</v>
      </c>
      <c r="B30" s="139" t="s">
        <v>38</v>
      </c>
      <c r="C30" s="139" t="s">
        <v>42</v>
      </c>
      <c r="D30" s="139" t="s">
        <v>25</v>
      </c>
      <c r="E30" s="139" t="s">
        <v>25</v>
      </c>
      <c r="F30" s="139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19.670496146996719</v>
      </c>
      <c r="R30" s="13">
        <f>'TUSD BE'!$R$30*'TUSD BF'!$R$58</f>
        <v>3.7574751408440408</v>
      </c>
      <c r="S30" s="13">
        <f>'TUSD BE'!$R$30*'TUSD BF'!$S$58</f>
        <v>0</v>
      </c>
      <c r="T30" s="13">
        <f ca="1">SUM($L$30:$S$30)</f>
        <v>23.427971287840759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-0.20335486547661608</v>
      </c>
      <c r="AI30" s="13">
        <f>'TUSD BE'!$AI$30*'TUSD BF'!$AI$58</f>
        <v>0</v>
      </c>
      <c r="AJ30" s="13">
        <f ca="1">'TUSD BE'!$AJ$30*'TUSD BF'!$AJ$58</f>
        <v>-1.5965883093291923E-2</v>
      </c>
      <c r="AK30" s="13">
        <f ca="1">'TUSD BE'!$AK$30*'TUSD BF'!$AK$58</f>
        <v>0</v>
      </c>
      <c r="AL30" s="13">
        <f ca="1">SUM($AH$30:$AK$30)</f>
        <v>-0.21932074856990799</v>
      </c>
      <c r="AM30" s="13">
        <f ca="1">SUMIF($L$4:$AL$4,"SUBTOTAL",$L$30:$AL$30)</f>
        <v>23.208650539270852</v>
      </c>
      <c r="AO30" s="20">
        <f ca="1">+'TUSD BE'!$T$30+'TUSD BE'!$AB$30+'TUSD BE'!$AD$30+'TUSD BE'!$AL$30</f>
        <v>126.20951403383353</v>
      </c>
      <c r="AP30" s="20">
        <f ca="1">+'TUSD BE'!$T$30+'TUSD BE'!$AB$30+'TUSD BE'!$AD$30+'TUSD BE'!$AL$30</f>
        <v>126.20951403383353</v>
      </c>
    </row>
    <row r="31" spans="1:42" ht="11.25" customHeight="1" x14ac:dyDescent="0.25">
      <c r="A31" s="139"/>
      <c r="B31" s="139"/>
      <c r="C31" s="139"/>
      <c r="D31" s="139"/>
      <c r="E31" s="139"/>
      <c r="F31" s="139"/>
      <c r="G31" s="18" t="s">
        <v>82</v>
      </c>
      <c r="H31" s="18" t="s">
        <v>68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19.670496146996719</v>
      </c>
      <c r="R31" s="13">
        <f>'TUSD BE'!$R$31*'TUSD BF'!$R$58</f>
        <v>3.7574751408440408</v>
      </c>
      <c r="S31" s="13">
        <f>'TUSD BE'!$R$31*'TUSD BF'!$S$58</f>
        <v>0</v>
      </c>
      <c r="T31" s="13">
        <f ca="1">SUM($L$31:$S$31)</f>
        <v>23.427971287840759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-0.20335486547661608</v>
      </c>
      <c r="AI31" s="13">
        <f>'TUSD BE'!$AI$31*'TUSD BF'!$AI$58</f>
        <v>0</v>
      </c>
      <c r="AJ31" s="13">
        <f ca="1">'TUSD BE'!$AJ$31*'TUSD BF'!$AJ$58</f>
        <v>-1.5965883093291923E-2</v>
      </c>
      <c r="AK31" s="13">
        <f ca="1">'TUSD BE'!$AK$31*'TUSD BF'!$AK$58</f>
        <v>0</v>
      </c>
      <c r="AL31" s="13">
        <f ca="1">SUM($AH$31:$AK$31)</f>
        <v>-0.21932074856990799</v>
      </c>
      <c r="AM31" s="13">
        <f ca="1">SUMIF($L$4:$AL$4,"SUBTOTAL",$L$31:$AL$31)</f>
        <v>23.208650539270852</v>
      </c>
      <c r="AO31" s="20">
        <f ca="1">+'TUSD BE'!$T$31+'TUSD BE'!$AB$31+'TUSD BE'!$AD$31+'TUSD BE'!$AL$31</f>
        <v>126.20951403383353</v>
      </c>
      <c r="AP31" s="20">
        <f ca="1">+'TUSD BE'!$T$31+'TUSD BE'!$AB$31+'TUSD BE'!$AD$31+'TUSD BE'!$AL$31</f>
        <v>126.20951403383353</v>
      </c>
    </row>
    <row r="32" spans="1:42" ht="11.25" customHeight="1" x14ac:dyDescent="0.25">
      <c r="A32" s="139"/>
      <c r="B32" s="139"/>
      <c r="C32" s="139"/>
      <c r="D32" s="139"/>
      <c r="E32" s="139"/>
      <c r="F32" s="139"/>
      <c r="G32" s="18" t="s">
        <v>70</v>
      </c>
      <c r="H32" s="18" t="s">
        <v>68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19.670496146996719</v>
      </c>
      <c r="R32" s="13">
        <f>'TUSD BE'!$R$32*'TUSD BF'!$R$58</f>
        <v>3.7574751408440408</v>
      </c>
      <c r="S32" s="13">
        <f>'TUSD BE'!$R$32*'TUSD BF'!$S$58</f>
        <v>0</v>
      </c>
      <c r="T32" s="13">
        <f ca="1">SUM($L$32:$S$32)</f>
        <v>23.427971287840759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-0.20335486547661608</v>
      </c>
      <c r="AI32" s="13">
        <f>'TUSD BE'!$AI$32*'TUSD BF'!$AI$58</f>
        <v>0</v>
      </c>
      <c r="AJ32" s="13">
        <f ca="1">'TUSD BE'!$AJ$32*'TUSD BF'!$AJ$58</f>
        <v>-1.5965883093291923E-2</v>
      </c>
      <c r="AK32" s="13">
        <f ca="1">'TUSD BE'!$AK$32*'TUSD BF'!$AK$58</f>
        <v>0</v>
      </c>
      <c r="AL32" s="13">
        <f ca="1">SUM($AH$32:$AK$32)</f>
        <v>-0.21932074856990799</v>
      </c>
      <c r="AM32" s="13">
        <f ca="1">SUMIF($L$4:$AL$4,"SUBTOTAL",$L$32:$AL$32)</f>
        <v>23.208650539270852</v>
      </c>
      <c r="AO32" s="20">
        <f ca="1">+'TUSD BE'!$T$32+'TUSD BE'!$AB$32+'TUSD BE'!$AD$32+'TUSD BE'!$AL$32</f>
        <v>126.20951403383353</v>
      </c>
      <c r="AP32" s="20">
        <f ca="1">+'TUSD BE'!$T$32+'TUSD BE'!$AB$32+'TUSD BE'!$AD$32+'TUSD BE'!$AL$32</f>
        <v>126.20951403383353</v>
      </c>
    </row>
    <row r="33" spans="1:42" ht="11.25" customHeight="1" x14ac:dyDescent="0.25">
      <c r="A33" s="139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11.840000000000002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19.670496146996719</v>
      </c>
      <c r="R33" s="13">
        <f>'TUSD BE'!$R$33*'TUSD BF'!$R$58</f>
        <v>3.7574751408440408</v>
      </c>
      <c r="S33" s="13">
        <f>'TUSD BE'!$R$33*'TUSD BF'!$S$58</f>
        <v>0</v>
      </c>
      <c r="T33" s="13">
        <f ca="1">SUM($L$33:$S$33)</f>
        <v>23.427971287840759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-0.20335486547661608</v>
      </c>
      <c r="AI33" s="13">
        <f>'TUSD BE'!$AI$33*'TUSD BF'!$AI$58</f>
        <v>0</v>
      </c>
      <c r="AJ33" s="13">
        <f ca="1">'TUSD BE'!$AJ$33*'TUSD BF'!$AJ$58</f>
        <v>-1.5965883093291923E-2</v>
      </c>
      <c r="AK33" s="13">
        <f ca="1">'TUSD BE'!$AK$33*'TUSD BF'!$AK$58</f>
        <v>0</v>
      </c>
      <c r="AL33" s="13">
        <f ca="1">SUM($AH$33:$AK$33)</f>
        <v>-0.21932074856990799</v>
      </c>
      <c r="AM33" s="13">
        <f ca="1">SUMIF($L$4:$AL$4,"SUBTOTAL",$L$33:$AL$33)</f>
        <v>23.208650539270852</v>
      </c>
      <c r="AO33" s="20">
        <f ca="1">+'TUSD BE'!$T$33+'TUSD BE'!$AB$33+'TUSD BE'!$AD$33+'TUSD BE'!$AL$33</f>
        <v>475.00372559990984</v>
      </c>
      <c r="AP33" s="20">
        <f ca="1">+'TUSD BE'!$T$33+'TUSD BE'!$AB$33+'TUSD BE'!$AD$33+'TUSD BE'!$AL$33</f>
        <v>475.00372559990984</v>
      </c>
    </row>
    <row r="34" spans="1:42" ht="11.25" customHeight="1" x14ac:dyDescent="0.25">
      <c r="A34" s="139"/>
      <c r="B34" s="139" t="s">
        <v>38</v>
      </c>
      <c r="C34" s="139" t="s">
        <v>42</v>
      </c>
      <c r="D34" s="139" t="s">
        <v>85</v>
      </c>
      <c r="E34" s="139" t="s">
        <v>25</v>
      </c>
      <c r="F34" s="139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19.670496146996719</v>
      </c>
      <c r="R34" s="13">
        <f>'TUSD BE'!$R$34*'TUSD BF'!$R$58</f>
        <v>3.7574751408440408</v>
      </c>
      <c r="S34" s="13">
        <f>'TUSD BE'!$R$34*'TUSD BF'!$S$58</f>
        <v>0</v>
      </c>
      <c r="T34" s="13">
        <f ca="1">SUM($L$34:$S$34)</f>
        <v>23.427971287840759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-0.20335486547661608</v>
      </c>
      <c r="AI34" s="13">
        <f>'TUSD BE'!$AI$34*'TUSD BF'!$AI$58</f>
        <v>0</v>
      </c>
      <c r="AJ34" s="13">
        <f ca="1">'TUSD BE'!$AJ$34*'TUSD BF'!$AJ$58</f>
        <v>-1.5965883093291923E-2</v>
      </c>
      <c r="AK34" s="13">
        <f ca="1">'TUSD BE'!$AK$34*'TUSD BF'!$AK$58</f>
        <v>0</v>
      </c>
      <c r="AL34" s="13">
        <f ca="1">SUM($AH$34:$AK$34)</f>
        <v>-0.21932074856990799</v>
      </c>
      <c r="AM34" s="13">
        <f ca="1">SUMIF($L$4:$AL$4,"SUBTOTAL",$L$34:$AL$34)</f>
        <v>23.208650539270852</v>
      </c>
      <c r="AO34" s="20">
        <f ca="1">+'TUSD BE'!$T$34+'TUSD BE'!$AB$34+'TUSD BE'!$AD$34+'TUSD BE'!$AL$34</f>
        <v>126.20951403383353</v>
      </c>
      <c r="AP34" s="20">
        <f ca="1">+'TUSD BE'!$T$34+'TUSD BE'!$AB$34+'TUSD BE'!$AD$34+'TUSD BE'!$AL$34</f>
        <v>126.20951403383353</v>
      </c>
    </row>
    <row r="35" spans="1:42" ht="11.25" customHeight="1" x14ac:dyDescent="0.25">
      <c r="A35" s="139"/>
      <c r="B35" s="139"/>
      <c r="C35" s="139"/>
      <c r="D35" s="139"/>
      <c r="E35" s="139"/>
      <c r="F35" s="139"/>
      <c r="G35" s="18" t="s">
        <v>82</v>
      </c>
      <c r="H35" s="18" t="s">
        <v>68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19.670496146996719</v>
      </c>
      <c r="R35" s="13">
        <f>'TUSD BE'!$R$35*'TUSD BF'!$R$58</f>
        <v>3.7574751408440408</v>
      </c>
      <c r="S35" s="13">
        <f>'TUSD BE'!$R$35*'TUSD BF'!$S$58</f>
        <v>0</v>
      </c>
      <c r="T35" s="13">
        <f ca="1">SUM($L$35:$S$35)</f>
        <v>23.427971287840759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-0.20335486547661608</v>
      </c>
      <c r="AI35" s="13">
        <f>'TUSD BE'!$AI$35*'TUSD BF'!$AI$58</f>
        <v>0</v>
      </c>
      <c r="AJ35" s="13">
        <f ca="1">'TUSD BE'!$AJ$35*'TUSD BF'!$AJ$58</f>
        <v>-1.5965883093291923E-2</v>
      </c>
      <c r="AK35" s="13">
        <f ca="1">'TUSD BE'!$AK$35*'TUSD BF'!$AK$58</f>
        <v>0</v>
      </c>
      <c r="AL35" s="13">
        <f ca="1">SUM($AH$35:$AK$35)</f>
        <v>-0.21932074856990799</v>
      </c>
      <c r="AM35" s="13">
        <f ca="1">SUMIF($L$4:$AL$4,"SUBTOTAL",$L$35:$AL$35)</f>
        <v>23.208650539270852</v>
      </c>
      <c r="AO35" s="20">
        <f ca="1">+'TUSD BE'!$T$35+'TUSD BE'!$AB$35+'TUSD BE'!$AD$35+'TUSD BE'!$AL$35</f>
        <v>126.20951403383353</v>
      </c>
      <c r="AP35" s="20">
        <f ca="1">+'TUSD BE'!$T$35+'TUSD BE'!$AB$35+'TUSD BE'!$AD$35+'TUSD BE'!$AL$35</f>
        <v>126.20951403383353</v>
      </c>
    </row>
    <row r="36" spans="1:42" ht="11.25" customHeight="1" x14ac:dyDescent="0.25">
      <c r="A36" s="139"/>
      <c r="B36" s="139"/>
      <c r="C36" s="139"/>
      <c r="D36" s="139"/>
      <c r="E36" s="139"/>
      <c r="F36" s="139"/>
      <c r="G36" s="18" t="s">
        <v>70</v>
      </c>
      <c r="H36" s="18" t="s">
        <v>68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19.670496146996719</v>
      </c>
      <c r="R36" s="13">
        <f>'TUSD BE'!$R$36*'TUSD BF'!$R$58</f>
        <v>3.7574751408440408</v>
      </c>
      <c r="S36" s="13">
        <f>'TUSD BE'!$R$36*'TUSD BF'!$S$58</f>
        <v>0</v>
      </c>
      <c r="T36" s="13">
        <f ca="1">SUM($L$36:$S$36)</f>
        <v>23.427971287840759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-0.20335486547661608</v>
      </c>
      <c r="AI36" s="13">
        <f>'TUSD BE'!$AI$36*'TUSD BF'!$AI$58</f>
        <v>0</v>
      </c>
      <c r="AJ36" s="13">
        <f ca="1">'TUSD BE'!$AJ$36*'TUSD BF'!$AJ$58</f>
        <v>-1.5965883093291923E-2</v>
      </c>
      <c r="AK36" s="13">
        <f ca="1">'TUSD BE'!$AK$36*'TUSD BF'!$AK$58</f>
        <v>0</v>
      </c>
      <c r="AL36" s="13">
        <f ca="1">SUM($AH$36:$AK$36)</f>
        <v>-0.21932074856990799</v>
      </c>
      <c r="AM36" s="13">
        <f ca="1">SUMIF($L$4:$AL$4,"SUBTOTAL",$L$36:$AL$36)</f>
        <v>23.208650539270852</v>
      </c>
      <c r="AO36" s="20">
        <f ca="1">+'TUSD BE'!$T$36+'TUSD BE'!$AB$36+'TUSD BE'!$AD$36+'TUSD BE'!$AL$36</f>
        <v>126.20951403383353</v>
      </c>
      <c r="AP36" s="20">
        <f ca="1">+'TUSD BE'!$T$36+'TUSD BE'!$AB$36+'TUSD BE'!$AD$36+'TUSD BE'!$AL$36</f>
        <v>126.20951403383353</v>
      </c>
    </row>
    <row r="37" spans="1:42" ht="11.25" customHeight="1" x14ac:dyDescent="0.25">
      <c r="A37" s="139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19.670496146996719</v>
      </c>
      <c r="R37" s="13">
        <f>'TUSD BE'!$R$37*'TUSD BF'!$R$58</f>
        <v>3.7574751408440408</v>
      </c>
      <c r="S37" s="13">
        <f>'TUSD BE'!$R$37*'TUSD BF'!$S$58</f>
        <v>0</v>
      </c>
      <c r="T37" s="13">
        <f ca="1">SUM($L$37:$S$37)</f>
        <v>23.427971287840759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-0.20335486547661608</v>
      </c>
      <c r="AI37" s="13">
        <f>'TUSD BE'!$AI$37*'TUSD BF'!$AI$58</f>
        <v>0</v>
      </c>
      <c r="AJ37" s="13">
        <f ca="1">'TUSD BE'!$AJ$37*'TUSD BF'!$AJ$58</f>
        <v>-1.5965883093291923E-2</v>
      </c>
      <c r="AK37" s="13">
        <f ca="1">'TUSD BE'!$AK$37*'TUSD BF'!$AK$58</f>
        <v>0</v>
      </c>
      <c r="AL37" s="13">
        <f ca="1">SUM($AH$37:$AK$37)</f>
        <v>-0.21932074856990799</v>
      </c>
      <c r="AM37" s="13">
        <f ca="1">SUMIF($L$4:$AL$4,"SUBTOTAL",$L$37:$AL$37)</f>
        <v>23.208650539270852</v>
      </c>
      <c r="AO37" s="20">
        <f ca="1">+'TUSD BE'!$T$37+'TUSD BE'!$AB$37+'TUSD BE'!$AD$37+'TUSD BE'!$AL$37</f>
        <v>475.00372559990984</v>
      </c>
      <c r="AP37" s="20">
        <f ca="1">+'TUSD BE'!$T$37+'TUSD BE'!$AB$37+'TUSD BE'!$AD$37+'TUSD BE'!$AL$37</f>
        <v>475.00372559990984</v>
      </c>
    </row>
    <row r="38" spans="1:42" ht="11.25" customHeight="1" x14ac:dyDescent="0.25">
      <c r="A38" s="139"/>
      <c r="B38" s="139" t="s">
        <v>38</v>
      </c>
      <c r="C38" s="139" t="s">
        <v>42</v>
      </c>
      <c r="D38" s="139" t="s">
        <v>86</v>
      </c>
      <c r="E38" s="139" t="s">
        <v>25</v>
      </c>
      <c r="F38" s="139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19.670496146996719</v>
      </c>
      <c r="R38" s="13">
        <f>'TUSD BE'!$R$38*'TUSD BF'!$R$58</f>
        <v>3.7574751408440408</v>
      </c>
      <c r="S38" s="13">
        <f>'TUSD BE'!$R$38*'TUSD BF'!$S$58</f>
        <v>0</v>
      </c>
      <c r="T38" s="13">
        <f ca="1">SUM($L$38:$S$38)</f>
        <v>23.427971287840759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-0.20335486547661608</v>
      </c>
      <c r="AI38" s="13">
        <f>'TUSD BE'!$AI$38*'TUSD BF'!$AI$58</f>
        <v>0</v>
      </c>
      <c r="AJ38" s="13">
        <f ca="1">'TUSD BE'!$AJ$38*'TUSD BF'!$AJ$58</f>
        <v>-1.5965883093291923E-2</v>
      </c>
      <c r="AK38" s="13">
        <f ca="1">'TUSD BE'!$AK$38*'TUSD BF'!$AK$58</f>
        <v>0</v>
      </c>
      <c r="AL38" s="13">
        <f ca="1">SUM($AH$38:$AK$38)</f>
        <v>-0.21932074856990799</v>
      </c>
      <c r="AM38" s="13">
        <f ca="1">SUMIF($L$4:$AL$4,"SUBTOTAL",$L$38:$AL$38)</f>
        <v>23.208650539270852</v>
      </c>
      <c r="AO38" s="20">
        <f ca="1">+'TUSD BE'!$T$38+'TUSD BE'!$AB$38+'TUSD BE'!$AD$38+'TUSD BE'!$AL$38</f>
        <v>126.20951403383353</v>
      </c>
      <c r="AP38" s="20">
        <f ca="1">+'TUSD BE'!$T$38+'TUSD BE'!$AB$38+'TUSD BE'!$AD$38+'TUSD BE'!$AL$38</f>
        <v>126.20951403383353</v>
      </c>
    </row>
    <row r="39" spans="1:42" ht="11.25" customHeight="1" x14ac:dyDescent="0.25">
      <c r="A39" s="139"/>
      <c r="B39" s="139"/>
      <c r="C39" s="139"/>
      <c r="D39" s="139"/>
      <c r="E39" s="139"/>
      <c r="F39" s="139"/>
      <c r="G39" s="18" t="s">
        <v>82</v>
      </c>
      <c r="H39" s="18" t="s">
        <v>68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19.670496146996719</v>
      </c>
      <c r="R39" s="13">
        <f>'TUSD BE'!$R$39*'TUSD BF'!$R$58</f>
        <v>3.7574751408440408</v>
      </c>
      <c r="S39" s="13">
        <f>'TUSD BE'!$R$39*'TUSD BF'!$S$58</f>
        <v>0</v>
      </c>
      <c r="T39" s="13">
        <f ca="1">SUM($L$39:$S$39)</f>
        <v>23.427971287840759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-0.20335486547661608</v>
      </c>
      <c r="AI39" s="13">
        <f>'TUSD BE'!$AI$39*'TUSD BF'!$AI$58</f>
        <v>0</v>
      </c>
      <c r="AJ39" s="13">
        <f ca="1">'TUSD BE'!$AJ$39*'TUSD BF'!$AJ$58</f>
        <v>-1.5965883093291923E-2</v>
      </c>
      <c r="AK39" s="13">
        <f ca="1">'TUSD BE'!$AK$39*'TUSD BF'!$AK$58</f>
        <v>0</v>
      </c>
      <c r="AL39" s="13">
        <f ca="1">SUM($AH$39:$AK$39)</f>
        <v>-0.21932074856990799</v>
      </c>
      <c r="AM39" s="13">
        <f ca="1">SUMIF($L$4:$AL$4,"SUBTOTAL",$L$39:$AL$39)</f>
        <v>23.208650539270852</v>
      </c>
      <c r="AO39" s="20">
        <f ca="1">+'TUSD BE'!$T$39+'TUSD BE'!$AB$39+'TUSD BE'!$AD$39+'TUSD BE'!$AL$39</f>
        <v>126.20951403383353</v>
      </c>
      <c r="AP39" s="20">
        <f ca="1">+'TUSD BE'!$T$39+'TUSD BE'!$AB$39+'TUSD BE'!$AD$39+'TUSD BE'!$AL$39</f>
        <v>126.20951403383353</v>
      </c>
    </row>
    <row r="40" spans="1:42" ht="11.25" customHeight="1" x14ac:dyDescent="0.25">
      <c r="A40" s="139"/>
      <c r="B40" s="139"/>
      <c r="C40" s="139"/>
      <c r="D40" s="139"/>
      <c r="E40" s="139"/>
      <c r="F40" s="139"/>
      <c r="G40" s="18" t="s">
        <v>70</v>
      </c>
      <c r="H40" s="18" t="s">
        <v>68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19.670496146996719</v>
      </c>
      <c r="R40" s="13">
        <f>'TUSD BE'!$R$40*'TUSD BF'!$R$58</f>
        <v>3.7574751408440408</v>
      </c>
      <c r="S40" s="13">
        <f>'TUSD BE'!$R$40*'TUSD BF'!$S$58</f>
        <v>0</v>
      </c>
      <c r="T40" s="13">
        <f ca="1">SUM($L$40:$S$40)</f>
        <v>23.427971287840759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-0.20335486547661608</v>
      </c>
      <c r="AI40" s="13">
        <f>'TUSD BE'!$AI$40*'TUSD BF'!$AI$58</f>
        <v>0</v>
      </c>
      <c r="AJ40" s="13">
        <f ca="1">'TUSD BE'!$AJ$40*'TUSD BF'!$AJ$58</f>
        <v>-1.5965883093291923E-2</v>
      </c>
      <c r="AK40" s="13">
        <f ca="1">'TUSD BE'!$AK$40*'TUSD BF'!$AK$58</f>
        <v>0</v>
      </c>
      <c r="AL40" s="13">
        <f ca="1">SUM($AH$40:$AK$40)</f>
        <v>-0.21932074856990799</v>
      </c>
      <c r="AM40" s="13">
        <f ca="1">SUMIF($L$4:$AL$4,"SUBTOTAL",$L$40:$AL$40)</f>
        <v>23.208650539270852</v>
      </c>
      <c r="AO40" s="20">
        <f ca="1">+'TUSD BE'!$T$40+'TUSD BE'!$AB$40+'TUSD BE'!$AD$40+'TUSD BE'!$AL$40</f>
        <v>126.20951403383353</v>
      </c>
      <c r="AP40" s="20">
        <f ca="1">+'TUSD BE'!$T$40+'TUSD BE'!$AB$40+'TUSD BE'!$AD$40+'TUSD BE'!$AL$40</f>
        <v>126.20951403383353</v>
      </c>
    </row>
    <row r="41" spans="1:42" ht="11.25" customHeight="1" x14ac:dyDescent="0.25">
      <c r="A41" s="139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19.670496146996719</v>
      </c>
      <c r="R41" s="13">
        <f>'TUSD BE'!$R$41*'TUSD BF'!$R$58</f>
        <v>3.7574751408440408</v>
      </c>
      <c r="S41" s="13">
        <f>'TUSD BE'!$R$41*'TUSD BF'!$S$58</f>
        <v>0</v>
      </c>
      <c r="T41" s="13">
        <f ca="1">SUM($L$41:$S$41)</f>
        <v>23.427971287840759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-0.20335486547661608</v>
      </c>
      <c r="AI41" s="13">
        <f>'TUSD BE'!$AI$41*'TUSD BF'!$AI$58</f>
        <v>0</v>
      </c>
      <c r="AJ41" s="13">
        <f ca="1">'TUSD BE'!$AJ$41*'TUSD BF'!$AJ$58</f>
        <v>-1.5965883093291923E-2</v>
      </c>
      <c r="AK41" s="13">
        <f ca="1">'TUSD BE'!$AK$41*'TUSD BF'!$AK$58</f>
        <v>0</v>
      </c>
      <c r="AL41" s="13">
        <f ca="1">SUM($AH$41:$AK$41)</f>
        <v>-0.21932074856990799</v>
      </c>
      <c r="AM41" s="13">
        <f ca="1">SUMIF($L$4:$AL$4,"SUBTOTAL",$L$41:$AL$41)</f>
        <v>23.208650539270852</v>
      </c>
      <c r="AO41" s="20">
        <f ca="1">+'TUSD BE'!$T$41+'TUSD BE'!$AB$41+'TUSD BE'!$AD$41+'TUSD BE'!$AL$41</f>
        <v>475.00372559990984</v>
      </c>
      <c r="AP41" s="20">
        <f ca="1">+'TUSD BE'!$T$41+'TUSD BE'!$AB$41+'TUSD BE'!$AD$41+'TUSD BE'!$AL$41</f>
        <v>475.00372559990984</v>
      </c>
    </row>
    <row r="42" spans="1:42" ht="11.25" customHeight="1" x14ac:dyDescent="0.25">
      <c r="A42" s="139"/>
      <c r="B42" s="139" t="s">
        <v>84</v>
      </c>
      <c r="C42" s="139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19.670496146996719</v>
      </c>
      <c r="R42" s="13">
        <f>'TUSD BE'!$R$42*'TUSD BF'!$R$58</f>
        <v>3.7574751408440408</v>
      </c>
      <c r="S42" s="13">
        <f>'TUSD BE'!$R$42*'TUSD BF'!$S$58</f>
        <v>0</v>
      </c>
      <c r="T42" s="13">
        <f ca="1">SUM($L$42:$S$42)</f>
        <v>23.427971287840759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-0.20335486547661608</v>
      </c>
      <c r="AI42" s="13">
        <f>'TUSD BE'!$AI$42*'TUSD BF'!$AI$58</f>
        <v>0</v>
      </c>
      <c r="AJ42" s="13">
        <f ca="1">'TUSD BE'!$AJ$42*'TUSD BF'!$AJ$58</f>
        <v>-1.5965883093291923E-2</v>
      </c>
      <c r="AK42" s="13">
        <f ca="1">'TUSD BE'!$AK$42*'TUSD BF'!$AK$58</f>
        <v>0</v>
      </c>
      <c r="AL42" s="13">
        <f ca="1">SUM($AH$42:$AK$42)</f>
        <v>-0.21932074856990799</v>
      </c>
      <c r="AM42" s="13">
        <f ca="1">SUMIF($L$4:$AL$4,"SUBTOTAL",$L$42:$AL$42)</f>
        <v>23.208650539270852</v>
      </c>
      <c r="AO42" s="20">
        <f ca="1">+'TUSD BE'!$T$42+'TUSD BE'!$AB$42+'TUSD BE'!$AD$42+'TUSD BE'!$AL$42</f>
        <v>475.00372559990984</v>
      </c>
      <c r="AP42" s="20">
        <f ca="1">+'TUSD BE'!$T$42+'TUSD BE'!$AB$42+'TUSD BE'!$AD$42+'TUSD BE'!$AL$42</f>
        <v>475.00372559990984</v>
      </c>
    </row>
    <row r="43" spans="1:42" ht="11.25" customHeight="1" x14ac:dyDescent="0.25">
      <c r="A43" s="139"/>
      <c r="B43" s="139"/>
      <c r="C43" s="139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19.670496146996719</v>
      </c>
      <c r="R43" s="13">
        <f>'TUSD BE'!$R$43*'TUSD BF'!$R$58</f>
        <v>3.7574751408440408</v>
      </c>
      <c r="S43" s="13">
        <f>'TUSD BE'!$R$43*'TUSD BF'!$S$58</f>
        <v>0</v>
      </c>
      <c r="T43" s="13">
        <f ca="1">SUM($L$43:$S$43)</f>
        <v>23.427971287840759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-0.20335486547661608</v>
      </c>
      <c r="AI43" s="13">
        <f>'TUSD BE'!$AI$43*'TUSD BF'!$AI$58</f>
        <v>0</v>
      </c>
      <c r="AJ43" s="13">
        <f ca="1">'TUSD BE'!$AJ$43*'TUSD BF'!$AJ$58</f>
        <v>-1.5965883093291923E-2</v>
      </c>
      <c r="AK43" s="13">
        <f ca="1">'TUSD BE'!$AK$43*'TUSD BF'!$AK$58</f>
        <v>0</v>
      </c>
      <c r="AL43" s="13">
        <f ca="1">SUM($AH$43:$AK$43)</f>
        <v>-0.21932074856990799</v>
      </c>
      <c r="AM43" s="13">
        <f ca="1">SUMIF($L$4:$AL$4,"SUBTOTAL",$L$43:$AL$43)</f>
        <v>23.208650539270852</v>
      </c>
      <c r="AO43" s="20">
        <f ca="1">+'TUSD BE'!$T$43+'TUSD BE'!$AB$43+'TUSD BE'!$AD$43+'TUSD BE'!$AL$43</f>
        <v>475.00372559990984</v>
      </c>
      <c r="AP43" s="20">
        <f ca="1">+'TUSD BE'!$T$43+'TUSD BE'!$AB$43+'TUSD BE'!$AD$43+'TUSD BE'!$AL$43</f>
        <v>475.00372559990984</v>
      </c>
    </row>
    <row r="44" spans="1:42" ht="11.25" customHeight="1" x14ac:dyDescent="0.25">
      <c r="A44" s="139"/>
      <c r="B44" s="139"/>
      <c r="C44" s="139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19.670496146996719</v>
      </c>
      <c r="R44" s="13">
        <f>'TUSD BE'!$R$44*'TUSD BF'!$R$58</f>
        <v>3.7574751408440408</v>
      </c>
      <c r="S44" s="13">
        <f>'TUSD BE'!$R$44*'TUSD BF'!$S$58</f>
        <v>0</v>
      </c>
      <c r="T44" s="13">
        <f ca="1">SUM($L$44:$S$44)</f>
        <v>23.427971287840759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-0.20335486547661608</v>
      </c>
      <c r="AI44" s="13">
        <f>'TUSD BE'!$AI$44*'TUSD BF'!$AI$58</f>
        <v>0</v>
      </c>
      <c r="AJ44" s="13">
        <f ca="1">'TUSD BE'!$AJ$44*'TUSD BF'!$AJ$58</f>
        <v>-1.5965883093291923E-2</v>
      </c>
      <c r="AK44" s="13">
        <f ca="1">'TUSD BE'!$AK$44*'TUSD BF'!$AK$58</f>
        <v>0</v>
      </c>
      <c r="AL44" s="13">
        <f ca="1">SUM($AH$44:$AK$44)</f>
        <v>-0.21932074856990799</v>
      </c>
      <c r="AM44" s="13">
        <f ca="1">SUMIF($L$4:$AL$4,"SUBTOTAL",$L$44:$AL$44)</f>
        <v>23.208650539270852</v>
      </c>
      <c r="AO44" s="20">
        <f ca="1">+'TUSD BE'!$T$44+'TUSD BE'!$AB$44+'TUSD BE'!$AD$44+'TUSD BE'!$AL$44</f>
        <v>475.00372559990984</v>
      </c>
      <c r="AP44" s="20">
        <f ca="1">+'TUSD BE'!$T$44+'TUSD BE'!$AB$44+'TUSD BE'!$AD$44+'TUSD BE'!$AL$44</f>
        <v>475.00372559990984</v>
      </c>
    </row>
    <row r="45" spans="1:42" ht="11.25" customHeight="1" x14ac:dyDescent="0.25">
      <c r="A45" s="139" t="s">
        <v>32</v>
      </c>
      <c r="B45" s="139" t="s">
        <v>38</v>
      </c>
      <c r="C45" s="139" t="s">
        <v>25</v>
      </c>
      <c r="D45" s="139" t="s">
        <v>25</v>
      </c>
      <c r="E45" s="139" t="s">
        <v>25</v>
      </c>
      <c r="F45" s="139" t="s">
        <v>25</v>
      </c>
      <c r="G45" s="18" t="s">
        <v>69</v>
      </c>
      <c r="H45" s="18" t="s">
        <v>68</v>
      </c>
      <c r="I45" s="18">
        <f>'MERCADO TUSD'!$U$42</f>
        <v>8.897000000000002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19.670496146996719</v>
      </c>
      <c r="R45" s="13">
        <f>'TUSD BE'!$R$45*'TUSD BF'!$R$58</f>
        <v>3.7574751408440408</v>
      </c>
      <c r="S45" s="13">
        <f>'TUSD BE'!$R$45*'TUSD BF'!$S$58</f>
        <v>0</v>
      </c>
      <c r="T45" s="13">
        <f ca="1">SUM($L$45:$S$45)</f>
        <v>23.427971287840759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-0.20335486547661608</v>
      </c>
      <c r="AI45" s="13">
        <f>'TUSD BE'!$AI$45*'TUSD BF'!$AI$58</f>
        <v>0</v>
      </c>
      <c r="AJ45" s="13">
        <f ca="1">'TUSD BE'!$AJ$45*'TUSD BF'!$AJ$58</f>
        <v>-1.5965883093291923E-2</v>
      </c>
      <c r="AK45" s="13">
        <f ca="1">'TUSD BE'!$AK$45*'TUSD BF'!$AK$58</f>
        <v>0</v>
      </c>
      <c r="AL45" s="13">
        <f ca="1">SUM($AH$45:$AK$45)</f>
        <v>-0.21932074856990799</v>
      </c>
      <c r="AM45" s="13">
        <f ca="1">SUMIF($L$4:$AL$4,"SUBTOTAL",$L$45:$AL$45)</f>
        <v>23.208650539270852</v>
      </c>
      <c r="AO45" s="20">
        <f ca="1">+'TUSD BE'!$T$45+'TUSD BE'!$AB$45+'TUSD BE'!$AD$45+'TUSD BE'!$AL$45</f>
        <v>1416.7481335022048</v>
      </c>
      <c r="AP45" s="20">
        <f ca="1">+'TUSD BE'!$T$45+'TUSD BE'!$AB$45+'TUSD BE'!$AD$45+'TUSD BE'!$AL$45</f>
        <v>1416.7481335022048</v>
      </c>
    </row>
    <row r="46" spans="1:42" ht="11.25" customHeight="1" x14ac:dyDescent="0.25">
      <c r="A46" s="139"/>
      <c r="B46" s="139"/>
      <c r="C46" s="139"/>
      <c r="D46" s="139"/>
      <c r="E46" s="139"/>
      <c r="F46" s="139"/>
      <c r="G46" s="18" t="s">
        <v>82</v>
      </c>
      <c r="H46" s="18" t="s">
        <v>68</v>
      </c>
      <c r="I46" s="18">
        <f>'MERCADO TUSD'!$U$43</f>
        <v>7.0329999999999995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19.670496146996719</v>
      </c>
      <c r="R46" s="13">
        <f>'TUSD BE'!$R$46*'TUSD BF'!$R$58</f>
        <v>3.7574751408440408</v>
      </c>
      <c r="S46" s="13">
        <f>'TUSD BE'!$R$46*'TUSD BF'!$S$58</f>
        <v>0</v>
      </c>
      <c r="T46" s="13">
        <f ca="1">SUM($L$46:$S$46)</f>
        <v>23.427971287840759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-0.20335486547661608</v>
      </c>
      <c r="AI46" s="13">
        <f>'TUSD BE'!$AI$46*'TUSD BF'!$AI$58</f>
        <v>0</v>
      </c>
      <c r="AJ46" s="13">
        <f ca="1">'TUSD BE'!$AJ$46*'TUSD BF'!$AJ$58</f>
        <v>-1.5965883093291923E-2</v>
      </c>
      <c r="AK46" s="13">
        <f ca="1">'TUSD BE'!$AK$46*'TUSD BF'!$AK$58</f>
        <v>0</v>
      </c>
      <c r="AL46" s="13">
        <f ca="1">SUM($AH$46:$AK$46)</f>
        <v>-0.21932074856990799</v>
      </c>
      <c r="AM46" s="13">
        <f ca="1">SUMIF($L$4:$AL$4,"SUBTOTAL",$L$46:$AL$46)</f>
        <v>23.208650539270852</v>
      </c>
      <c r="AO46" s="20">
        <f ca="1">+'TUSD BE'!$T$46+'TUSD BE'!$AB$46+'TUSD BE'!$AD$46+'TUSD BE'!$AL$46</f>
        <v>900.53265987346845</v>
      </c>
      <c r="AP46" s="20">
        <f ca="1">+'TUSD BE'!$T$46+'TUSD BE'!$AB$46+'TUSD BE'!$AD$46+'TUSD BE'!$AL$46</f>
        <v>900.53265987346845</v>
      </c>
    </row>
    <row r="47" spans="1:42" ht="11.25" customHeight="1" x14ac:dyDescent="0.25">
      <c r="A47" s="139"/>
      <c r="B47" s="139"/>
      <c r="C47" s="139"/>
      <c r="D47" s="139"/>
      <c r="E47" s="139"/>
      <c r="F47" s="139"/>
      <c r="G47" s="18" t="s">
        <v>70</v>
      </c>
      <c r="H47" s="18" t="s">
        <v>68</v>
      </c>
      <c r="I47" s="18">
        <f>'MERCADO TUSD'!$U$44</f>
        <v>183.905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19.670496146996719</v>
      </c>
      <c r="R47" s="13">
        <f>'TUSD BE'!$R$47*'TUSD BF'!$R$58</f>
        <v>3.7574751408440408</v>
      </c>
      <c r="S47" s="13">
        <f>'TUSD BE'!$R$47*'TUSD BF'!$S$58</f>
        <v>0</v>
      </c>
      <c r="T47" s="13">
        <f ca="1">SUM($L$47:$S$47)</f>
        <v>23.427971287840759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-0.20335486547661608</v>
      </c>
      <c r="AI47" s="13">
        <f>'TUSD BE'!$AI$47*'TUSD BF'!$AI$58</f>
        <v>0</v>
      </c>
      <c r="AJ47" s="13">
        <f ca="1">'TUSD BE'!$AJ$47*'TUSD BF'!$AJ$58</f>
        <v>-1.5965883093291923E-2</v>
      </c>
      <c r="AK47" s="13">
        <f ca="1">'TUSD BE'!$AK$47*'TUSD BF'!$AK$58</f>
        <v>0</v>
      </c>
      <c r="AL47" s="13">
        <f ca="1">SUM($AH$47:$AK$47)</f>
        <v>-0.21932074856990799</v>
      </c>
      <c r="AM47" s="13">
        <f ca="1">SUMIF($L$4:$AL$4,"SUBTOTAL",$L$47:$AL$47)</f>
        <v>23.208650539270852</v>
      </c>
      <c r="AO47" s="20">
        <f ca="1">+'TUSD BE'!$T$47+'TUSD BE'!$AB$47+'TUSD BE'!$AD$47+'TUSD BE'!$AL$47</f>
        <v>384.31718624473166</v>
      </c>
      <c r="AP47" s="20">
        <f ca="1">+'TUSD BE'!$T$47+'TUSD BE'!$AB$47+'TUSD BE'!$AD$47+'TUSD BE'!$AL$47</f>
        <v>384.31718624473166</v>
      </c>
    </row>
    <row r="48" spans="1:42" ht="11.25" customHeight="1" x14ac:dyDescent="0.25">
      <c r="A48" s="13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4632.741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19.670496146996719</v>
      </c>
      <c r="R48" s="13">
        <f>'TUSD BE'!$R$48*'TUSD BF'!$R$58</f>
        <v>3.7574751408440408</v>
      </c>
      <c r="S48" s="13">
        <f>'TUSD BE'!$R$48*'TUSD BF'!$S$58</f>
        <v>0</v>
      </c>
      <c r="T48" s="13">
        <f ca="1">SUM($L$48:$S$48)</f>
        <v>23.427971287840759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-0.20335486547661608</v>
      </c>
      <c r="AI48" s="13">
        <f>'TUSD BE'!$AI$48*'TUSD BF'!$AI$58</f>
        <v>0</v>
      </c>
      <c r="AJ48" s="13">
        <f ca="1">'TUSD BE'!$AJ$48*'TUSD BF'!$AJ$58</f>
        <v>-1.5965883093291923E-2</v>
      </c>
      <c r="AK48" s="13">
        <f ca="1">'TUSD BE'!$AK$48*'TUSD BF'!$AK$58</f>
        <v>0</v>
      </c>
      <c r="AL48" s="13">
        <f ca="1">SUM($AH$48:$AK$48)</f>
        <v>-0.21932074856990799</v>
      </c>
      <c r="AM48" s="13">
        <f ca="1">SUMIF($L$4:$AL$4,"SUBTOTAL",$L$48:$AL$48)</f>
        <v>23.208650539270852</v>
      </c>
      <c r="AO48" s="20">
        <f ca="1">+'TUSD BE'!$T$48+'TUSD BE'!$AB$48+'TUSD BE'!$AD$48+'TUSD BE'!$AL$48</f>
        <v>475.00372559990984</v>
      </c>
      <c r="AP48" s="20">
        <f ca="1">+'TUSD BE'!$T$48+'TUSD BE'!$AB$48+'TUSD BE'!$AD$48+'TUSD BE'!$AL$48</f>
        <v>475.00372559990984</v>
      </c>
    </row>
    <row r="49" spans="1:42" ht="11.25" customHeight="1" x14ac:dyDescent="0.25">
      <c r="A49" s="139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19.670496146996719</v>
      </c>
      <c r="R49" s="13">
        <f>'TUSD BE'!$R$49*'TUSD BF'!$R$58</f>
        <v>3.7574751408440408</v>
      </c>
      <c r="S49" s="13">
        <f>'TUSD BE'!$R$49*'TUSD BF'!$S$58</f>
        <v>0</v>
      </c>
      <c r="T49" s="13">
        <f ca="1">SUM($L$49:$S$49)</f>
        <v>23.427971287840759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-0.20335486547661608</v>
      </c>
      <c r="AI49" s="13">
        <f>'TUSD BE'!$AI$49*'TUSD BF'!$AI$58</f>
        <v>0</v>
      </c>
      <c r="AJ49" s="13">
        <f ca="1">'TUSD BE'!$AJ$49*'TUSD BF'!$AJ$58</f>
        <v>-1.5965883093291923E-2</v>
      </c>
      <c r="AK49" s="13">
        <f ca="1">'TUSD BE'!$AK$49*'TUSD BF'!$AK$58</f>
        <v>0</v>
      </c>
      <c r="AL49" s="13">
        <f ca="1">SUM($AH$49:$AK$49)</f>
        <v>-0.21932074856990799</v>
      </c>
      <c r="AM49" s="13">
        <f ca="1">SUMIF($L$4:$AL$4,"SUBTOTAL",$L$49:$AL$49)</f>
        <v>23.208650539270852</v>
      </c>
      <c r="AO49" s="20">
        <f ca="1">+'TUSD BE'!$T$49+'TUSD BE'!$AB$49+'TUSD BE'!$AD$49+'TUSD BE'!$AL$49</f>
        <v>475.00372559990984</v>
      </c>
      <c r="AP49" s="20">
        <f ca="1">+'TUSD BE'!$T$49+'TUSD BE'!$AB$49+'TUSD BE'!$AD$49+'TUSD BE'!$AL$49</f>
        <v>475.00372559990984</v>
      </c>
    </row>
    <row r="50" spans="1:42" ht="11.25" customHeight="1" x14ac:dyDescent="0.25">
      <c r="A50" s="139" t="s">
        <v>44</v>
      </c>
      <c r="B50" s="139" t="s">
        <v>23</v>
      </c>
      <c r="C50" s="139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356.69600000000003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10.818772880848195</v>
      </c>
      <c r="R50" s="13">
        <f>'TUSD BE'!$R$50*'TUSD BF'!$R$58</f>
        <v>2.0666113274642224</v>
      </c>
      <c r="S50" s="13">
        <f>'TUSD BE'!$R$50*'TUSD BF'!$S$58</f>
        <v>0</v>
      </c>
      <c r="T50" s="13">
        <f ca="1">SUM($L$50:$S$50)</f>
        <v>12.885384208312418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-0.11184517601213884</v>
      </c>
      <c r="AI50" s="13">
        <f>'TUSD BE'!$AI$50*'TUSD BF'!$AI$58</f>
        <v>0</v>
      </c>
      <c r="AJ50" s="13">
        <f ca="1">'TUSD BE'!$AJ$50*'TUSD BF'!$AJ$58</f>
        <v>-8.7812357013105583E-3</v>
      </c>
      <c r="AK50" s="13">
        <f ca="1">'TUSD BE'!$AK$50*'TUSD BF'!$AK$58</f>
        <v>0</v>
      </c>
      <c r="AL50" s="13">
        <f ca="1">SUM($AH$50:$AK$50)</f>
        <v>-0.1206264117134494</v>
      </c>
      <c r="AM50" s="13">
        <f ca="1">SUMIF($L$4:$AL$4,"SUBTOTAL",$L$50:$AL$50)</f>
        <v>12.764757796598969</v>
      </c>
      <c r="AO50" s="20">
        <f ca="1">+'TUSD BE'!$T$50+'TUSD BE'!$AB$50+'TUSD BE'!$AD$50+'TUSD BE'!$AL$50</f>
        <v>261.25204907995044</v>
      </c>
      <c r="AP50" s="20">
        <f ca="1">+'TUSD BE'!$T$50+'TUSD BE'!$AB$50+'TUSD BE'!$AD$50+'TUSD BE'!$AL$50</f>
        <v>261.25204907995044</v>
      </c>
    </row>
    <row r="51" spans="1:42" ht="11.25" customHeight="1" x14ac:dyDescent="0.25">
      <c r="A51" s="139"/>
      <c r="B51" s="139"/>
      <c r="C51" s="139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11.802297688198033</v>
      </c>
      <c r="R51" s="13">
        <f>'TUSD BE'!$R$51*'TUSD BF'!$R$58</f>
        <v>2.2544850845064244</v>
      </c>
      <c r="S51" s="13">
        <f>'TUSD BE'!$R$51*'TUSD BF'!$S$58</f>
        <v>0</v>
      </c>
      <c r="T51" s="13">
        <f ca="1">SUM($L$51:$S$51)</f>
        <v>14.056782772704457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-0.12201291928596963</v>
      </c>
      <c r="AI51" s="13">
        <f>'TUSD BE'!$AI$51*'TUSD BF'!$AI$58</f>
        <v>0</v>
      </c>
      <c r="AJ51" s="13">
        <f ca="1">'TUSD BE'!$AJ$51*'TUSD BF'!$AJ$58</f>
        <v>-9.5795298559751534E-3</v>
      </c>
      <c r="AK51" s="13">
        <f ca="1">'TUSD BE'!$AK$51*'TUSD BF'!$AK$58</f>
        <v>0</v>
      </c>
      <c r="AL51" s="13">
        <f ca="1">SUM($AH$51:$AK$51)</f>
        <v>-0.13159244914194479</v>
      </c>
      <c r="AM51" s="13">
        <f ca="1">SUMIF($L$4:$AL$4,"SUBTOTAL",$L$51:$AL$51)</f>
        <v>13.925190323562513</v>
      </c>
      <c r="AO51" s="20">
        <f ca="1">+'TUSD BE'!$T$51+'TUSD BE'!$AB$51+'TUSD BE'!$AD$51+'TUSD BE'!$AL$51</f>
        <v>285.00223535994587</v>
      </c>
      <c r="AP51" s="20">
        <f ca="1">+'TUSD BE'!$T$51+'TUSD BE'!$AB$51+'TUSD BE'!$AD$51+'TUSD BE'!$AL$51</f>
        <v>285.00223535994587</v>
      </c>
    </row>
    <row r="53" spans="1:42" ht="11.25" customHeight="1" x14ac:dyDescent="0.25">
      <c r="K53" s="16" t="s">
        <v>529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373798.43120000005</v>
      </c>
      <c r="R53" s="13">
        <f>SUMPRODUCT($I$5:$I51,$R$5:$R51)</f>
        <v>76622.522500000006</v>
      </c>
      <c r="S53" s="13">
        <f>SUMPRODUCT($I$5:$I51,$S$5:$S51)</f>
        <v>0</v>
      </c>
      <c r="T53" s="13">
        <f ca="1">SUMPRODUCT($I$5:$I51,$T$5:$T51)</f>
        <v>450420.95369999995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-2712.6759334384456</v>
      </c>
      <c r="AI53" s="13">
        <f>SUMPRODUCT($I$5:$I51,$AI$5:$AI51)</f>
        <v>0</v>
      </c>
      <c r="AJ53" s="13">
        <f ca="1">SUMPRODUCT($I$5:$I51,$AJ$5:$AJ51)</f>
        <v>-273.97851938219083</v>
      </c>
      <c r="AK53" s="13">
        <f ca="1">SUMPRODUCT($I$5:$I51,$AK$5:$AK51)</f>
        <v>0</v>
      </c>
      <c r="AL53" s="13">
        <f ca="1">SUMPRODUCT($I$5:$I51,$AL$5:$AL51)</f>
        <v>-2986.6544528206364</v>
      </c>
      <c r="AM53" s="13">
        <f ca="1">SUMPRODUCT($I$5:$I51,$AM$5:$AM51)</f>
        <v>447434.29924717936</v>
      </c>
      <c r="AO53" s="18">
        <f ca="1">SUMPRODUCT($I$5:$I51,$AO$5:$AO51)</f>
        <v>8000796.5229833303</v>
      </c>
      <c r="AP53" s="18">
        <f ca="1">SUMPRODUCT($I$5:$I51,$AP$5:$AP51)</f>
        <v>8000796.5229833303</v>
      </c>
    </row>
    <row r="54" spans="1:42" ht="11.25" customHeight="1" x14ac:dyDescent="0.25">
      <c r="K54" s="16" t="s">
        <v>461</v>
      </c>
      <c r="L54" s="13">
        <f>'TR TUSD'!$L$56</f>
        <v>0</v>
      </c>
      <c r="M54" s="13">
        <f>'TR TUSD'!$M$56</f>
        <v>19438.38955486341</v>
      </c>
      <c r="N54" s="13">
        <f>'TR TUSD'!$N$56</f>
        <v>62873.272518088721</v>
      </c>
      <c r="O54" s="13">
        <f>'TR TUSD'!$O$56</f>
        <v>0</v>
      </c>
      <c r="P54" s="13">
        <f>'TR TUSD'!$P$56</f>
        <v>0</v>
      </c>
      <c r="Q54" s="13">
        <f>'TR TUSD'!$Q$56</f>
        <v>1702303.4434674436</v>
      </c>
      <c r="R54" s="13">
        <f>'TR TUSD'!$R$56</f>
        <v>282487.42412703927</v>
      </c>
      <c r="S54" s="13">
        <f>'TR TUSD'!$S$56</f>
        <v>0</v>
      </c>
      <c r="T54" s="13">
        <f>'TR TUSD'!$T$56</f>
        <v>2067102.529667435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2132832.06996</v>
      </c>
      <c r="Z54" s="13">
        <f>'TR TUSD'!$Z$56</f>
        <v>0</v>
      </c>
      <c r="AA54" s="13">
        <f>'TR TUSD'!$AA$56</f>
        <v>0</v>
      </c>
      <c r="AB54" s="13">
        <f>'TR TUSD'!$AB$56</f>
        <v>2132832.06996</v>
      </c>
      <c r="AC54" s="13">
        <f>'TR TUSD'!$AC$56</f>
        <v>3514906.6439787205</v>
      </c>
      <c r="AD54" s="13">
        <f>'TR TUSD'!$AD$56</f>
        <v>3514906.6439787205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252579.93320726309</v>
      </c>
      <c r="AI54" s="13">
        <f>'TR TUSD'!$AI$56</f>
        <v>0</v>
      </c>
      <c r="AJ54" s="13">
        <f>'TR TUSD'!$AJ$56</f>
        <v>25510.410319474628</v>
      </c>
      <c r="AK54" s="13">
        <f>'TR TUSD'!$AK$56</f>
        <v>7864.935850435606</v>
      </c>
      <c r="AL54" s="13">
        <f>'TR TUSD'!$AL$56</f>
        <v>285955.27937717328</v>
      </c>
      <c r="AM54" s="13">
        <f>CUSTOS!$D$29</f>
        <v>8000796.5229833294</v>
      </c>
      <c r="AO54" s="18">
        <f>$AE$56</f>
        <v>0</v>
      </c>
      <c r="AP54" s="18">
        <f>$AF$56</f>
        <v>0</v>
      </c>
    </row>
    <row r="55" spans="1:42" ht="11.25" customHeight="1" x14ac:dyDescent="0.25">
      <c r="K55" s="16" t="s">
        <v>462</v>
      </c>
      <c r="L55" s="13">
        <f>CUSTOS!$E$2</f>
        <v>0</v>
      </c>
      <c r="M55" s="13">
        <f>CUSTOS!$E$3</f>
        <v>-605.2669514483473</v>
      </c>
      <c r="N55" s="13">
        <f>CUSTOS!$E$4</f>
        <v>3.3834428704921385E-2</v>
      </c>
      <c r="O55" s="13">
        <f>CUSTOS!$E$5</f>
        <v>0</v>
      </c>
      <c r="P55" s="13">
        <f>CUSTOS!$E$6</f>
        <v>0</v>
      </c>
      <c r="Q55" s="13">
        <f>CUSTOS!$E$7</f>
        <v>-49197.963101249363</v>
      </c>
      <c r="R55" s="13">
        <f>CUSTOS!$E$8</f>
        <v>-8721.5821381477435</v>
      </c>
      <c r="S55" s="13">
        <f>CUSTOS!$E$9</f>
        <v>0</v>
      </c>
      <c r="T55" s="13">
        <f>CUSTOS!$E$10</f>
        <v>-58524.778356416748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-56662.602195281324</v>
      </c>
      <c r="Z55" s="13">
        <f>CUSTOS!$E$16</f>
        <v>0</v>
      </c>
      <c r="AA55" s="13">
        <f>CUSTOS!$E$17</f>
        <v>0</v>
      </c>
      <c r="AB55" s="13">
        <f>CUSTOS!$E$18</f>
        <v>-56662.602195281324</v>
      </c>
      <c r="AC55" s="13">
        <f>CUSTOS!$E$19</f>
        <v>0</v>
      </c>
      <c r="AD55" s="13">
        <f>CUSTOS!$E$20</f>
        <v>0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6955.1173179812113</v>
      </c>
      <c r="AI55" s="13">
        <f>CUSTOS!$E$25</f>
        <v>0</v>
      </c>
      <c r="AJ55" s="13">
        <f>CUSTOS!$E$26</f>
        <v>702.46236250363586</v>
      </c>
      <c r="AK55" s="13">
        <f>CUSTOS!$E$27</f>
        <v>330.6146778908705</v>
      </c>
      <c r="AL55" s="13">
        <f>CUSTOS!$E$28</f>
        <v>7988.1943583757175</v>
      </c>
      <c r="AM55" s="13">
        <f>CUSTOS!$E$29</f>
        <v>-107199.18619332234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463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373798.43119999999</v>
      </c>
      <c r="R56" s="13">
        <f>CUSTOS!$F$8</f>
        <v>76622.522500000006</v>
      </c>
      <c r="S56" s="13">
        <f>CUSTOS!$F$9</f>
        <v>0</v>
      </c>
      <c r="T56" s="13">
        <f>CUSTOS!$F$10</f>
        <v>450420.95370000001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-2712.6759334384456</v>
      </c>
      <c r="AI56" s="13">
        <f>CUSTOS!$F$25</f>
        <v>0</v>
      </c>
      <c r="AJ56" s="13">
        <f>CUSTOS!$F$26</f>
        <v>-273.97851938219083</v>
      </c>
      <c r="AK56" s="13">
        <f>CUSTOS!$F$27</f>
        <v>0</v>
      </c>
      <c r="AL56" s="13">
        <f>CUSTOS!$F$28</f>
        <v>-2986.6544528206364</v>
      </c>
      <c r="AM56" s="13">
        <f>CUSTOS!$F$29</f>
        <v>447434.29924717936</v>
      </c>
    </row>
    <row r="57" spans="1:42" ht="11.25" customHeight="1" x14ac:dyDescent="0.25">
      <c r="K57" s="16" t="s">
        <v>526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65" priority="55" operator="notEqual">
      <formula>$L$56</formula>
    </cfRule>
    <cfRule type="cellIs" dxfId="864" priority="56" operator="equal">
      <formula>$L$56</formula>
    </cfRule>
  </conditionalFormatting>
  <conditionalFormatting sqref="M53">
    <cfRule type="cellIs" dxfId="863" priority="53" operator="notEqual">
      <formula>$M$56</formula>
    </cfRule>
    <cfRule type="cellIs" dxfId="862" priority="54" operator="equal">
      <formula>$M$56</formula>
    </cfRule>
  </conditionalFormatting>
  <conditionalFormatting sqref="N53">
    <cfRule type="cellIs" dxfId="861" priority="51" operator="notEqual">
      <formula>$N$56</formula>
    </cfRule>
    <cfRule type="cellIs" dxfId="860" priority="52" operator="equal">
      <formula>$N$56</formula>
    </cfRule>
  </conditionalFormatting>
  <conditionalFormatting sqref="O53">
    <cfRule type="cellIs" dxfId="859" priority="49" operator="notEqual">
      <formula>$O$56</formula>
    </cfRule>
    <cfRule type="cellIs" dxfId="858" priority="50" operator="equal">
      <formula>$O$56</formula>
    </cfRule>
  </conditionalFormatting>
  <conditionalFormatting sqref="P53">
    <cfRule type="cellIs" dxfId="857" priority="47" operator="notEqual">
      <formula>$P$56</formula>
    </cfRule>
    <cfRule type="cellIs" dxfId="856" priority="48" operator="equal">
      <formula>$P$56</formula>
    </cfRule>
  </conditionalFormatting>
  <conditionalFormatting sqref="Q53">
    <cfRule type="cellIs" dxfId="855" priority="45" operator="notEqual">
      <formula>$Q$56</formula>
    </cfRule>
    <cfRule type="cellIs" dxfId="854" priority="46" operator="equal">
      <formula>$Q$56</formula>
    </cfRule>
  </conditionalFormatting>
  <conditionalFormatting sqref="R53">
    <cfRule type="cellIs" dxfId="853" priority="43" operator="notEqual">
      <formula>$R$56</formula>
    </cfRule>
    <cfRule type="cellIs" dxfId="852" priority="44" operator="equal">
      <formula>$R$56</formula>
    </cfRule>
  </conditionalFormatting>
  <conditionalFormatting sqref="S53">
    <cfRule type="cellIs" dxfId="851" priority="41" operator="notEqual">
      <formula>$S$56</formula>
    </cfRule>
    <cfRule type="cellIs" dxfId="850" priority="42" operator="equal">
      <formula>$S$56</formula>
    </cfRule>
  </conditionalFormatting>
  <conditionalFormatting sqref="T53">
    <cfRule type="cellIs" dxfId="849" priority="39" operator="notEqual">
      <formula>$T$56</formula>
    </cfRule>
    <cfRule type="cellIs" dxfId="848" priority="40" operator="equal">
      <formula>$T$56</formula>
    </cfRule>
  </conditionalFormatting>
  <conditionalFormatting sqref="U53">
    <cfRule type="cellIs" dxfId="847" priority="37" operator="notEqual">
      <formula>$U$56</formula>
    </cfRule>
    <cfRule type="cellIs" dxfId="846" priority="38" operator="equal">
      <formula>$U$56</formula>
    </cfRule>
  </conditionalFormatting>
  <conditionalFormatting sqref="V53">
    <cfRule type="cellIs" dxfId="845" priority="35" operator="notEqual">
      <formula>$V$56</formula>
    </cfRule>
    <cfRule type="cellIs" dxfId="844" priority="36" operator="equal">
      <formula>$V$56</formula>
    </cfRule>
  </conditionalFormatting>
  <conditionalFormatting sqref="W53">
    <cfRule type="cellIs" dxfId="843" priority="33" operator="notEqual">
      <formula>$W$56</formula>
    </cfRule>
    <cfRule type="cellIs" dxfId="842" priority="34" operator="equal">
      <formula>$W$56</formula>
    </cfRule>
  </conditionalFormatting>
  <conditionalFormatting sqref="X53">
    <cfRule type="cellIs" dxfId="841" priority="31" operator="notEqual">
      <formula>$X$56</formula>
    </cfRule>
    <cfRule type="cellIs" dxfId="840" priority="32" operator="equal">
      <formula>$X$56</formula>
    </cfRule>
  </conditionalFormatting>
  <conditionalFormatting sqref="Y53">
    <cfRule type="cellIs" dxfId="839" priority="29" operator="notEqual">
      <formula>$Y$56</formula>
    </cfRule>
    <cfRule type="cellIs" dxfId="838" priority="30" operator="equal">
      <formula>$Y$56</formula>
    </cfRule>
  </conditionalFormatting>
  <conditionalFormatting sqref="Z53">
    <cfRule type="cellIs" dxfId="837" priority="27" operator="notEqual">
      <formula>$Z$56</formula>
    </cfRule>
    <cfRule type="cellIs" dxfId="836" priority="28" operator="equal">
      <formula>$Z$56</formula>
    </cfRule>
  </conditionalFormatting>
  <conditionalFormatting sqref="AA53">
    <cfRule type="cellIs" dxfId="835" priority="25" operator="notEqual">
      <formula>$AA$56</formula>
    </cfRule>
    <cfRule type="cellIs" dxfId="834" priority="26" operator="equal">
      <formula>$AA$56</formula>
    </cfRule>
  </conditionalFormatting>
  <conditionalFormatting sqref="AB53">
    <cfRule type="cellIs" dxfId="833" priority="23" operator="notEqual">
      <formula>$AB$56</formula>
    </cfRule>
    <cfRule type="cellIs" dxfId="832" priority="24" operator="equal">
      <formula>$AB$56</formula>
    </cfRule>
  </conditionalFormatting>
  <conditionalFormatting sqref="AC53">
    <cfRule type="cellIs" dxfId="831" priority="21" operator="notEqual">
      <formula>$AC$56</formula>
    </cfRule>
    <cfRule type="cellIs" dxfId="830" priority="22" operator="equal">
      <formula>$AC$56</formula>
    </cfRule>
  </conditionalFormatting>
  <conditionalFormatting sqref="AD53">
    <cfRule type="cellIs" dxfId="829" priority="19" operator="notEqual">
      <formula>$AD$56</formula>
    </cfRule>
    <cfRule type="cellIs" dxfId="828" priority="20" operator="equal">
      <formula>$AD$56</formula>
    </cfRule>
  </conditionalFormatting>
  <conditionalFormatting sqref="AE53">
    <cfRule type="cellIs" dxfId="827" priority="17" operator="notEqual">
      <formula>$AE$56</formula>
    </cfRule>
    <cfRule type="cellIs" dxfId="826" priority="18" operator="equal">
      <formula>$AE$56</formula>
    </cfRule>
  </conditionalFormatting>
  <conditionalFormatting sqref="AF53">
    <cfRule type="cellIs" dxfId="825" priority="16" operator="equal">
      <formula>$AF$56</formula>
    </cfRule>
  </conditionalFormatting>
  <conditionalFormatting sqref="AF53">
    <cfRule type="cellIs" dxfId="824" priority="15" operator="notEqual">
      <formula>$AF$56</formula>
    </cfRule>
  </conditionalFormatting>
  <conditionalFormatting sqref="AG53">
    <cfRule type="cellIs" dxfId="823" priority="14" operator="equal">
      <formula>$AG$56</formula>
    </cfRule>
  </conditionalFormatting>
  <conditionalFormatting sqref="AG53">
    <cfRule type="cellIs" dxfId="822" priority="13" operator="notEqual">
      <formula>$AG$56</formula>
    </cfRule>
  </conditionalFormatting>
  <conditionalFormatting sqref="AH53">
    <cfRule type="cellIs" dxfId="821" priority="12" operator="equal">
      <formula>$AH$56</formula>
    </cfRule>
  </conditionalFormatting>
  <conditionalFormatting sqref="AH53">
    <cfRule type="cellIs" dxfId="820" priority="11" operator="notEqual">
      <formula>$AH$56</formula>
    </cfRule>
  </conditionalFormatting>
  <conditionalFormatting sqref="AI53">
    <cfRule type="cellIs" dxfId="819" priority="10" operator="equal">
      <formula>$AI$56</formula>
    </cfRule>
  </conditionalFormatting>
  <conditionalFormatting sqref="AI53">
    <cfRule type="cellIs" dxfId="818" priority="9" operator="notEqual">
      <formula>$AI$56</formula>
    </cfRule>
  </conditionalFormatting>
  <conditionalFormatting sqref="AJ53">
    <cfRule type="cellIs" dxfId="817" priority="8" operator="equal">
      <formula>$AJ$56</formula>
    </cfRule>
  </conditionalFormatting>
  <conditionalFormatting sqref="AJ53">
    <cfRule type="cellIs" dxfId="816" priority="7" operator="notEqual">
      <formula>$AJ$56</formula>
    </cfRule>
  </conditionalFormatting>
  <conditionalFormatting sqref="AK53">
    <cfRule type="cellIs" dxfId="815" priority="6" operator="equal">
      <formula>$AK$56</formula>
    </cfRule>
  </conditionalFormatting>
  <conditionalFormatting sqref="AK53">
    <cfRule type="cellIs" dxfId="814" priority="5" operator="notEqual">
      <formula>$AK$56</formula>
    </cfRule>
  </conditionalFormatting>
  <conditionalFormatting sqref="AL53">
    <cfRule type="cellIs" dxfId="813" priority="4" operator="equal">
      <formula>$AL$56</formula>
    </cfRule>
  </conditionalFormatting>
  <conditionalFormatting sqref="AL53">
    <cfRule type="cellIs" dxfId="812" priority="3" operator="notEqual">
      <formula>$AL$56</formula>
    </cfRule>
  </conditionalFormatting>
  <conditionalFormatting sqref="AM53">
    <cfRule type="cellIs" dxfId="811" priority="2" operator="equal">
      <formula>$AM$56</formula>
    </cfRule>
  </conditionalFormatting>
  <conditionalFormatting sqref="AM53">
    <cfRule type="cellIs" dxfId="810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D22D-27C6-4E39-A018-0C5E4A50AE3D}">
  <sheetPr codeName="Planilha13"/>
  <dimension ref="A1:AB50"/>
  <sheetViews>
    <sheetView showGridLines="0" topLeftCell="A31" workbookViewId="0">
      <selection activeCell="K44" sqref="K44:AB50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49" t="s">
        <v>58</v>
      </c>
      <c r="B1" s="149" t="s">
        <v>59</v>
      </c>
      <c r="C1" s="149" t="s">
        <v>60</v>
      </c>
      <c r="D1" s="149" t="s">
        <v>61</v>
      </c>
      <c r="E1" s="149" t="s">
        <v>62</v>
      </c>
      <c r="F1" s="149" t="s">
        <v>15</v>
      </c>
      <c r="G1" s="149" t="s">
        <v>64</v>
      </c>
      <c r="H1" s="149" t="s">
        <v>65</v>
      </c>
      <c r="I1" s="149" t="s">
        <v>520</v>
      </c>
      <c r="J1" s="128"/>
      <c r="L1" s="147" t="s">
        <v>541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</row>
    <row r="2" spans="1:28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28"/>
      <c r="L2" s="147" t="s">
        <v>447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</row>
    <row r="3" spans="1:28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28"/>
      <c r="L3" s="147" t="s">
        <v>420</v>
      </c>
      <c r="M3" s="147"/>
      <c r="N3" s="147"/>
      <c r="O3" s="147"/>
      <c r="P3" s="147"/>
      <c r="Q3" s="147"/>
      <c r="R3" s="147" t="s">
        <v>451</v>
      </c>
      <c r="S3" s="147"/>
      <c r="T3" s="147" t="s">
        <v>429</v>
      </c>
      <c r="U3" s="147"/>
      <c r="V3" s="147"/>
      <c r="W3" s="147"/>
      <c r="X3" s="147" t="s">
        <v>439</v>
      </c>
      <c r="Y3" s="147"/>
      <c r="Z3" s="147" t="s">
        <v>442</v>
      </c>
      <c r="AA3" s="147"/>
      <c r="AB3" s="147" t="s">
        <v>428</v>
      </c>
    </row>
    <row r="4" spans="1:28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28"/>
      <c r="L4" s="24" t="s">
        <v>422</v>
      </c>
      <c r="M4" s="24" t="s">
        <v>448</v>
      </c>
      <c r="N4" s="24" t="s">
        <v>449</v>
      </c>
      <c r="O4" s="24" t="s">
        <v>508</v>
      </c>
      <c r="P4" s="24" t="s">
        <v>450</v>
      </c>
      <c r="Q4" s="24" t="s">
        <v>428</v>
      </c>
      <c r="R4" s="24" t="s">
        <v>452</v>
      </c>
      <c r="S4" s="24" t="s">
        <v>428</v>
      </c>
      <c r="T4" s="24" t="s">
        <v>453</v>
      </c>
      <c r="U4" s="24" t="s">
        <v>454</v>
      </c>
      <c r="V4" s="24" t="s">
        <v>455</v>
      </c>
      <c r="W4" s="24" t="s">
        <v>428</v>
      </c>
      <c r="X4" s="24" t="s">
        <v>440</v>
      </c>
      <c r="Y4" s="24" t="s">
        <v>428</v>
      </c>
      <c r="Z4" s="24" t="s">
        <v>456</v>
      </c>
      <c r="AA4" s="24" t="s">
        <v>428</v>
      </c>
      <c r="AB4" s="148"/>
    </row>
    <row r="5" spans="1:28" ht="11.25" customHeight="1" x14ac:dyDescent="0.25">
      <c r="A5" s="150" t="s">
        <v>34</v>
      </c>
      <c r="B5" s="150" t="s">
        <v>67</v>
      </c>
      <c r="C5" s="150" t="s">
        <v>25</v>
      </c>
      <c r="D5" s="150" t="s">
        <v>25</v>
      </c>
      <c r="E5" s="150" t="s">
        <v>25</v>
      </c>
      <c r="F5" s="150" t="s">
        <v>25</v>
      </c>
      <c r="G5" s="23" t="s">
        <v>69</v>
      </c>
      <c r="H5" s="23" t="s">
        <v>68</v>
      </c>
      <c r="I5" s="23">
        <f>'MERCADO TE'!$U$2</f>
        <v>86.265000000000001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1.72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150"/>
      <c r="B6" s="150"/>
      <c r="C6" s="150"/>
      <c r="D6" s="150"/>
      <c r="E6" s="150"/>
      <c r="F6" s="150"/>
      <c r="G6" s="23" t="s">
        <v>70</v>
      </c>
      <c r="H6" s="23" t="s">
        <v>68</v>
      </c>
      <c r="I6" s="23">
        <f>'MERCADO TE'!$U$3</f>
        <v>2218.5819999999999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150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1.06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150" t="s">
        <v>22</v>
      </c>
      <c r="B8" s="150" t="s">
        <v>67</v>
      </c>
      <c r="C8" s="150" t="s">
        <v>24</v>
      </c>
      <c r="D8" s="150" t="s">
        <v>24</v>
      </c>
      <c r="E8" s="150" t="s">
        <v>25</v>
      </c>
      <c r="F8" s="150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1.72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150"/>
      <c r="B9" s="150"/>
      <c r="C9" s="150"/>
      <c r="D9" s="150"/>
      <c r="E9" s="150"/>
      <c r="F9" s="150"/>
      <c r="G9" s="23" t="s">
        <v>82</v>
      </c>
      <c r="H9" s="23" t="s">
        <v>68</v>
      </c>
      <c r="I9" s="23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25">
      <c r="A10" s="150"/>
      <c r="B10" s="150"/>
      <c r="C10" s="150"/>
      <c r="D10" s="150"/>
      <c r="E10" s="150"/>
      <c r="F10" s="150"/>
      <c r="G10" s="23" t="s">
        <v>70</v>
      </c>
      <c r="H10" s="23" t="s">
        <v>68</v>
      </c>
      <c r="I10" s="23">
        <f>'MERCADO TE'!$U$7</f>
        <v>0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150"/>
      <c r="B11" s="150" t="s">
        <v>71</v>
      </c>
      <c r="C11" s="150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6670.0239999999994</v>
      </c>
      <c r="J11" s="15"/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/>
      <c r="R11" s="20">
        <v>1.06</v>
      </c>
      <c r="S11" s="20"/>
      <c r="T11" s="20">
        <v>1</v>
      </c>
      <c r="U11" s="20">
        <v>1</v>
      </c>
      <c r="V11" s="20">
        <v>1</v>
      </c>
      <c r="W11" s="20"/>
      <c r="X11" s="20"/>
      <c r="Y11" s="20"/>
      <c r="Z11" s="20">
        <v>1</v>
      </c>
      <c r="AA11" s="20"/>
      <c r="AB11" s="20"/>
    </row>
    <row r="12" spans="1:28" ht="11.25" customHeight="1" x14ac:dyDescent="0.25">
      <c r="A12" s="150"/>
      <c r="B12" s="150"/>
      <c r="C12" s="150"/>
      <c r="D12" s="22" t="s">
        <v>28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127.41000000000001</v>
      </c>
      <c r="J12" s="15"/>
      <c r="L12" s="20">
        <f>1 - CUSTOS!$M$24</f>
        <v>1</v>
      </c>
      <c r="M12" s="20">
        <f>1 - CUSTOS!$M$24</f>
        <v>1</v>
      </c>
      <c r="N12" s="20">
        <f>1 - CUSTOS!$M$24</f>
        <v>1</v>
      </c>
      <c r="O12" s="20">
        <f>1 - CUSTOS!$M$24</f>
        <v>1</v>
      </c>
      <c r="P12" s="20">
        <f>1 - CUSTOS!$M$24</f>
        <v>1</v>
      </c>
      <c r="Q12" s="20"/>
      <c r="R12" s="20">
        <f>(1 - CUSTOS!$M$24)*1.06</f>
        <v>1.06</v>
      </c>
      <c r="S12" s="20"/>
      <c r="T12" s="20">
        <f>1 - CUSTOS!$M$24</f>
        <v>1</v>
      </c>
      <c r="U12" s="20">
        <f>1 - CUSTOS!$M$24</f>
        <v>1</v>
      </c>
      <c r="V12" s="20">
        <f>1 - CUSTOS!$M$24</f>
        <v>1</v>
      </c>
      <c r="W12" s="20"/>
      <c r="X12" s="20"/>
      <c r="Y12" s="20"/>
      <c r="Z12" s="20">
        <f>1 - CUSTOS!$M$24</f>
        <v>1</v>
      </c>
      <c r="AA12" s="20"/>
      <c r="AB12" s="20"/>
    </row>
    <row r="13" spans="1:28" ht="11.25" customHeight="1" x14ac:dyDescent="0.25">
      <c r="A13" s="150"/>
      <c r="B13" s="150"/>
      <c r="C13" s="150"/>
      <c r="D13" s="22" t="s">
        <v>29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275.43099999999998</v>
      </c>
      <c r="J13" s="15"/>
      <c r="L13" s="20">
        <f>1 - CUSTOS!$M$25</f>
        <v>1</v>
      </c>
      <c r="M13" s="20">
        <f>1 - CUSTOS!$M$25</f>
        <v>1</v>
      </c>
      <c r="N13" s="20">
        <f>1 - CUSTOS!$M$25</f>
        <v>1</v>
      </c>
      <c r="O13" s="20">
        <f>1 - CUSTOS!$M$25</f>
        <v>1</v>
      </c>
      <c r="P13" s="20">
        <f>1 - CUSTOS!$M$25</f>
        <v>1</v>
      </c>
      <c r="Q13" s="20"/>
      <c r="R13" s="20">
        <f>(1 - CUSTOS!$M$25)*1.06</f>
        <v>1.06</v>
      </c>
      <c r="S13" s="20"/>
      <c r="T13" s="20">
        <f>1 - CUSTOS!$M$25</f>
        <v>1</v>
      </c>
      <c r="U13" s="20">
        <f>1 - CUSTOS!$M$25</f>
        <v>1</v>
      </c>
      <c r="V13" s="20">
        <f>1 - CUSTOS!$M$25</f>
        <v>1</v>
      </c>
      <c r="W13" s="20"/>
      <c r="X13" s="20"/>
      <c r="Y13" s="20"/>
      <c r="Z13" s="20">
        <f>1 - CUSTOS!$M$25</f>
        <v>1</v>
      </c>
      <c r="AA13" s="20"/>
      <c r="AB13" s="20"/>
    </row>
    <row r="14" spans="1:28" ht="11.25" customHeight="1" x14ac:dyDescent="0.25">
      <c r="A14" s="150"/>
      <c r="B14" s="150"/>
      <c r="C14" s="150"/>
      <c r="D14" s="22" t="s">
        <v>30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305.03699999999998</v>
      </c>
      <c r="J14" s="15"/>
      <c r="L14" s="20">
        <f>1 - CUSTOS!$M$26</f>
        <v>1</v>
      </c>
      <c r="M14" s="20">
        <f>1 - CUSTOS!$M$26</f>
        <v>1</v>
      </c>
      <c r="N14" s="20">
        <f>1 - CUSTOS!$M$26</f>
        <v>1</v>
      </c>
      <c r="O14" s="20">
        <f>1 - CUSTOS!$M$26</f>
        <v>1</v>
      </c>
      <c r="P14" s="20">
        <f>1 - CUSTOS!$M$26</f>
        <v>1</v>
      </c>
      <c r="Q14" s="20"/>
      <c r="R14" s="20">
        <f>(1 - CUSTOS!$M$26)*1.06</f>
        <v>1.06</v>
      </c>
      <c r="S14" s="20"/>
      <c r="T14" s="20">
        <f>1 - CUSTOS!$M$26</f>
        <v>1</v>
      </c>
      <c r="U14" s="20">
        <f>1 - CUSTOS!$M$26</f>
        <v>1</v>
      </c>
      <c r="V14" s="20">
        <f>1 - CUSTOS!$M$26</f>
        <v>1</v>
      </c>
      <c r="W14" s="20"/>
      <c r="X14" s="20"/>
      <c r="Y14" s="20"/>
      <c r="Z14" s="20">
        <f>1 - CUSTOS!$M$26</f>
        <v>1</v>
      </c>
      <c r="AA14" s="20"/>
      <c r="AB14" s="20"/>
    </row>
    <row r="15" spans="1:28" ht="11.25" customHeight="1" x14ac:dyDescent="0.25">
      <c r="A15" s="150"/>
      <c r="B15" s="150"/>
      <c r="C15" s="150"/>
      <c r="D15" s="22" t="s">
        <v>31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109.482</v>
      </c>
      <c r="J15" s="15"/>
      <c r="L15" s="20">
        <f>1 - CUSTOS!$M$27</f>
        <v>1</v>
      </c>
      <c r="M15" s="20">
        <f>1 - CUSTOS!$M$27</f>
        <v>1</v>
      </c>
      <c r="N15" s="20">
        <f>1 - CUSTOS!$M$27</f>
        <v>1</v>
      </c>
      <c r="O15" s="20">
        <f>1 - CUSTOS!$M$27</f>
        <v>1</v>
      </c>
      <c r="P15" s="20">
        <f>1 - CUSTOS!$M$27</f>
        <v>1</v>
      </c>
      <c r="Q15" s="20"/>
      <c r="R15" s="20">
        <f>(1 - CUSTOS!$M$27)*1.06</f>
        <v>1.06</v>
      </c>
      <c r="S15" s="20"/>
      <c r="T15" s="20">
        <f>1 - CUSTOS!$M$27</f>
        <v>1</v>
      </c>
      <c r="U15" s="20">
        <f>1 - CUSTOS!$M$27</f>
        <v>1</v>
      </c>
      <c r="V15" s="20">
        <f>1 - CUSTOS!$M$27</f>
        <v>1</v>
      </c>
      <c r="W15" s="20"/>
      <c r="X15" s="20"/>
      <c r="Y15" s="20"/>
      <c r="Z15" s="20">
        <f>1 - CUSTOS!$M$27</f>
        <v>1</v>
      </c>
      <c r="AA15" s="20"/>
      <c r="AB15" s="20"/>
    </row>
    <row r="16" spans="1:28" ht="11.25" customHeight="1" x14ac:dyDescent="0.25">
      <c r="A16" s="150"/>
      <c r="B16" s="150" t="s">
        <v>83</v>
      </c>
      <c r="C16" s="150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/>
      <c r="R16" s="20">
        <v>1.06</v>
      </c>
      <c r="S16" s="20"/>
      <c r="T16" s="20">
        <v>1</v>
      </c>
      <c r="U16" s="20">
        <v>1</v>
      </c>
      <c r="V16" s="20">
        <v>1</v>
      </c>
      <c r="W16" s="20"/>
      <c r="X16" s="20"/>
      <c r="Y16" s="20"/>
      <c r="Z16" s="20">
        <v>1</v>
      </c>
      <c r="AA16" s="20"/>
      <c r="AB16" s="20"/>
    </row>
    <row r="17" spans="1:28" ht="11.25" customHeight="1" x14ac:dyDescent="0.25">
      <c r="A17" s="150"/>
      <c r="B17" s="150"/>
      <c r="C17" s="150"/>
      <c r="D17" s="22" t="s">
        <v>28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1 - CUSTOS!$M$24</f>
        <v>1</v>
      </c>
      <c r="M17" s="20">
        <f>1 - CUSTOS!$M$24</f>
        <v>1</v>
      </c>
      <c r="N17" s="20">
        <f>1 - CUSTOS!$M$24</f>
        <v>1</v>
      </c>
      <c r="O17" s="20">
        <f>1 - CUSTOS!$M$24</f>
        <v>1</v>
      </c>
      <c r="P17" s="20">
        <f>1 - CUSTOS!$M$24</f>
        <v>1</v>
      </c>
      <c r="Q17" s="20"/>
      <c r="R17" s="20">
        <f>(1 - CUSTOS!$M$24)*1.06</f>
        <v>1.06</v>
      </c>
      <c r="S17" s="20"/>
      <c r="T17" s="20">
        <f>1 - CUSTOS!$M$24</f>
        <v>1</v>
      </c>
      <c r="U17" s="20">
        <f>1 - CUSTOS!$M$24</f>
        <v>1</v>
      </c>
      <c r="V17" s="20">
        <f>1 - CUSTOS!$M$24</f>
        <v>1</v>
      </c>
      <c r="W17" s="20"/>
      <c r="X17" s="20"/>
      <c r="Y17" s="20"/>
      <c r="Z17" s="20">
        <f>1 - CUSTOS!$M$24</f>
        <v>1</v>
      </c>
      <c r="AA17" s="20"/>
      <c r="AB17" s="20"/>
    </row>
    <row r="18" spans="1:28" ht="11.25" customHeight="1" x14ac:dyDescent="0.25">
      <c r="A18" s="150"/>
      <c r="B18" s="150"/>
      <c r="C18" s="150"/>
      <c r="D18" s="22" t="s">
        <v>29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1 - CUSTOS!$M$25</f>
        <v>1</v>
      </c>
      <c r="M18" s="20">
        <f>1 - CUSTOS!$M$25</f>
        <v>1</v>
      </c>
      <c r="N18" s="20">
        <f>1 - CUSTOS!$M$25</f>
        <v>1</v>
      </c>
      <c r="O18" s="20">
        <f>1 - CUSTOS!$M$25</f>
        <v>1</v>
      </c>
      <c r="P18" s="20">
        <f>1 - CUSTOS!$M$25</f>
        <v>1</v>
      </c>
      <c r="Q18" s="20"/>
      <c r="R18" s="20">
        <f>(1 - CUSTOS!$M$25)*1.06</f>
        <v>1.06</v>
      </c>
      <c r="S18" s="20"/>
      <c r="T18" s="20">
        <f>1 - CUSTOS!$M$25</f>
        <v>1</v>
      </c>
      <c r="U18" s="20">
        <f>1 - CUSTOS!$M$25</f>
        <v>1</v>
      </c>
      <c r="V18" s="20">
        <f>1 - CUSTOS!$M$25</f>
        <v>1</v>
      </c>
      <c r="W18" s="20"/>
      <c r="X18" s="20"/>
      <c r="Y18" s="20"/>
      <c r="Z18" s="20">
        <f>1 - CUSTOS!$M$25</f>
        <v>1</v>
      </c>
      <c r="AA18" s="20"/>
      <c r="AB18" s="20"/>
    </row>
    <row r="19" spans="1:28" ht="11.25" customHeight="1" x14ac:dyDescent="0.25">
      <c r="A19" s="150"/>
      <c r="B19" s="150"/>
      <c r="C19" s="150"/>
      <c r="D19" s="22" t="s">
        <v>30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1 - CUSTOS!$M$26</f>
        <v>1</v>
      </c>
      <c r="M19" s="20">
        <f>1 - CUSTOS!$M$26</f>
        <v>1</v>
      </c>
      <c r="N19" s="20">
        <f>1 - CUSTOS!$M$26</f>
        <v>1</v>
      </c>
      <c r="O19" s="20">
        <f>1 - CUSTOS!$M$26</f>
        <v>1</v>
      </c>
      <c r="P19" s="20">
        <f>1 - CUSTOS!$M$26</f>
        <v>1</v>
      </c>
      <c r="Q19" s="20"/>
      <c r="R19" s="20">
        <f>(1 - CUSTOS!$M$26)*1.06</f>
        <v>1.06</v>
      </c>
      <c r="S19" s="20"/>
      <c r="T19" s="20">
        <f>1 - CUSTOS!$M$26</f>
        <v>1</v>
      </c>
      <c r="U19" s="20">
        <f>1 - CUSTOS!$M$26</f>
        <v>1</v>
      </c>
      <c r="V19" s="20">
        <f>1 - CUSTOS!$M$26</f>
        <v>1</v>
      </c>
      <c r="W19" s="20"/>
      <c r="X19" s="20"/>
      <c r="Y19" s="20"/>
      <c r="Z19" s="20">
        <f>1 - CUSTOS!$M$26</f>
        <v>1</v>
      </c>
      <c r="AA19" s="20"/>
      <c r="AB19" s="20"/>
    </row>
    <row r="20" spans="1:28" ht="11.25" customHeight="1" x14ac:dyDescent="0.25">
      <c r="A20" s="150"/>
      <c r="B20" s="150"/>
      <c r="C20" s="150"/>
      <c r="D20" s="22" t="s">
        <v>31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1 - CUSTOS!$M$27</f>
        <v>1</v>
      </c>
      <c r="M20" s="20">
        <f>1 - CUSTOS!$M$27</f>
        <v>1</v>
      </c>
      <c r="N20" s="20">
        <f>1 - CUSTOS!$M$27</f>
        <v>1</v>
      </c>
      <c r="O20" s="20">
        <f>1 - CUSTOS!$M$27</f>
        <v>1</v>
      </c>
      <c r="P20" s="20">
        <f>1 - CUSTOS!$M$27</f>
        <v>1</v>
      </c>
      <c r="Q20" s="20"/>
      <c r="R20" s="20">
        <f>(1 - CUSTOS!$M$27)*1.06</f>
        <v>1.06</v>
      </c>
      <c r="S20" s="20"/>
      <c r="T20" s="20">
        <f>1 - CUSTOS!$M$27</f>
        <v>1</v>
      </c>
      <c r="U20" s="20">
        <f>1 - CUSTOS!$M$27</f>
        <v>1</v>
      </c>
      <c r="V20" s="20">
        <f>1 - CUSTOS!$M$27</f>
        <v>1</v>
      </c>
      <c r="W20" s="20"/>
      <c r="X20" s="20"/>
      <c r="Y20" s="20"/>
      <c r="Z20" s="20">
        <f>1 - CUSTOS!$M$27</f>
        <v>1</v>
      </c>
      <c r="AA20" s="20"/>
      <c r="AB20" s="20"/>
    </row>
    <row r="21" spans="1:28" ht="11.25" customHeight="1" x14ac:dyDescent="0.25">
      <c r="A21" s="150" t="s">
        <v>41</v>
      </c>
      <c r="B21" s="150" t="s">
        <v>67</v>
      </c>
      <c r="C21" s="150" t="s">
        <v>42</v>
      </c>
      <c r="D21" s="150" t="s">
        <v>25</v>
      </c>
      <c r="E21" s="150" t="s">
        <v>25</v>
      </c>
      <c r="F21" s="150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CUSTOS!$M$28)*1.72</f>
        <v>1.72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25">
      <c r="A22" s="150"/>
      <c r="B22" s="150"/>
      <c r="C22" s="150"/>
      <c r="D22" s="150"/>
      <c r="E22" s="150"/>
      <c r="F22" s="150"/>
      <c r="G22" s="23" t="s">
        <v>82</v>
      </c>
      <c r="H22" s="23" t="s">
        <v>68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25">
      <c r="A23" s="150"/>
      <c r="B23" s="150"/>
      <c r="C23" s="150"/>
      <c r="D23" s="150"/>
      <c r="E23" s="150"/>
      <c r="F23" s="150"/>
      <c r="G23" s="23" t="s">
        <v>70</v>
      </c>
      <c r="H23" s="23" t="s">
        <v>68</v>
      </c>
      <c r="I23" s="23">
        <f>'MERCADO TE'!$U$20</f>
        <v>0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150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11.840000000000002</v>
      </c>
      <c r="J24" s="15"/>
      <c r="L24" s="20">
        <f>1 - CUSTOS!$M$28</f>
        <v>1</v>
      </c>
      <c r="M24" s="20">
        <f>1 - CUSTOS!$M$28</f>
        <v>1</v>
      </c>
      <c r="N24" s="20">
        <f>1 - CUSTOS!$M$28</f>
        <v>1</v>
      </c>
      <c r="O24" s="20">
        <f>1 - CUSTOS!$M$28</f>
        <v>1</v>
      </c>
      <c r="P24" s="20">
        <f>1 - CUSTOS!$M$28</f>
        <v>1</v>
      </c>
      <c r="Q24" s="20"/>
      <c r="R24" s="20">
        <f>(1 - CUSTOS!$M$28)*1.06</f>
        <v>1.06</v>
      </c>
      <c r="S24" s="20"/>
      <c r="T24" s="20">
        <f>1 - CUSTOS!$M$28</f>
        <v>1</v>
      </c>
      <c r="U24" s="20">
        <f>1 - CUSTOS!$M$28</f>
        <v>1</v>
      </c>
      <c r="V24" s="20">
        <f>1 - CUSTOS!$M$28</f>
        <v>1</v>
      </c>
      <c r="W24" s="20"/>
      <c r="X24" s="20"/>
      <c r="Y24" s="20"/>
      <c r="Z24" s="20">
        <f>1 - CUSTOS!$M$28</f>
        <v>1</v>
      </c>
      <c r="AA24" s="20"/>
      <c r="AB24" s="20"/>
    </row>
    <row r="25" spans="1:28" ht="11.25" customHeight="1" x14ac:dyDescent="0.25">
      <c r="A25" s="150"/>
      <c r="B25" s="150" t="s">
        <v>67</v>
      </c>
      <c r="C25" s="150" t="s">
        <v>42</v>
      </c>
      <c r="D25" s="150" t="s">
        <v>85</v>
      </c>
      <c r="E25" s="150" t="s">
        <v>25</v>
      </c>
      <c r="F25" s="150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CUSTOS!$M$29)*1.72</f>
        <v>1.72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25">
      <c r="A26" s="150"/>
      <c r="B26" s="150"/>
      <c r="C26" s="150"/>
      <c r="D26" s="150"/>
      <c r="E26" s="150"/>
      <c r="F26" s="150"/>
      <c r="G26" s="23" t="s">
        <v>82</v>
      </c>
      <c r="H26" s="23" t="s">
        <v>68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25">
      <c r="A27" s="150"/>
      <c r="B27" s="150"/>
      <c r="C27" s="150"/>
      <c r="D27" s="150"/>
      <c r="E27" s="150"/>
      <c r="F27" s="150"/>
      <c r="G27" s="23" t="s">
        <v>70</v>
      </c>
      <c r="H27" s="23" t="s">
        <v>68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150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1 - CUSTOS!$M$29</f>
        <v>1</v>
      </c>
      <c r="M28" s="20">
        <f>1 - CUSTOS!$M$29</f>
        <v>1</v>
      </c>
      <c r="N28" s="20">
        <f>1 - CUSTOS!$M$29</f>
        <v>1</v>
      </c>
      <c r="O28" s="20">
        <f>1 - CUSTOS!$M$29</f>
        <v>1</v>
      </c>
      <c r="P28" s="20">
        <f>1 - CUSTOS!$M$29</f>
        <v>1</v>
      </c>
      <c r="Q28" s="20"/>
      <c r="R28" s="20">
        <f>(1 - CUSTOS!$M$29)*1.06</f>
        <v>1.06</v>
      </c>
      <c r="S28" s="20"/>
      <c r="T28" s="20">
        <f>1 - CUSTOS!$M$29</f>
        <v>1</v>
      </c>
      <c r="U28" s="20">
        <f>1 - CUSTOS!$M$29</f>
        <v>1</v>
      </c>
      <c r="V28" s="20">
        <f>1 - CUSTOS!$M$29</f>
        <v>1</v>
      </c>
      <c r="W28" s="20"/>
      <c r="X28" s="20"/>
      <c r="Y28" s="20"/>
      <c r="Z28" s="20">
        <f>1 - CUSTOS!$M$29</f>
        <v>1</v>
      </c>
      <c r="AA28" s="20"/>
      <c r="AB28" s="20"/>
    </row>
    <row r="29" spans="1:28" ht="11.25" customHeight="1" x14ac:dyDescent="0.25">
      <c r="A29" s="150"/>
      <c r="B29" s="150" t="s">
        <v>67</v>
      </c>
      <c r="C29" s="150" t="s">
        <v>42</v>
      </c>
      <c r="D29" s="150" t="s">
        <v>86</v>
      </c>
      <c r="E29" s="150" t="s">
        <v>25</v>
      </c>
      <c r="F29" s="150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CUSTOS!$M$30)*1.72</f>
        <v>1.72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25">
      <c r="A30" s="150"/>
      <c r="B30" s="150"/>
      <c r="C30" s="150"/>
      <c r="D30" s="150"/>
      <c r="E30" s="150"/>
      <c r="F30" s="150"/>
      <c r="G30" s="23" t="s">
        <v>82</v>
      </c>
      <c r="H30" s="23" t="s">
        <v>68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25">
      <c r="A31" s="150"/>
      <c r="B31" s="150"/>
      <c r="C31" s="150"/>
      <c r="D31" s="150"/>
      <c r="E31" s="150"/>
      <c r="F31" s="150"/>
      <c r="G31" s="23" t="s">
        <v>70</v>
      </c>
      <c r="H31" s="23" t="s">
        <v>68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150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1 - CUSTOS!$M$30</f>
        <v>1</v>
      </c>
      <c r="M32" s="20">
        <f>1 - CUSTOS!$M$30</f>
        <v>1</v>
      </c>
      <c r="N32" s="20">
        <f>1 - CUSTOS!$M$30</f>
        <v>1</v>
      </c>
      <c r="O32" s="20">
        <f>1 - CUSTOS!$M$30</f>
        <v>1</v>
      </c>
      <c r="P32" s="20">
        <f>1 - CUSTOS!$M$30</f>
        <v>1</v>
      </c>
      <c r="Q32" s="20"/>
      <c r="R32" s="20">
        <f>(1 - CUSTOS!$M$30)*1.06</f>
        <v>1.06</v>
      </c>
      <c r="S32" s="20"/>
      <c r="T32" s="20">
        <f>1 - CUSTOS!$M$30</f>
        <v>1</v>
      </c>
      <c r="U32" s="20">
        <f>1 - CUSTOS!$M$30</f>
        <v>1</v>
      </c>
      <c r="V32" s="20">
        <f>1 - CUSTOS!$M$30</f>
        <v>1</v>
      </c>
      <c r="W32" s="20"/>
      <c r="X32" s="20"/>
      <c r="Y32" s="20"/>
      <c r="Z32" s="20">
        <f>1 - CUSTOS!$M$30</f>
        <v>1</v>
      </c>
      <c r="AA32" s="20"/>
      <c r="AB32" s="20"/>
    </row>
    <row r="33" spans="1:28" ht="11.25" customHeight="1" x14ac:dyDescent="0.25">
      <c r="A33" s="150"/>
      <c r="B33" s="150" t="s">
        <v>83</v>
      </c>
      <c r="C33" s="150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1 - CUSTOS!$M$28</f>
        <v>1</v>
      </c>
      <c r="M33" s="20">
        <f>1 - CUSTOS!$M$28</f>
        <v>1</v>
      </c>
      <c r="N33" s="20">
        <f>1 - CUSTOS!$M$28</f>
        <v>1</v>
      </c>
      <c r="O33" s="20">
        <f>1 - CUSTOS!$M$28</f>
        <v>1</v>
      </c>
      <c r="P33" s="20">
        <f>1 - CUSTOS!$M$28</f>
        <v>1</v>
      </c>
      <c r="Q33" s="20"/>
      <c r="R33" s="20">
        <f>(1 - CUSTOS!$M$28)*1.06</f>
        <v>1.06</v>
      </c>
      <c r="S33" s="20"/>
      <c r="T33" s="20">
        <f>1 - CUSTOS!$M$28</f>
        <v>1</v>
      </c>
      <c r="U33" s="20">
        <f>1 - CUSTOS!$M$28</f>
        <v>1</v>
      </c>
      <c r="V33" s="20">
        <f>1 - CUSTOS!$M$28</f>
        <v>1</v>
      </c>
      <c r="W33" s="20"/>
      <c r="X33" s="20"/>
      <c r="Y33" s="20"/>
      <c r="Z33" s="20">
        <f>1 - CUSTOS!$M$28</f>
        <v>1</v>
      </c>
      <c r="AA33" s="20"/>
      <c r="AB33" s="20"/>
    </row>
    <row r="34" spans="1:28" ht="11.25" customHeight="1" x14ac:dyDescent="0.25">
      <c r="A34" s="150"/>
      <c r="B34" s="150"/>
      <c r="C34" s="150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1 - CUSTOS!$M$29</f>
        <v>1</v>
      </c>
      <c r="M34" s="20">
        <f>1 - CUSTOS!$M$29</f>
        <v>1</v>
      </c>
      <c r="N34" s="20">
        <f>1 - CUSTOS!$M$29</f>
        <v>1</v>
      </c>
      <c r="O34" s="20">
        <f>1 - CUSTOS!$M$29</f>
        <v>1</v>
      </c>
      <c r="P34" s="20">
        <f>1 - CUSTOS!$M$29</f>
        <v>1</v>
      </c>
      <c r="Q34" s="20"/>
      <c r="R34" s="20">
        <f>(1 - CUSTOS!$M$29)*1.06</f>
        <v>1.06</v>
      </c>
      <c r="S34" s="20"/>
      <c r="T34" s="20">
        <f>1 - CUSTOS!$M$29</f>
        <v>1</v>
      </c>
      <c r="U34" s="20">
        <f>1 - CUSTOS!$M$29</f>
        <v>1</v>
      </c>
      <c r="V34" s="20">
        <f>1 - CUSTOS!$M$29</f>
        <v>1</v>
      </c>
      <c r="W34" s="20"/>
      <c r="X34" s="20"/>
      <c r="Y34" s="20"/>
      <c r="Z34" s="20">
        <f>1 - CUSTOS!$M$29</f>
        <v>1</v>
      </c>
      <c r="AA34" s="20"/>
      <c r="AB34" s="20"/>
    </row>
    <row r="35" spans="1:28" ht="11.25" customHeight="1" x14ac:dyDescent="0.25">
      <c r="A35" s="150"/>
      <c r="B35" s="150"/>
      <c r="C35" s="150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1 - CUSTOS!$M$30</f>
        <v>1</v>
      </c>
      <c r="M35" s="20">
        <f>1 - CUSTOS!$M$30</f>
        <v>1</v>
      </c>
      <c r="N35" s="20">
        <f>1 - CUSTOS!$M$30</f>
        <v>1</v>
      </c>
      <c r="O35" s="20">
        <f>1 - CUSTOS!$M$30</f>
        <v>1</v>
      </c>
      <c r="P35" s="20">
        <f>1 - CUSTOS!$M$30</f>
        <v>1</v>
      </c>
      <c r="Q35" s="20"/>
      <c r="R35" s="20">
        <f>(1 - CUSTOS!$M$30)*1.06</f>
        <v>1.06</v>
      </c>
      <c r="S35" s="20"/>
      <c r="T35" s="20">
        <f>1 - CUSTOS!$M$30</f>
        <v>1</v>
      </c>
      <c r="U35" s="20">
        <f>1 - CUSTOS!$M$30</f>
        <v>1</v>
      </c>
      <c r="V35" s="20">
        <f>1 - CUSTOS!$M$30</f>
        <v>1</v>
      </c>
      <c r="W35" s="20"/>
      <c r="X35" s="20"/>
      <c r="Y35" s="20"/>
      <c r="Z35" s="20">
        <f>1 - CUSTOS!$M$30</f>
        <v>1</v>
      </c>
      <c r="AA35" s="20"/>
      <c r="AB35" s="20"/>
    </row>
    <row r="36" spans="1:28" ht="11.25" customHeight="1" x14ac:dyDescent="0.25">
      <c r="A36" s="150" t="s">
        <v>32</v>
      </c>
      <c r="B36" s="150" t="s">
        <v>67</v>
      </c>
      <c r="C36" s="150" t="s">
        <v>25</v>
      </c>
      <c r="D36" s="150" t="s">
        <v>25</v>
      </c>
      <c r="E36" s="150" t="s">
        <v>25</v>
      </c>
      <c r="F36" s="150" t="s">
        <v>25</v>
      </c>
      <c r="G36" s="23" t="s">
        <v>69</v>
      </c>
      <c r="H36" s="23" t="s">
        <v>68</v>
      </c>
      <c r="I36" s="23">
        <f>'MERCADO TE'!$U$33</f>
        <v>8.897000000000002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CUSTOS!$M$31)*1.72</f>
        <v>1.72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25">
      <c r="A37" s="150"/>
      <c r="B37" s="150"/>
      <c r="C37" s="150"/>
      <c r="D37" s="150"/>
      <c r="E37" s="150"/>
      <c r="F37" s="150"/>
      <c r="G37" s="23" t="s">
        <v>82</v>
      </c>
      <c r="H37" s="23" t="s">
        <v>68</v>
      </c>
      <c r="I37" s="23">
        <f>'MERCADO TE'!$U$34</f>
        <v>7.0329999999999995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25">
      <c r="A38" s="150"/>
      <c r="B38" s="150"/>
      <c r="C38" s="150"/>
      <c r="D38" s="150"/>
      <c r="E38" s="150"/>
      <c r="F38" s="150"/>
      <c r="G38" s="23" t="s">
        <v>70</v>
      </c>
      <c r="H38" s="23" t="s">
        <v>68</v>
      </c>
      <c r="I38" s="23">
        <f>'MERCADO TE'!$U$35</f>
        <v>183.905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150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4632.741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CUSTOS!$M$31)*1.06</f>
        <v>1.06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150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1 - CUSTOS!$M$31</f>
        <v>1</v>
      </c>
      <c r="M40" s="20">
        <f>1 - CUSTOS!$M$31</f>
        <v>1</v>
      </c>
      <c r="N40" s="20">
        <f>1 - CUSTOS!$M$31</f>
        <v>1</v>
      </c>
      <c r="O40" s="20">
        <f>1 - CUSTOS!$M$31</f>
        <v>1</v>
      </c>
      <c r="P40" s="20">
        <f>1 - CUSTOS!$M$31</f>
        <v>1</v>
      </c>
      <c r="Q40" s="20"/>
      <c r="R40" s="20">
        <f>(1 - CUSTOS!$M$31)*1.06</f>
        <v>1.06</v>
      </c>
      <c r="S40" s="20"/>
      <c r="T40" s="20">
        <f>1 - CUSTOS!$M$31</f>
        <v>1</v>
      </c>
      <c r="U40" s="20">
        <f>1 - CUSTOS!$M$31</f>
        <v>1</v>
      </c>
      <c r="V40" s="20">
        <f>1 - CUSTOS!$M$31</f>
        <v>1</v>
      </c>
      <c r="W40" s="20"/>
      <c r="X40" s="20"/>
      <c r="Y40" s="20"/>
      <c r="Z40" s="20">
        <f>1 - CUSTOS!$M$31</f>
        <v>1</v>
      </c>
      <c r="AA40" s="20"/>
      <c r="AB40" s="20"/>
    </row>
    <row r="41" spans="1:28" ht="11.25" customHeight="1" x14ac:dyDescent="0.25">
      <c r="A41" s="150" t="s">
        <v>44</v>
      </c>
      <c r="B41" s="150" t="s">
        <v>71</v>
      </c>
      <c r="C41" s="150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356.69600000000003</v>
      </c>
      <c r="J41" s="15"/>
      <c r="L41" s="20">
        <f>1 - CUSTOS!$M$32</f>
        <v>0.55000000000000004</v>
      </c>
      <c r="M41" s="20">
        <f>1 - CUSTOS!$M$32</f>
        <v>0.55000000000000004</v>
      </c>
      <c r="N41" s="20">
        <f>1 - CUSTOS!$M$32</f>
        <v>0.55000000000000004</v>
      </c>
      <c r="O41" s="20">
        <f>1 - CUSTOS!$M$32</f>
        <v>0.55000000000000004</v>
      </c>
      <c r="P41" s="20">
        <f>1 - CUSTOS!$M$32</f>
        <v>0.55000000000000004</v>
      </c>
      <c r="Q41" s="20"/>
      <c r="R41" s="20">
        <f>(1 - CUSTOS!$M$32)*1.06</f>
        <v>0.58300000000000007</v>
      </c>
      <c r="S41" s="20"/>
      <c r="T41" s="20">
        <f>1 - CUSTOS!$M$32</f>
        <v>0.55000000000000004</v>
      </c>
      <c r="U41" s="20">
        <f>1 - CUSTOS!$M$32</f>
        <v>0.55000000000000004</v>
      </c>
      <c r="V41" s="20">
        <f>1 - CUSTOS!$M$32</f>
        <v>0.55000000000000004</v>
      </c>
      <c r="W41" s="20"/>
      <c r="X41" s="20"/>
      <c r="Y41" s="20"/>
      <c r="Z41" s="20">
        <f>1 - CUSTOS!$M$32</f>
        <v>0.55000000000000004</v>
      </c>
      <c r="AA41" s="20"/>
      <c r="AB41" s="20"/>
    </row>
    <row r="42" spans="1:28" ht="11.25" customHeight="1" x14ac:dyDescent="0.25">
      <c r="A42" s="150"/>
      <c r="B42" s="150"/>
      <c r="C42" s="150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1 - CUSTOS!$M$33</f>
        <v>0.6</v>
      </c>
      <c r="M42" s="20">
        <f>1 - CUSTOS!$M$33</f>
        <v>0.6</v>
      </c>
      <c r="N42" s="20">
        <f>1 - CUSTOS!$M$33</f>
        <v>0.6</v>
      </c>
      <c r="O42" s="20">
        <f>1 - CUSTOS!$M$33</f>
        <v>0.6</v>
      </c>
      <c r="P42" s="20">
        <f>1 - CUSTOS!$M$33</f>
        <v>0.6</v>
      </c>
      <c r="Q42" s="20"/>
      <c r="R42" s="20">
        <f>(1 - CUSTOS!$M$33)*1.06</f>
        <v>0.63600000000000001</v>
      </c>
      <c r="S42" s="20"/>
      <c r="T42" s="20">
        <f>1 - CUSTOS!$M$33</f>
        <v>0.6</v>
      </c>
      <c r="U42" s="20">
        <f>1 - CUSTOS!$M$33</f>
        <v>0.6</v>
      </c>
      <c r="V42" s="20">
        <f>1 - CUSTOS!$M$33</f>
        <v>0.6</v>
      </c>
      <c r="W42" s="20"/>
      <c r="X42" s="20"/>
      <c r="Y42" s="20"/>
      <c r="Z42" s="20">
        <f>1 - CUSTOS!$M$33</f>
        <v>0.6</v>
      </c>
      <c r="AA42" s="20"/>
      <c r="AB42" s="20"/>
    </row>
    <row r="44" spans="1:28" ht="11.25" customHeight="1" x14ac:dyDescent="0.25">
      <c r="K44" s="25" t="s">
        <v>542</v>
      </c>
      <c r="L44" s="20">
        <f t="shared" ref="L44:AB44" si="0">SUMPRODUCT($I$5:$I$42,L$5:L$42)</f>
        <v>14832.829800000001</v>
      </c>
      <c r="M44" s="20">
        <f t="shared" si="0"/>
        <v>14832.829800000001</v>
      </c>
      <c r="N44" s="20">
        <f t="shared" si="0"/>
        <v>14832.829800000001</v>
      </c>
      <c r="O44" s="20">
        <f t="shared" si="0"/>
        <v>14832.829800000001</v>
      </c>
      <c r="P44" s="20">
        <f t="shared" si="0"/>
        <v>14832.829800000001</v>
      </c>
      <c r="Q44" s="20">
        <f t="shared" si="0"/>
        <v>0</v>
      </c>
      <c r="R44" s="20">
        <f t="shared" si="0"/>
        <v>15641.035307999999</v>
      </c>
      <c r="S44" s="20">
        <f t="shared" si="0"/>
        <v>0</v>
      </c>
      <c r="T44" s="20">
        <f t="shared" si="0"/>
        <v>14832.829800000001</v>
      </c>
      <c r="U44" s="20">
        <f t="shared" si="0"/>
        <v>14832.829800000001</v>
      </c>
      <c r="V44" s="20">
        <f t="shared" si="0"/>
        <v>14832.829800000001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14832.829800000001</v>
      </c>
      <c r="AA44" s="20">
        <f t="shared" si="0"/>
        <v>0</v>
      </c>
      <c r="AB44" s="20">
        <f t="shared" si="0"/>
        <v>0</v>
      </c>
    </row>
    <row r="45" spans="1:28" ht="11.25" customHeight="1" x14ac:dyDescent="0.25">
      <c r="K45" s="25" t="s">
        <v>461</v>
      </c>
      <c r="L45" s="20">
        <f>CUSTOS!$D$30</f>
        <v>42091.705015032829</v>
      </c>
      <c r="M45" s="20">
        <f>CUSTOS!$D$31</f>
        <v>0</v>
      </c>
      <c r="N45" s="20">
        <f>CUSTOS!$D$32</f>
        <v>0</v>
      </c>
      <c r="O45" s="20">
        <f>CUSTOS!$D$33</f>
        <v>1.0000000000000001E-9</v>
      </c>
      <c r="P45" s="20">
        <f>CUSTOS!$D$34</f>
        <v>0</v>
      </c>
      <c r="Q45" s="20">
        <f>CUSTOS!$D$35</f>
        <v>42091.705015033825</v>
      </c>
      <c r="R45" s="20">
        <f>CUSTOS!$D$36</f>
        <v>4175116.283213472</v>
      </c>
      <c r="S45" s="20">
        <f>CUSTOS!$D$37</f>
        <v>4175116.283213472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4217207.9882285055</v>
      </c>
    </row>
    <row r="46" spans="1:28" ht="11.25" customHeight="1" x14ac:dyDescent="0.25">
      <c r="K46" s="25" t="s">
        <v>462</v>
      </c>
      <c r="L46" s="20">
        <f>CUSTOS!$E$30</f>
        <v>2.2651100147363584E-2</v>
      </c>
      <c r="M46" s="20">
        <f>CUSTOS!$E$31</f>
        <v>0</v>
      </c>
      <c r="N46" s="20">
        <f>CUSTOS!$E$32</f>
        <v>0</v>
      </c>
      <c r="O46" s="20">
        <f>CUSTOS!$E$33</f>
        <v>-147.27501618570966</v>
      </c>
      <c r="P46" s="20">
        <f>CUSTOS!$E$34</f>
        <v>0</v>
      </c>
      <c r="Q46" s="20">
        <f>CUSTOS!$E$35</f>
        <v>-147.2523650855623</v>
      </c>
      <c r="R46" s="20">
        <f>CUSTOS!$E$36</f>
        <v>114967.26282738737</v>
      </c>
      <c r="S46" s="20">
        <f>CUSTOS!$E$37</f>
        <v>114967.26282738737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114820.01046230181</v>
      </c>
    </row>
    <row r="47" spans="1:28" ht="11.25" customHeight="1" x14ac:dyDescent="0.25">
      <c r="K47" s="25" t="s">
        <v>463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-44840.210847179369</v>
      </c>
      <c r="S47" s="20">
        <f>CUSTOS!$F$37</f>
        <v>-44840.210847179369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-44840.210847179369</v>
      </c>
    </row>
    <row r="48" spans="1:28" ht="11.25" customHeight="1" x14ac:dyDescent="0.25">
      <c r="K48" s="25" t="s">
        <v>543</v>
      </c>
      <c r="L48" s="20">
        <f>IF(SUMPRODUCT($I$5:$I$42,$L$5:$L$42)&lt;&gt;0,L45/SUMPRODUCT($I$5:$I$42,$L$5:$L$42),0)</f>
        <v>2.8377393648131002</v>
      </c>
      <c r="M48" s="20">
        <f>IF(SUMPRODUCT($I$5:$I$42,$M$5:$M$42)&lt;&gt;0,M45/SUMPRODUCT($I$5:$I$42,$M$5:$M$42),0)</f>
        <v>0</v>
      </c>
      <c r="N48" s="20">
        <f>IF(SUMPRODUCT($I$5:$I$42,$N$5:$N$42)&lt;&gt;0,N45/SUMPRODUCT($I$5:$I$42,$N$5:$N$42),0)</f>
        <v>0</v>
      </c>
      <c r="O48" s="20">
        <f>IF(SUMPRODUCT($I$5:$I$42,$O$5:$O$42)&lt;&gt;0,O45/SUMPRODUCT($I$5:$I$42,$O$5:$O$42),0)</f>
        <v>6.7418018913693734E-14</v>
      </c>
      <c r="P48" s="20">
        <f>IF(SUMPRODUCT($I$5:$I$42,$P$5:$P$42)&lt;&gt;0,P45/SUMPRODUCT($I$5:$I$42,$P$5:$P$42),0)</f>
        <v>0</v>
      </c>
      <c r="Q48" s="20"/>
      <c r="R48" s="20">
        <f>IF((CUSTOS!$M$12-CUSTOS!$M$13)&lt;&gt;0,(CUSTOS!$M$12*CUSTOS!$M$14)/(CUSTOS!$M$12-CUSTOS!$M$13),0)</f>
        <v>284.99</v>
      </c>
      <c r="S48" s="20"/>
      <c r="T48" s="20">
        <f>IF(SUMPRODUCT($I$5:$I$42,$T$5:$T$42)&lt;&gt;0,T45/SUMPRODUCT($I$5:$I$42,$T$5:$T$42),0)</f>
        <v>0</v>
      </c>
      <c r="U48" s="20">
        <f>IF(SUMPRODUCT($I$5:$I$42,$U$5:$U$42)&lt;&gt;0,U45/SUMPRODUCT($I$5:$I$42,$U$5:$U$42),0)</f>
        <v>0</v>
      </c>
      <c r="V48" s="20">
        <f>IF(SUMPRODUCT($I$5:$I$42,$V$5:$V$42)&lt;&gt;0,V45/SUMPRODUCT($I$5:$I$42,$V$5:$V$42),0)</f>
        <v>0</v>
      </c>
      <c r="W48" s="20"/>
      <c r="X48" s="20">
        <f>IF(SUMPRODUCT($I$5:$I$42,$X$5:$X$42)&lt;&gt;0,X45/SUMPRODUCT($I$5:$I$42,$X$5:$X$42),0)</f>
        <v>0</v>
      </c>
      <c r="Y48" s="20"/>
      <c r="Z48" s="20">
        <f>IF(SUMPRODUCT($I$5:$I$42,$Z$5:$Z$42)&lt;&gt;0,Z45/SUMPRODUCT($I$5:$I$42,$Z$5:$Z$42),0)</f>
        <v>0</v>
      </c>
      <c r="AA48" s="20"/>
      <c r="AB48" s="20"/>
    </row>
    <row r="49" spans="11:28" ht="11.25" customHeight="1" x14ac:dyDescent="0.25">
      <c r="K49" s="25" t="s">
        <v>544</v>
      </c>
      <c r="L49" s="20">
        <f>IF(L44&lt;&gt;0,(L45-L48*0)/(L44-0),0)</f>
        <v>2.8377393648131002</v>
      </c>
      <c r="M49" s="20">
        <f>IF(M44&lt;&gt;0,(M45-M48*0)/(M44-0),0)</f>
        <v>0</v>
      </c>
      <c r="N49" s="20">
        <f>IF(N44&lt;&gt;0,(N45-N48*0)/(N44-0),0)</f>
        <v>0</v>
      </c>
      <c r="O49" s="20">
        <f>IF(O44&lt;&gt;0,(O45-O48*0)/(O44-0),0)</f>
        <v>6.7418018913693734E-14</v>
      </c>
      <c r="P49" s="20">
        <f>IF(P44&lt;&gt;0,(P45-P48*0)/(P44-0),0)</f>
        <v>0</v>
      </c>
      <c r="Q49" s="20"/>
      <c r="R49" s="20">
        <f>IF(R44&lt;&gt;0,(R45-R48*0)/(R44-0),0)</f>
        <v>266.93349902982476</v>
      </c>
      <c r="S49" s="20"/>
      <c r="T49" s="20">
        <f>IF(T44&lt;&gt;0,(T45-T48*0)/(T44-0),0)</f>
        <v>0</v>
      </c>
      <c r="U49" s="20">
        <f>IF(U44&lt;&gt;0,(U45-U48*0)/(U44-0),0)</f>
        <v>0</v>
      </c>
      <c r="V49" s="20">
        <f>IF(V44&lt;&gt;0,(V45-V48*0)/(V44-0),0)</f>
        <v>0</v>
      </c>
      <c r="W49" s="20"/>
      <c r="X49" s="20">
        <f>IF(X44&lt;&gt;0,(X45-X48*0)/(X44-0),0)</f>
        <v>0</v>
      </c>
      <c r="Y49" s="20"/>
      <c r="Z49" s="20">
        <f>IF(Z44&lt;&gt;0,(Z45-Z48*0)/(Z44-0),0)</f>
        <v>0</v>
      </c>
      <c r="AA49" s="20"/>
      <c r="AB49" s="20"/>
    </row>
    <row r="50" spans="11:28" ht="11.25" customHeight="1" x14ac:dyDescent="0.25">
      <c r="K50" s="25" t="s">
        <v>545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F5:F6"/>
    <mergeCell ref="A5:A7"/>
    <mergeCell ref="B5:B6"/>
    <mergeCell ref="C5:C6"/>
    <mergeCell ref="D5:D6"/>
    <mergeCell ref="E5:E6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F1:F4"/>
    <mergeCell ref="E36:E38"/>
    <mergeCell ref="F36:F38"/>
    <mergeCell ref="A41:A42"/>
    <mergeCell ref="B41:B42"/>
    <mergeCell ref="C41:C42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FA9D-31AB-457E-A0E0-E73FE5A55F50}">
  <sheetPr codeName="Planilha14"/>
  <dimension ref="A1:AB50"/>
  <sheetViews>
    <sheetView showGridLines="0" topLeftCell="Q31" workbookViewId="0">
      <selection activeCell="AB44" sqref="AB44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49" t="s">
        <v>58</v>
      </c>
      <c r="B1" s="149" t="s">
        <v>59</v>
      </c>
      <c r="C1" s="149" t="s">
        <v>60</v>
      </c>
      <c r="D1" s="149" t="s">
        <v>61</v>
      </c>
      <c r="E1" s="149" t="s">
        <v>62</v>
      </c>
      <c r="F1" s="149" t="s">
        <v>15</v>
      </c>
      <c r="G1" s="149" t="s">
        <v>64</v>
      </c>
      <c r="H1" s="149" t="s">
        <v>65</v>
      </c>
      <c r="I1" s="149" t="s">
        <v>520</v>
      </c>
      <c r="J1" s="128"/>
      <c r="L1" s="147" t="s">
        <v>546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</row>
    <row r="2" spans="1:28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28"/>
      <c r="L2" s="147" t="s">
        <v>447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</row>
    <row r="3" spans="1:28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28"/>
      <c r="L3" s="147" t="s">
        <v>420</v>
      </c>
      <c r="M3" s="147"/>
      <c r="N3" s="147"/>
      <c r="O3" s="147"/>
      <c r="P3" s="147"/>
      <c r="Q3" s="147"/>
      <c r="R3" s="147" t="s">
        <v>451</v>
      </c>
      <c r="S3" s="147"/>
      <c r="T3" s="147" t="s">
        <v>429</v>
      </c>
      <c r="U3" s="147"/>
      <c r="V3" s="147"/>
      <c r="W3" s="147"/>
      <c r="X3" s="147" t="s">
        <v>439</v>
      </c>
      <c r="Y3" s="147"/>
      <c r="Z3" s="147" t="s">
        <v>442</v>
      </c>
      <c r="AA3" s="147"/>
      <c r="AB3" s="147" t="s">
        <v>428</v>
      </c>
    </row>
    <row r="4" spans="1:28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28"/>
      <c r="L4" s="24" t="s">
        <v>422</v>
      </c>
      <c r="M4" s="24" t="s">
        <v>448</v>
      </c>
      <c r="N4" s="24" t="s">
        <v>449</v>
      </c>
      <c r="O4" s="24" t="s">
        <v>508</v>
      </c>
      <c r="P4" s="24" t="s">
        <v>450</v>
      </c>
      <c r="Q4" s="24" t="s">
        <v>428</v>
      </c>
      <c r="R4" s="24" t="s">
        <v>452</v>
      </c>
      <c r="S4" s="24" t="s">
        <v>428</v>
      </c>
      <c r="T4" s="24" t="s">
        <v>453</v>
      </c>
      <c r="U4" s="24" t="s">
        <v>454</v>
      </c>
      <c r="V4" s="24" t="s">
        <v>455</v>
      </c>
      <c r="W4" s="24" t="s">
        <v>428</v>
      </c>
      <c r="X4" s="24" t="s">
        <v>440</v>
      </c>
      <c r="Y4" s="24" t="s">
        <v>428</v>
      </c>
      <c r="Z4" s="24" t="s">
        <v>456</v>
      </c>
      <c r="AA4" s="24" t="s">
        <v>428</v>
      </c>
      <c r="AB4" s="148"/>
    </row>
    <row r="5" spans="1:28" ht="11.25" customHeight="1" x14ac:dyDescent="0.25">
      <c r="A5" s="150" t="s">
        <v>34</v>
      </c>
      <c r="B5" s="150" t="s">
        <v>67</v>
      </c>
      <c r="C5" s="150" t="s">
        <v>25</v>
      </c>
      <c r="D5" s="150" t="s">
        <v>25</v>
      </c>
      <c r="E5" s="150" t="s">
        <v>25</v>
      </c>
      <c r="F5" s="150" t="s">
        <v>25</v>
      </c>
      <c r="G5" s="23" t="s">
        <v>69</v>
      </c>
      <c r="H5" s="23" t="s">
        <v>68</v>
      </c>
      <c r="I5" s="23">
        <f>'MERCADO TE'!$U$2</f>
        <v>86.265000000000001</v>
      </c>
      <c r="J5" s="15"/>
      <c r="L5" s="20">
        <f>'TR TE'!$L$5*'TR TE'!$L$49</f>
        <v>2.8377393648131002</v>
      </c>
      <c r="M5" s="20">
        <f>'TR TE'!$M$5*'TR TE'!$M$49</f>
        <v>0</v>
      </c>
      <c r="N5" s="20">
        <f>'TR TE'!$N$5*'TR TE'!$N$49</f>
        <v>0</v>
      </c>
      <c r="O5" s="20">
        <f>'TR TE'!$O$5*'TR TE'!$O$49</f>
        <v>6.7418018913693734E-14</v>
      </c>
      <c r="P5" s="20">
        <f>'TR TE'!$P$5*'TR TE'!$P$49</f>
        <v>0</v>
      </c>
      <c r="Q5" s="20">
        <f>SUM($L$5:$P$5)</f>
        <v>2.8377393648131677</v>
      </c>
      <c r="R5" s="20">
        <f>'TR TE'!$R$5*'TR TE'!$R$49</f>
        <v>459.1256183312986</v>
      </c>
      <c r="S5" s="20">
        <f>SUM($R$5:$R$5)</f>
        <v>459.1256183312986</v>
      </c>
      <c r="T5" s="20">
        <f>'TR TE'!$T$5*'TR TE'!$T$49</f>
        <v>0</v>
      </c>
      <c r="U5" s="20">
        <f>'TR TE'!$U$5*'TR TE'!$U$49</f>
        <v>0</v>
      </c>
      <c r="V5" s="20">
        <f>'TR TE'!$V$5*'TR TE'!$V$49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TE'!$Z$49</f>
        <v>0</v>
      </c>
      <c r="AA5" s="20">
        <f>SUM($Z$5:$Z$5)</f>
        <v>0</v>
      </c>
      <c r="AB5" s="20">
        <f>SUMIF($L$4:$AA$4,"SUBTOTAL",$L$5:$AA$5)</f>
        <v>461.96335769611176</v>
      </c>
    </row>
    <row r="6" spans="1:28" ht="11.25" customHeight="1" x14ac:dyDescent="0.25">
      <c r="A6" s="150"/>
      <c r="B6" s="150"/>
      <c r="C6" s="150"/>
      <c r="D6" s="150"/>
      <c r="E6" s="150"/>
      <c r="F6" s="150"/>
      <c r="G6" s="23" t="s">
        <v>70</v>
      </c>
      <c r="H6" s="23" t="s">
        <v>68</v>
      </c>
      <c r="I6" s="23">
        <f>'MERCADO TE'!$U$3</f>
        <v>2218.5819999999999</v>
      </c>
      <c r="J6" s="15"/>
      <c r="L6" s="20">
        <f>'TR TE'!$L$6*'TR TE'!$L$49</f>
        <v>2.8377393648131002</v>
      </c>
      <c r="M6" s="20">
        <f>'TR TE'!$M$6*'TR TE'!$M$49</f>
        <v>0</v>
      </c>
      <c r="N6" s="20">
        <f>'TR TE'!$N$6*'TR TE'!$N$49</f>
        <v>0</v>
      </c>
      <c r="O6" s="20">
        <f>'TR TE'!$O$6*'TR TE'!$O$49</f>
        <v>6.7418018913693734E-14</v>
      </c>
      <c r="P6" s="20">
        <f>'TR TE'!$P$6*'TR TE'!$P$49</f>
        <v>0</v>
      </c>
      <c r="Q6" s="20">
        <f>SUM($L$6:$P$6)</f>
        <v>2.8377393648131677</v>
      </c>
      <c r="R6" s="20">
        <f>'TR TE'!$R$6*'TR TE'!$R$49</f>
        <v>266.93349902982476</v>
      </c>
      <c r="S6" s="20">
        <f>SUM($R$6:$R$6)</f>
        <v>266.93349902982476</v>
      </c>
      <c r="T6" s="20">
        <f>'TR TE'!$T$6*'TR TE'!$T$49</f>
        <v>0</v>
      </c>
      <c r="U6" s="20">
        <f>'TR TE'!$U$6*'TR TE'!$U$49</f>
        <v>0</v>
      </c>
      <c r="V6" s="20">
        <f>'TR TE'!$V$6*'TR TE'!$V$49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TE'!$Z$49</f>
        <v>0</v>
      </c>
      <c r="AA6" s="20">
        <f>SUM($Z$6:$Z$6)</f>
        <v>0</v>
      </c>
      <c r="AB6" s="20">
        <f>SUMIF($L$4:$AA$4,"SUBTOTAL",$L$6:$AA$6)</f>
        <v>269.77123839463792</v>
      </c>
    </row>
    <row r="7" spans="1:28" ht="11.25" customHeight="1" x14ac:dyDescent="0.25">
      <c r="A7" s="150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'TR TE'!$L$7*'TR TE'!$L$49</f>
        <v>2.8377393648131002</v>
      </c>
      <c r="M7" s="20">
        <f>'TR TE'!$M$7*'TR TE'!$M$49</f>
        <v>0</v>
      </c>
      <c r="N7" s="20">
        <f>'TR TE'!$N$7*'TR TE'!$N$49</f>
        <v>0</v>
      </c>
      <c r="O7" s="20">
        <f>'TR TE'!$O$7*'TR TE'!$O$49</f>
        <v>6.7418018913693734E-14</v>
      </c>
      <c r="P7" s="20">
        <f>'TR TE'!$P$7*'TR TE'!$P$49</f>
        <v>0</v>
      </c>
      <c r="Q7" s="20">
        <f>SUM($L$7:$P$7)</f>
        <v>2.8377393648131677</v>
      </c>
      <c r="R7" s="20">
        <f>'TR TE'!$R$7*'TR TE'!$R$49</f>
        <v>282.94950897161425</v>
      </c>
      <c r="S7" s="20">
        <f>SUM($R$7:$R$7)</f>
        <v>282.94950897161425</v>
      </c>
      <c r="T7" s="20">
        <f>'TR TE'!$T$7*'TR TE'!$T$49</f>
        <v>0</v>
      </c>
      <c r="U7" s="20">
        <f>'TR TE'!$U$7*'TR TE'!$U$49</f>
        <v>0</v>
      </c>
      <c r="V7" s="20">
        <f>'TR TE'!$V$7*'TR TE'!$V$49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TE'!$Z$49</f>
        <v>0</v>
      </c>
      <c r="AA7" s="20">
        <f>SUM($Z$7:$Z$7)</f>
        <v>0</v>
      </c>
      <c r="AB7" s="20">
        <f>SUMIF($L$4:$AA$4,"SUBTOTAL",$L$7:$AA$7)</f>
        <v>285.78724833642741</v>
      </c>
    </row>
    <row r="8" spans="1:28" ht="11.25" customHeight="1" x14ac:dyDescent="0.25">
      <c r="A8" s="150" t="s">
        <v>22</v>
      </c>
      <c r="B8" s="150" t="s">
        <v>67</v>
      </c>
      <c r="C8" s="150" t="s">
        <v>24</v>
      </c>
      <c r="D8" s="150" t="s">
        <v>24</v>
      </c>
      <c r="E8" s="150" t="s">
        <v>25</v>
      </c>
      <c r="F8" s="150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'TR TE'!$L$8*'TR TE'!$L$49</f>
        <v>2.8377393648131002</v>
      </c>
      <c r="M8" s="20">
        <f>'TR TE'!$M$8*'TR TE'!$M$49</f>
        <v>0</v>
      </c>
      <c r="N8" s="20">
        <f>'TR TE'!$N$8*'TR TE'!$N$49</f>
        <v>0</v>
      </c>
      <c r="O8" s="20">
        <f>'TR TE'!$O$8*'TR TE'!$O$49</f>
        <v>6.7418018913693734E-14</v>
      </c>
      <c r="P8" s="20">
        <f>'TR TE'!$P$8*'TR TE'!$P$49</f>
        <v>0</v>
      </c>
      <c r="Q8" s="20">
        <f>SUM($L$8:$P$8)</f>
        <v>2.8377393648131677</v>
      </c>
      <c r="R8" s="20">
        <f>'TR TE'!$R$8*'TR TE'!$R$49</f>
        <v>459.1256183312986</v>
      </c>
      <c r="S8" s="20">
        <f>SUM($R$8:$R$8)</f>
        <v>459.1256183312986</v>
      </c>
      <c r="T8" s="20">
        <f>'TR TE'!$T$8*'TR TE'!$T$49</f>
        <v>0</v>
      </c>
      <c r="U8" s="20">
        <f>'TR TE'!$U$8*'TR TE'!$U$49</f>
        <v>0</v>
      </c>
      <c r="V8" s="20">
        <f>'TR TE'!$V$8*'TR TE'!$V$49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TE'!$Z$49</f>
        <v>0</v>
      </c>
      <c r="AA8" s="20">
        <f>SUM($Z$8:$Z$8)</f>
        <v>0</v>
      </c>
      <c r="AB8" s="20">
        <f>SUMIF($L$4:$AA$4,"SUBTOTAL",$L$8:$AA$8)</f>
        <v>461.96335769611176</v>
      </c>
    </row>
    <row r="9" spans="1:28" ht="11.25" customHeight="1" x14ac:dyDescent="0.25">
      <c r="A9" s="150"/>
      <c r="B9" s="150"/>
      <c r="C9" s="150"/>
      <c r="D9" s="150"/>
      <c r="E9" s="150"/>
      <c r="F9" s="150"/>
      <c r="G9" s="23" t="s">
        <v>82</v>
      </c>
      <c r="H9" s="23" t="s">
        <v>68</v>
      </c>
      <c r="I9" s="23">
        <f>'MERCADO TE'!$U$6</f>
        <v>0</v>
      </c>
      <c r="J9" s="15"/>
      <c r="L9" s="20">
        <f>'TR TE'!$L$9*'TR TE'!$L$49</f>
        <v>2.8377393648131002</v>
      </c>
      <c r="M9" s="20">
        <f>'TR TE'!$M$9*'TR TE'!$M$49</f>
        <v>0</v>
      </c>
      <c r="N9" s="20">
        <f>'TR TE'!$N$9*'TR TE'!$N$49</f>
        <v>0</v>
      </c>
      <c r="O9" s="20">
        <f>'TR TE'!$O$9*'TR TE'!$O$49</f>
        <v>6.7418018913693734E-14</v>
      </c>
      <c r="P9" s="20">
        <f>'TR TE'!$P$9*'TR TE'!$P$49</f>
        <v>0</v>
      </c>
      <c r="Q9" s="20">
        <f>SUM($L$9:$P$9)</f>
        <v>2.8377393648131677</v>
      </c>
      <c r="R9" s="20">
        <f>'TR TE'!$R$9*'TR TE'!$R$49</f>
        <v>266.93349902982476</v>
      </c>
      <c r="S9" s="20">
        <f>SUM($R$9:$R$9)</f>
        <v>266.93349902982476</v>
      </c>
      <c r="T9" s="20">
        <f>'TR TE'!$T$9*'TR TE'!$T$49</f>
        <v>0</v>
      </c>
      <c r="U9" s="20">
        <f>'TR TE'!$U$9*'TR TE'!$U$49</f>
        <v>0</v>
      </c>
      <c r="V9" s="20">
        <f>'TR TE'!$V$9*'TR TE'!$V$49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TE'!$Z$49</f>
        <v>0</v>
      </c>
      <c r="AA9" s="20">
        <f>SUM($Z$9:$Z$9)</f>
        <v>0</v>
      </c>
      <c r="AB9" s="20">
        <f>SUMIF($L$4:$AA$4,"SUBTOTAL",$L$9:$AA$9)</f>
        <v>269.77123839463792</v>
      </c>
    </row>
    <row r="10" spans="1:28" ht="11.25" customHeight="1" x14ac:dyDescent="0.25">
      <c r="A10" s="150"/>
      <c r="B10" s="150"/>
      <c r="C10" s="150"/>
      <c r="D10" s="150"/>
      <c r="E10" s="150"/>
      <c r="F10" s="150"/>
      <c r="G10" s="23" t="s">
        <v>70</v>
      </c>
      <c r="H10" s="23" t="s">
        <v>68</v>
      </c>
      <c r="I10" s="23">
        <f>'MERCADO TE'!$U$7</f>
        <v>0</v>
      </c>
      <c r="J10" s="15"/>
      <c r="L10" s="20">
        <f>'TR TE'!$L$10*'TR TE'!$L$49</f>
        <v>2.8377393648131002</v>
      </c>
      <c r="M10" s="20">
        <f>'TR TE'!$M$10*'TR TE'!$M$49</f>
        <v>0</v>
      </c>
      <c r="N10" s="20">
        <f>'TR TE'!$N$10*'TR TE'!$N$49</f>
        <v>0</v>
      </c>
      <c r="O10" s="20">
        <f>'TR TE'!$O$10*'TR TE'!$O$49</f>
        <v>6.7418018913693734E-14</v>
      </c>
      <c r="P10" s="20">
        <f>'TR TE'!$P$10*'TR TE'!$P$49</f>
        <v>0</v>
      </c>
      <c r="Q10" s="20">
        <f>SUM($L$10:$P$10)</f>
        <v>2.8377393648131677</v>
      </c>
      <c r="R10" s="20">
        <f>'TR TE'!$R$10*'TR TE'!$R$49</f>
        <v>266.93349902982476</v>
      </c>
      <c r="S10" s="20">
        <f>SUM($R$10:$R$10)</f>
        <v>266.93349902982476</v>
      </c>
      <c r="T10" s="20">
        <f>'TR TE'!$T$10*'TR TE'!$T$49</f>
        <v>0</v>
      </c>
      <c r="U10" s="20">
        <f>'TR TE'!$U$10*'TR TE'!$U$49</f>
        <v>0</v>
      </c>
      <c r="V10" s="20">
        <f>'TR TE'!$V$10*'TR TE'!$V$49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TE'!$Z$49</f>
        <v>0</v>
      </c>
      <c r="AA10" s="20">
        <f>SUM($Z$10:$Z$10)</f>
        <v>0</v>
      </c>
      <c r="AB10" s="20">
        <f>SUMIF($L$4:$AA$4,"SUBTOTAL",$L$10:$AA$10)</f>
        <v>269.77123839463792</v>
      </c>
    </row>
    <row r="11" spans="1:28" ht="11.25" customHeight="1" x14ac:dyDescent="0.25">
      <c r="A11" s="150"/>
      <c r="B11" s="150" t="s">
        <v>71</v>
      </c>
      <c r="C11" s="150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6670.0239999999994</v>
      </c>
      <c r="J11" s="15"/>
      <c r="L11" s="20">
        <f>'TR TE'!$L$11*'TR TE'!$L$49</f>
        <v>2.8377393648131002</v>
      </c>
      <c r="M11" s="20">
        <f>'TR TE'!$M$11*'TR TE'!$M$49</f>
        <v>0</v>
      </c>
      <c r="N11" s="20">
        <f>'TR TE'!$N$11*'TR TE'!$N$49</f>
        <v>0</v>
      </c>
      <c r="O11" s="20">
        <f>'TR TE'!$O$11*'TR TE'!$O$49</f>
        <v>6.7418018913693734E-14</v>
      </c>
      <c r="P11" s="20">
        <f>'TR TE'!$P$11*'TR TE'!$P$49</f>
        <v>0</v>
      </c>
      <c r="Q11" s="20">
        <f>SUM($L$11:$P$11)</f>
        <v>2.8377393648131677</v>
      </c>
      <c r="R11" s="20">
        <f>'TR TE'!$R$11*'TR TE'!$R$49</f>
        <v>282.94950897161425</v>
      </c>
      <c r="S11" s="20">
        <f>SUM($R$11:$R$11)</f>
        <v>282.94950897161425</v>
      </c>
      <c r="T11" s="20">
        <f>'TR TE'!$T$11*'TR TE'!$T$49</f>
        <v>0</v>
      </c>
      <c r="U11" s="20">
        <f>'TR TE'!$U$11*'TR TE'!$U$49</f>
        <v>0</v>
      </c>
      <c r="V11" s="20">
        <f>'TR TE'!$V$11*'TR TE'!$V$49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TE'!$Z$49</f>
        <v>0</v>
      </c>
      <c r="AA11" s="20">
        <f>SUM($Z$11:$Z$11)</f>
        <v>0</v>
      </c>
      <c r="AB11" s="20">
        <f>SUMIF($L$4:$AA$4,"SUBTOTAL",$L$11:$AA$11)</f>
        <v>285.78724833642741</v>
      </c>
    </row>
    <row r="12" spans="1:28" ht="11.25" customHeight="1" x14ac:dyDescent="0.25">
      <c r="A12" s="150"/>
      <c r="B12" s="150"/>
      <c r="C12" s="150"/>
      <c r="D12" s="22" t="s">
        <v>28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127.41000000000001</v>
      </c>
      <c r="J12" s="15"/>
      <c r="L12" s="20">
        <f>'TR TE'!$L$12*'TR TE'!$L$49</f>
        <v>2.8377393648131002</v>
      </c>
      <c r="M12" s="20">
        <f>'TR TE'!$M$12*'TR TE'!$M$49</f>
        <v>0</v>
      </c>
      <c r="N12" s="20">
        <f>'TR TE'!$N$12*'TR TE'!$N$49</f>
        <v>0</v>
      </c>
      <c r="O12" s="20">
        <f>'TR TE'!$O$12*'TR TE'!$O$49</f>
        <v>6.7418018913693734E-14</v>
      </c>
      <c r="P12" s="20">
        <f>'TR TE'!$P$12*'TR TE'!$P$49</f>
        <v>0</v>
      </c>
      <c r="Q12" s="20">
        <f>SUM($L$12:$P$12)</f>
        <v>2.8377393648131677</v>
      </c>
      <c r="R12" s="20">
        <f>'TR TE'!$R$12*'TR TE'!$R$49</f>
        <v>282.94950897161425</v>
      </c>
      <c r="S12" s="20">
        <f>SUM($R$12:$R$12)</f>
        <v>282.94950897161425</v>
      </c>
      <c r="T12" s="20">
        <f>'TR TE'!$T$12*'TR TE'!$T$49</f>
        <v>0</v>
      </c>
      <c r="U12" s="20">
        <f>'TR TE'!$U$12*'TR TE'!$U$49</f>
        <v>0</v>
      </c>
      <c r="V12" s="20">
        <f>'TR TE'!$V$12*'TR TE'!$V$49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TE'!$Z$49</f>
        <v>0</v>
      </c>
      <c r="AA12" s="20">
        <f>SUM($Z$12:$Z$12)</f>
        <v>0</v>
      </c>
      <c r="AB12" s="20">
        <f>SUMIF($L$4:$AA$4,"SUBTOTAL",$L$12:$AA$12)</f>
        <v>285.78724833642741</v>
      </c>
    </row>
    <row r="13" spans="1:28" ht="11.25" customHeight="1" x14ac:dyDescent="0.25">
      <c r="A13" s="150"/>
      <c r="B13" s="150"/>
      <c r="C13" s="150"/>
      <c r="D13" s="22" t="s">
        <v>29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275.43099999999998</v>
      </c>
      <c r="J13" s="15"/>
      <c r="L13" s="20">
        <f>'TR TE'!$L$13*'TR TE'!$L$49</f>
        <v>2.8377393648131002</v>
      </c>
      <c r="M13" s="20">
        <f>'TR TE'!$M$13*'TR TE'!$M$49</f>
        <v>0</v>
      </c>
      <c r="N13" s="20">
        <f>'TR TE'!$N$13*'TR TE'!$N$49</f>
        <v>0</v>
      </c>
      <c r="O13" s="20">
        <f>'TR TE'!$O$13*'TR TE'!$O$49</f>
        <v>6.7418018913693734E-14</v>
      </c>
      <c r="P13" s="20">
        <f>'TR TE'!$P$13*'TR TE'!$P$49</f>
        <v>0</v>
      </c>
      <c r="Q13" s="20">
        <f>SUM($L$13:$P$13)</f>
        <v>2.8377393648131677</v>
      </c>
      <c r="R13" s="20">
        <f>'TR TE'!$R$13*'TR TE'!$R$49</f>
        <v>282.94950897161425</v>
      </c>
      <c r="S13" s="20">
        <f>SUM($R$13:$R$13)</f>
        <v>282.94950897161425</v>
      </c>
      <c r="T13" s="20">
        <f>'TR TE'!$T$13*'TR TE'!$T$49</f>
        <v>0</v>
      </c>
      <c r="U13" s="20">
        <f>'TR TE'!$U$13*'TR TE'!$U$49</f>
        <v>0</v>
      </c>
      <c r="V13" s="20">
        <f>'TR TE'!$V$13*'TR TE'!$V$49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TE'!$Z$49</f>
        <v>0</v>
      </c>
      <c r="AA13" s="20">
        <f>SUM($Z$13:$Z$13)</f>
        <v>0</v>
      </c>
      <c r="AB13" s="20">
        <f>SUMIF($L$4:$AA$4,"SUBTOTAL",$L$13:$AA$13)</f>
        <v>285.78724833642741</v>
      </c>
    </row>
    <row r="14" spans="1:28" ht="11.25" customHeight="1" x14ac:dyDescent="0.25">
      <c r="A14" s="150"/>
      <c r="B14" s="150"/>
      <c r="C14" s="150"/>
      <c r="D14" s="22" t="s">
        <v>30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305.03699999999998</v>
      </c>
      <c r="J14" s="15"/>
      <c r="L14" s="20">
        <f>'TR TE'!$L$14*'TR TE'!$L$49</f>
        <v>2.8377393648131002</v>
      </c>
      <c r="M14" s="20">
        <f>'TR TE'!$M$14*'TR TE'!$M$49</f>
        <v>0</v>
      </c>
      <c r="N14" s="20">
        <f>'TR TE'!$N$14*'TR TE'!$N$49</f>
        <v>0</v>
      </c>
      <c r="O14" s="20">
        <f>'TR TE'!$O$14*'TR TE'!$O$49</f>
        <v>6.7418018913693734E-14</v>
      </c>
      <c r="P14" s="20">
        <f>'TR TE'!$P$14*'TR TE'!$P$49</f>
        <v>0</v>
      </c>
      <c r="Q14" s="20">
        <f>SUM($L$14:$P$14)</f>
        <v>2.8377393648131677</v>
      </c>
      <c r="R14" s="20">
        <f>'TR TE'!$R$14*'TR TE'!$R$49</f>
        <v>282.94950897161425</v>
      </c>
      <c r="S14" s="20">
        <f>SUM($R$14:$R$14)</f>
        <v>282.94950897161425</v>
      </c>
      <c r="T14" s="20">
        <f>'TR TE'!$T$14*'TR TE'!$T$49</f>
        <v>0</v>
      </c>
      <c r="U14" s="20">
        <f>'TR TE'!$U$14*'TR TE'!$U$49</f>
        <v>0</v>
      </c>
      <c r="V14" s="20">
        <f>'TR TE'!$V$14*'TR TE'!$V$49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TE'!$Z$49</f>
        <v>0</v>
      </c>
      <c r="AA14" s="20">
        <f>SUM($Z$14:$Z$14)</f>
        <v>0</v>
      </c>
      <c r="AB14" s="20">
        <f>SUMIF($L$4:$AA$4,"SUBTOTAL",$L$14:$AA$14)</f>
        <v>285.78724833642741</v>
      </c>
    </row>
    <row r="15" spans="1:28" ht="11.25" customHeight="1" x14ac:dyDescent="0.25">
      <c r="A15" s="150"/>
      <c r="B15" s="150"/>
      <c r="C15" s="150"/>
      <c r="D15" s="22" t="s">
        <v>31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109.482</v>
      </c>
      <c r="J15" s="15"/>
      <c r="L15" s="20">
        <f>'TR TE'!$L$15*'TR TE'!$L$49</f>
        <v>2.8377393648131002</v>
      </c>
      <c r="M15" s="20">
        <f>'TR TE'!$M$15*'TR TE'!$M$49</f>
        <v>0</v>
      </c>
      <c r="N15" s="20">
        <f>'TR TE'!$N$15*'TR TE'!$N$49</f>
        <v>0</v>
      </c>
      <c r="O15" s="20">
        <f>'TR TE'!$O$15*'TR TE'!$O$49</f>
        <v>6.7418018913693734E-14</v>
      </c>
      <c r="P15" s="20">
        <f>'TR TE'!$P$15*'TR TE'!$P$49</f>
        <v>0</v>
      </c>
      <c r="Q15" s="20">
        <f>SUM($L$15:$P$15)</f>
        <v>2.8377393648131677</v>
      </c>
      <c r="R15" s="20">
        <f>'TR TE'!$R$15*'TR TE'!$R$49</f>
        <v>282.94950897161425</v>
      </c>
      <c r="S15" s="20">
        <f>SUM($R$15:$R$15)</f>
        <v>282.94950897161425</v>
      </c>
      <c r="T15" s="20">
        <f>'TR TE'!$T$15*'TR TE'!$T$49</f>
        <v>0</v>
      </c>
      <c r="U15" s="20">
        <f>'TR TE'!$U$15*'TR TE'!$U$49</f>
        <v>0</v>
      </c>
      <c r="V15" s="20">
        <f>'TR TE'!$V$15*'TR TE'!$V$49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TE'!$Z$49</f>
        <v>0</v>
      </c>
      <c r="AA15" s="20">
        <f>SUM($Z$15:$Z$15)</f>
        <v>0</v>
      </c>
      <c r="AB15" s="20">
        <f>SUMIF($L$4:$AA$4,"SUBTOTAL",$L$15:$AA$15)</f>
        <v>285.78724833642741</v>
      </c>
    </row>
    <row r="16" spans="1:28" ht="11.25" customHeight="1" x14ac:dyDescent="0.25">
      <c r="A16" s="150"/>
      <c r="B16" s="150" t="s">
        <v>83</v>
      </c>
      <c r="C16" s="150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'TR TE'!$L$16*'TR TE'!$L$49</f>
        <v>2.8377393648131002</v>
      </c>
      <c r="M16" s="20">
        <f>'TR TE'!$M$16*'TR TE'!$M$49</f>
        <v>0</v>
      </c>
      <c r="N16" s="20">
        <f>'TR TE'!$N$16*'TR TE'!$N$49</f>
        <v>0</v>
      </c>
      <c r="O16" s="20">
        <f>'TR TE'!$O$16*'TR TE'!$O$49</f>
        <v>6.7418018913693734E-14</v>
      </c>
      <c r="P16" s="20">
        <f>'TR TE'!$P$16*'TR TE'!$P$49</f>
        <v>0</v>
      </c>
      <c r="Q16" s="20">
        <f>SUM($L$16:$P$16)</f>
        <v>2.8377393648131677</v>
      </c>
      <c r="R16" s="20">
        <f>'TR TE'!$R$16*'TR TE'!$R$49</f>
        <v>282.94950897161425</v>
      </c>
      <c r="S16" s="20">
        <f>SUM($R$16:$R$16)</f>
        <v>282.94950897161425</v>
      </c>
      <c r="T16" s="20">
        <f>'TR TE'!$T$16*'TR TE'!$T$49</f>
        <v>0</v>
      </c>
      <c r="U16" s="20">
        <f>'TR TE'!$U$16*'TR TE'!$U$49</f>
        <v>0</v>
      </c>
      <c r="V16" s="20">
        <f>'TR TE'!$V$16*'TR TE'!$V$49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TE'!$Z$49</f>
        <v>0</v>
      </c>
      <c r="AA16" s="20">
        <f>SUM($Z$16:$Z$16)</f>
        <v>0</v>
      </c>
      <c r="AB16" s="20">
        <f>SUMIF($L$4:$AA$4,"SUBTOTAL",$L$16:$AA$16)</f>
        <v>285.78724833642741</v>
      </c>
    </row>
    <row r="17" spans="1:28" ht="11.25" customHeight="1" x14ac:dyDescent="0.25">
      <c r="A17" s="150"/>
      <c r="B17" s="150"/>
      <c r="C17" s="150"/>
      <c r="D17" s="22" t="s">
        <v>28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'TR TE'!$L$17*'TR TE'!$L$49</f>
        <v>2.8377393648131002</v>
      </c>
      <c r="M17" s="20">
        <f>'TR TE'!$M$17*'TR TE'!$M$49</f>
        <v>0</v>
      </c>
      <c r="N17" s="20">
        <f>'TR TE'!$N$17*'TR TE'!$N$49</f>
        <v>0</v>
      </c>
      <c r="O17" s="20">
        <f>'TR TE'!$O$17*'TR TE'!$O$49</f>
        <v>6.7418018913693734E-14</v>
      </c>
      <c r="P17" s="20">
        <f>'TR TE'!$P$17*'TR TE'!$P$49</f>
        <v>0</v>
      </c>
      <c r="Q17" s="20">
        <f>SUM($L$17:$P$17)</f>
        <v>2.8377393648131677</v>
      </c>
      <c r="R17" s="20">
        <f>'TR TE'!$R$17*'TR TE'!$R$49</f>
        <v>282.94950897161425</v>
      </c>
      <c r="S17" s="20">
        <f>SUM($R$17:$R$17)</f>
        <v>282.94950897161425</v>
      </c>
      <c r="T17" s="20">
        <f>'TR TE'!$T$17*'TR TE'!$T$49</f>
        <v>0</v>
      </c>
      <c r="U17" s="20">
        <f>'TR TE'!$U$17*'TR TE'!$U$49</f>
        <v>0</v>
      </c>
      <c r="V17" s="20">
        <f>'TR TE'!$V$17*'TR TE'!$V$49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TE'!$Z$49</f>
        <v>0</v>
      </c>
      <c r="AA17" s="20">
        <f>SUM($Z$17:$Z$17)</f>
        <v>0</v>
      </c>
      <c r="AB17" s="20">
        <f>SUMIF($L$4:$AA$4,"SUBTOTAL",$L$17:$AA$17)</f>
        <v>285.78724833642741</v>
      </c>
    </row>
    <row r="18" spans="1:28" ht="11.25" customHeight="1" x14ac:dyDescent="0.25">
      <c r="A18" s="150"/>
      <c r="B18" s="150"/>
      <c r="C18" s="150"/>
      <c r="D18" s="22" t="s">
        <v>29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'TR TE'!$L$18*'TR TE'!$L$49</f>
        <v>2.8377393648131002</v>
      </c>
      <c r="M18" s="20">
        <f>'TR TE'!$M$18*'TR TE'!$M$49</f>
        <v>0</v>
      </c>
      <c r="N18" s="20">
        <f>'TR TE'!$N$18*'TR TE'!$N$49</f>
        <v>0</v>
      </c>
      <c r="O18" s="20">
        <f>'TR TE'!$O$18*'TR TE'!$O$49</f>
        <v>6.7418018913693734E-14</v>
      </c>
      <c r="P18" s="20">
        <f>'TR TE'!$P$18*'TR TE'!$P$49</f>
        <v>0</v>
      </c>
      <c r="Q18" s="20">
        <f>SUM($L$18:$P$18)</f>
        <v>2.8377393648131677</v>
      </c>
      <c r="R18" s="20">
        <f>'TR TE'!$R$18*'TR TE'!$R$49</f>
        <v>282.94950897161425</v>
      </c>
      <c r="S18" s="20">
        <f>SUM($R$18:$R$18)</f>
        <v>282.94950897161425</v>
      </c>
      <c r="T18" s="20">
        <f>'TR TE'!$T$18*'TR TE'!$T$49</f>
        <v>0</v>
      </c>
      <c r="U18" s="20">
        <f>'TR TE'!$U$18*'TR TE'!$U$49</f>
        <v>0</v>
      </c>
      <c r="V18" s="20">
        <f>'TR TE'!$V$18*'TR TE'!$V$49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TE'!$Z$49</f>
        <v>0</v>
      </c>
      <c r="AA18" s="20">
        <f>SUM($Z$18:$Z$18)</f>
        <v>0</v>
      </c>
      <c r="AB18" s="20">
        <f>SUMIF($L$4:$AA$4,"SUBTOTAL",$L$18:$AA$18)</f>
        <v>285.78724833642741</v>
      </c>
    </row>
    <row r="19" spans="1:28" ht="11.25" customHeight="1" x14ac:dyDescent="0.25">
      <c r="A19" s="150"/>
      <c r="B19" s="150"/>
      <c r="C19" s="150"/>
      <c r="D19" s="22" t="s">
        <v>30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'TR TE'!$L$19*'TR TE'!$L$49</f>
        <v>2.8377393648131002</v>
      </c>
      <c r="M19" s="20">
        <f>'TR TE'!$M$19*'TR TE'!$M$49</f>
        <v>0</v>
      </c>
      <c r="N19" s="20">
        <f>'TR TE'!$N$19*'TR TE'!$N$49</f>
        <v>0</v>
      </c>
      <c r="O19" s="20">
        <f>'TR TE'!$O$19*'TR TE'!$O$49</f>
        <v>6.7418018913693734E-14</v>
      </c>
      <c r="P19" s="20">
        <f>'TR TE'!$P$19*'TR TE'!$P$49</f>
        <v>0</v>
      </c>
      <c r="Q19" s="20">
        <f>SUM($L$19:$P$19)</f>
        <v>2.8377393648131677</v>
      </c>
      <c r="R19" s="20">
        <f>'TR TE'!$R$19*'TR TE'!$R$49</f>
        <v>282.94950897161425</v>
      </c>
      <c r="S19" s="20">
        <f>SUM($R$19:$R$19)</f>
        <v>282.94950897161425</v>
      </c>
      <c r="T19" s="20">
        <f>'TR TE'!$T$19*'TR TE'!$T$49</f>
        <v>0</v>
      </c>
      <c r="U19" s="20">
        <f>'TR TE'!$U$19*'TR TE'!$U$49</f>
        <v>0</v>
      </c>
      <c r="V19" s="20">
        <f>'TR TE'!$V$19*'TR TE'!$V$49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TE'!$Z$49</f>
        <v>0</v>
      </c>
      <c r="AA19" s="20">
        <f>SUM($Z$19:$Z$19)</f>
        <v>0</v>
      </c>
      <c r="AB19" s="20">
        <f>SUMIF($L$4:$AA$4,"SUBTOTAL",$L$19:$AA$19)</f>
        <v>285.78724833642741</v>
      </c>
    </row>
    <row r="20" spans="1:28" ht="11.25" customHeight="1" x14ac:dyDescent="0.25">
      <c r="A20" s="150"/>
      <c r="B20" s="150"/>
      <c r="C20" s="150"/>
      <c r="D20" s="22" t="s">
        <v>31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'TR TE'!$L$20*'TR TE'!$L$49</f>
        <v>2.8377393648131002</v>
      </c>
      <c r="M20" s="20">
        <f>'TR TE'!$M$20*'TR TE'!$M$49</f>
        <v>0</v>
      </c>
      <c r="N20" s="20">
        <f>'TR TE'!$N$20*'TR TE'!$N$49</f>
        <v>0</v>
      </c>
      <c r="O20" s="20">
        <f>'TR TE'!$O$20*'TR TE'!$O$49</f>
        <v>6.7418018913693734E-14</v>
      </c>
      <c r="P20" s="20">
        <f>'TR TE'!$P$20*'TR TE'!$P$49</f>
        <v>0</v>
      </c>
      <c r="Q20" s="20">
        <f>SUM($L$20:$P$20)</f>
        <v>2.8377393648131677</v>
      </c>
      <c r="R20" s="20">
        <f>'TR TE'!$R$20*'TR TE'!$R$49</f>
        <v>282.94950897161425</v>
      </c>
      <c r="S20" s="20">
        <f>SUM($R$20:$R$20)</f>
        <v>282.94950897161425</v>
      </c>
      <c r="T20" s="20">
        <f>'TR TE'!$T$20*'TR TE'!$T$49</f>
        <v>0</v>
      </c>
      <c r="U20" s="20">
        <f>'TR TE'!$U$20*'TR TE'!$U$49</f>
        <v>0</v>
      </c>
      <c r="V20" s="20">
        <f>'TR TE'!$V$20*'TR TE'!$V$49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TE'!$Z$49</f>
        <v>0</v>
      </c>
      <c r="AA20" s="20">
        <f>SUM($Z$20:$Z$20)</f>
        <v>0</v>
      </c>
      <c r="AB20" s="20">
        <f>SUMIF($L$4:$AA$4,"SUBTOTAL",$L$20:$AA$20)</f>
        <v>285.78724833642741</v>
      </c>
    </row>
    <row r="21" spans="1:28" ht="11.25" customHeight="1" x14ac:dyDescent="0.25">
      <c r="A21" s="150" t="s">
        <v>41</v>
      </c>
      <c r="B21" s="150" t="s">
        <v>67</v>
      </c>
      <c r="C21" s="150" t="s">
        <v>42</v>
      </c>
      <c r="D21" s="150" t="s">
        <v>25</v>
      </c>
      <c r="E21" s="150" t="s">
        <v>25</v>
      </c>
      <c r="F21" s="150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'TR TE'!$L$21*'TR TE'!$L$49</f>
        <v>2.8377393648131002</v>
      </c>
      <c r="M21" s="20">
        <f>'TR TE'!$M$21*'TR TE'!$M$49</f>
        <v>0</v>
      </c>
      <c r="N21" s="20">
        <f>'TR TE'!$N$21*'TR TE'!$N$49</f>
        <v>0</v>
      </c>
      <c r="O21" s="20">
        <f>'TR TE'!$O$21*'TR TE'!$O$49</f>
        <v>6.7418018913693734E-14</v>
      </c>
      <c r="P21" s="20">
        <f>'TR TE'!$P$21*'TR TE'!$P$49</f>
        <v>0</v>
      </c>
      <c r="Q21" s="20">
        <f>SUM($L$21:$P$21)</f>
        <v>2.8377393648131677</v>
      </c>
      <c r="R21" s="20">
        <f>'TR TE'!$R$21*'TR TE'!$R$49</f>
        <v>459.1256183312986</v>
      </c>
      <c r="S21" s="20">
        <f>SUM($R$21:$R$21)</f>
        <v>459.1256183312986</v>
      </c>
      <c r="T21" s="20">
        <f>'TR TE'!$T$21*'TR TE'!$T$49</f>
        <v>0</v>
      </c>
      <c r="U21" s="20">
        <f>'TR TE'!$U$21*'TR TE'!$U$49</f>
        <v>0</v>
      </c>
      <c r="V21" s="20">
        <f>'TR TE'!$V$21*'TR TE'!$V$49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TE'!$Z$49</f>
        <v>0</v>
      </c>
      <c r="AA21" s="20">
        <f>SUM($Z$21:$Z$21)</f>
        <v>0</v>
      </c>
      <c r="AB21" s="20">
        <f>SUMIF($L$4:$AA$4,"SUBTOTAL",$L$21:$AA$21)</f>
        <v>461.96335769611176</v>
      </c>
    </row>
    <row r="22" spans="1:28" ht="11.25" customHeight="1" x14ac:dyDescent="0.25">
      <c r="A22" s="150"/>
      <c r="B22" s="150"/>
      <c r="C22" s="150"/>
      <c r="D22" s="150"/>
      <c r="E22" s="150"/>
      <c r="F22" s="150"/>
      <c r="G22" s="23" t="s">
        <v>82</v>
      </c>
      <c r="H22" s="23" t="s">
        <v>68</v>
      </c>
      <c r="I22" s="23">
        <f>'MERCADO TE'!$U$19</f>
        <v>0</v>
      </c>
      <c r="J22" s="15"/>
      <c r="L22" s="20">
        <f>'TR TE'!$L$22*'TR TE'!$L$49</f>
        <v>2.8377393648131002</v>
      </c>
      <c r="M22" s="20">
        <f>'TR TE'!$M$22*'TR TE'!$M$49</f>
        <v>0</v>
      </c>
      <c r="N22" s="20">
        <f>'TR TE'!$N$22*'TR TE'!$N$49</f>
        <v>0</v>
      </c>
      <c r="O22" s="20">
        <f>'TR TE'!$O$22*'TR TE'!$O$49</f>
        <v>6.7418018913693734E-14</v>
      </c>
      <c r="P22" s="20">
        <f>'TR TE'!$P$22*'TR TE'!$P$49</f>
        <v>0</v>
      </c>
      <c r="Q22" s="20">
        <f>SUM($L$22:$P$22)</f>
        <v>2.8377393648131677</v>
      </c>
      <c r="R22" s="20">
        <f>'TR TE'!$R$22*'TR TE'!$R$49</f>
        <v>266.93349902982476</v>
      </c>
      <c r="S22" s="20">
        <f>SUM($R$22:$R$22)</f>
        <v>266.93349902982476</v>
      </c>
      <c r="T22" s="20">
        <f>'TR TE'!$T$22*'TR TE'!$T$49</f>
        <v>0</v>
      </c>
      <c r="U22" s="20">
        <f>'TR TE'!$U$22*'TR TE'!$U$49</f>
        <v>0</v>
      </c>
      <c r="V22" s="20">
        <f>'TR TE'!$V$22*'TR TE'!$V$49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TE'!$Z$49</f>
        <v>0</v>
      </c>
      <c r="AA22" s="20">
        <f>SUM($Z$22:$Z$22)</f>
        <v>0</v>
      </c>
      <c r="AB22" s="20">
        <f>SUMIF($L$4:$AA$4,"SUBTOTAL",$L$22:$AA$22)</f>
        <v>269.77123839463792</v>
      </c>
    </row>
    <row r="23" spans="1:28" ht="11.25" customHeight="1" x14ac:dyDescent="0.25">
      <c r="A23" s="150"/>
      <c r="B23" s="150"/>
      <c r="C23" s="150"/>
      <c r="D23" s="150"/>
      <c r="E23" s="150"/>
      <c r="F23" s="150"/>
      <c r="G23" s="23" t="s">
        <v>70</v>
      </c>
      <c r="H23" s="23" t="s">
        <v>68</v>
      </c>
      <c r="I23" s="23">
        <f>'MERCADO TE'!$U$20</f>
        <v>0</v>
      </c>
      <c r="J23" s="15"/>
      <c r="L23" s="20">
        <f>'TR TE'!$L$23*'TR TE'!$L$49</f>
        <v>2.8377393648131002</v>
      </c>
      <c r="M23" s="20">
        <f>'TR TE'!$M$23*'TR TE'!$M$49</f>
        <v>0</v>
      </c>
      <c r="N23" s="20">
        <f>'TR TE'!$N$23*'TR TE'!$N$49</f>
        <v>0</v>
      </c>
      <c r="O23" s="20">
        <f>'TR TE'!$O$23*'TR TE'!$O$49</f>
        <v>6.7418018913693734E-14</v>
      </c>
      <c r="P23" s="20">
        <f>'TR TE'!$P$23*'TR TE'!$P$49</f>
        <v>0</v>
      </c>
      <c r="Q23" s="20">
        <f>SUM($L$23:$P$23)</f>
        <v>2.8377393648131677</v>
      </c>
      <c r="R23" s="20">
        <f>'TR TE'!$R$23*'TR TE'!$R$49</f>
        <v>266.93349902982476</v>
      </c>
      <c r="S23" s="20">
        <f>SUM($R$23:$R$23)</f>
        <v>266.93349902982476</v>
      </c>
      <c r="T23" s="20">
        <f>'TR TE'!$T$23*'TR TE'!$T$49</f>
        <v>0</v>
      </c>
      <c r="U23" s="20">
        <f>'TR TE'!$U$23*'TR TE'!$U$49</f>
        <v>0</v>
      </c>
      <c r="V23" s="20">
        <f>'TR TE'!$V$23*'TR TE'!$V$49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TE'!$Z$49</f>
        <v>0</v>
      </c>
      <c r="AA23" s="20">
        <f>SUM($Z$23:$Z$23)</f>
        <v>0</v>
      </c>
      <c r="AB23" s="20">
        <f>SUMIF($L$4:$AA$4,"SUBTOTAL",$L$23:$AA$23)</f>
        <v>269.77123839463792</v>
      </c>
    </row>
    <row r="24" spans="1:28" ht="11.25" customHeight="1" x14ac:dyDescent="0.25">
      <c r="A24" s="150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11.840000000000002</v>
      </c>
      <c r="J24" s="15"/>
      <c r="L24" s="20">
        <f>'TR TE'!$L$24*'TR TE'!$L$49</f>
        <v>2.8377393648131002</v>
      </c>
      <c r="M24" s="20">
        <f>'TR TE'!$M$24*'TR TE'!$M$49</f>
        <v>0</v>
      </c>
      <c r="N24" s="20">
        <f>'TR TE'!$N$24*'TR TE'!$N$49</f>
        <v>0</v>
      </c>
      <c r="O24" s="20">
        <f>'TR TE'!$O$24*'TR TE'!$O$49</f>
        <v>6.7418018913693734E-14</v>
      </c>
      <c r="P24" s="20">
        <f>'TR TE'!$P$24*'TR TE'!$P$49</f>
        <v>0</v>
      </c>
      <c r="Q24" s="20">
        <f>SUM($L$24:$P$24)</f>
        <v>2.8377393648131677</v>
      </c>
      <c r="R24" s="20">
        <f>'TR TE'!$R$24*'TR TE'!$R$49</f>
        <v>282.94950897161425</v>
      </c>
      <c r="S24" s="20">
        <f>SUM($R$24:$R$24)</f>
        <v>282.94950897161425</v>
      </c>
      <c r="T24" s="20">
        <f>'TR TE'!$T$24*'TR TE'!$T$49</f>
        <v>0</v>
      </c>
      <c r="U24" s="20">
        <f>'TR TE'!$U$24*'TR TE'!$U$49</f>
        <v>0</v>
      </c>
      <c r="V24" s="20">
        <f>'TR TE'!$V$24*'TR TE'!$V$49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TE'!$Z$49</f>
        <v>0</v>
      </c>
      <c r="AA24" s="20">
        <f>SUM($Z$24:$Z$24)</f>
        <v>0</v>
      </c>
      <c r="AB24" s="20">
        <f>SUMIF($L$4:$AA$4,"SUBTOTAL",$L$24:$AA$24)</f>
        <v>285.78724833642741</v>
      </c>
    </row>
    <row r="25" spans="1:28" ht="11.25" customHeight="1" x14ac:dyDescent="0.25">
      <c r="A25" s="150"/>
      <c r="B25" s="150" t="s">
        <v>67</v>
      </c>
      <c r="C25" s="150" t="s">
        <v>42</v>
      </c>
      <c r="D25" s="150" t="s">
        <v>85</v>
      </c>
      <c r="E25" s="150" t="s">
        <v>25</v>
      </c>
      <c r="F25" s="150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'TR TE'!$L$25*'TR TE'!$L$49</f>
        <v>2.8377393648131002</v>
      </c>
      <c r="M25" s="20">
        <f>'TR TE'!$M$25*'TR TE'!$M$49</f>
        <v>0</v>
      </c>
      <c r="N25" s="20">
        <f>'TR TE'!$N$25*'TR TE'!$N$49</f>
        <v>0</v>
      </c>
      <c r="O25" s="20">
        <f>'TR TE'!$O$25*'TR TE'!$O$49</f>
        <v>6.7418018913693734E-14</v>
      </c>
      <c r="P25" s="20">
        <f>'TR TE'!$P$25*'TR TE'!$P$49</f>
        <v>0</v>
      </c>
      <c r="Q25" s="20">
        <f>SUM($L$25:$P$25)</f>
        <v>2.8377393648131677</v>
      </c>
      <c r="R25" s="20">
        <f>'TR TE'!$R$25*'TR TE'!$R$49</f>
        <v>459.1256183312986</v>
      </c>
      <c r="S25" s="20">
        <f>SUM($R$25:$R$25)</f>
        <v>459.1256183312986</v>
      </c>
      <c r="T25" s="20">
        <f>'TR TE'!$T$25*'TR TE'!$T$49</f>
        <v>0</v>
      </c>
      <c r="U25" s="20">
        <f>'TR TE'!$U$25*'TR TE'!$U$49</f>
        <v>0</v>
      </c>
      <c r="V25" s="20">
        <f>'TR TE'!$V$25*'TR TE'!$V$49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TE'!$Z$49</f>
        <v>0</v>
      </c>
      <c r="AA25" s="20">
        <f>SUM($Z$25:$Z$25)</f>
        <v>0</v>
      </c>
      <c r="AB25" s="20">
        <f>SUMIF($L$4:$AA$4,"SUBTOTAL",$L$25:$AA$25)</f>
        <v>461.96335769611176</v>
      </c>
    </row>
    <row r="26" spans="1:28" ht="11.25" customHeight="1" x14ac:dyDescent="0.25">
      <c r="A26" s="150"/>
      <c r="B26" s="150"/>
      <c r="C26" s="150"/>
      <c r="D26" s="150"/>
      <c r="E26" s="150"/>
      <c r="F26" s="150"/>
      <c r="G26" s="23" t="s">
        <v>82</v>
      </c>
      <c r="H26" s="23" t="s">
        <v>68</v>
      </c>
      <c r="I26" s="23">
        <f>'MERCADO TE'!$U$23</f>
        <v>0</v>
      </c>
      <c r="J26" s="15"/>
      <c r="L26" s="20">
        <f>'TR TE'!$L$26*'TR TE'!$L$49</f>
        <v>2.8377393648131002</v>
      </c>
      <c r="M26" s="20">
        <f>'TR TE'!$M$26*'TR TE'!$M$49</f>
        <v>0</v>
      </c>
      <c r="N26" s="20">
        <f>'TR TE'!$N$26*'TR TE'!$N$49</f>
        <v>0</v>
      </c>
      <c r="O26" s="20">
        <f>'TR TE'!$O$26*'TR TE'!$O$49</f>
        <v>6.7418018913693734E-14</v>
      </c>
      <c r="P26" s="20">
        <f>'TR TE'!$P$26*'TR TE'!$P$49</f>
        <v>0</v>
      </c>
      <c r="Q26" s="20">
        <f>SUM($L$26:$P$26)</f>
        <v>2.8377393648131677</v>
      </c>
      <c r="R26" s="20">
        <f>'TR TE'!$R$26*'TR TE'!$R$49</f>
        <v>266.93349902982476</v>
      </c>
      <c r="S26" s="20">
        <f>SUM($R$26:$R$26)</f>
        <v>266.93349902982476</v>
      </c>
      <c r="T26" s="20">
        <f>'TR TE'!$T$26*'TR TE'!$T$49</f>
        <v>0</v>
      </c>
      <c r="U26" s="20">
        <f>'TR TE'!$U$26*'TR TE'!$U$49</f>
        <v>0</v>
      </c>
      <c r="V26" s="20">
        <f>'TR TE'!$V$26*'TR TE'!$V$49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TE'!$Z$49</f>
        <v>0</v>
      </c>
      <c r="AA26" s="20">
        <f>SUM($Z$26:$Z$26)</f>
        <v>0</v>
      </c>
      <c r="AB26" s="20">
        <f>SUMIF($L$4:$AA$4,"SUBTOTAL",$L$26:$AA$26)</f>
        <v>269.77123839463792</v>
      </c>
    </row>
    <row r="27" spans="1:28" ht="11.25" customHeight="1" x14ac:dyDescent="0.25">
      <c r="A27" s="150"/>
      <c r="B27" s="150"/>
      <c r="C27" s="150"/>
      <c r="D27" s="150"/>
      <c r="E27" s="150"/>
      <c r="F27" s="150"/>
      <c r="G27" s="23" t="s">
        <v>70</v>
      </c>
      <c r="H27" s="23" t="s">
        <v>68</v>
      </c>
      <c r="I27" s="23">
        <f>'MERCADO TE'!$U$24</f>
        <v>0</v>
      </c>
      <c r="J27" s="15"/>
      <c r="L27" s="20">
        <f>'TR TE'!$L$27*'TR TE'!$L$49</f>
        <v>2.8377393648131002</v>
      </c>
      <c r="M27" s="20">
        <f>'TR TE'!$M$27*'TR TE'!$M$49</f>
        <v>0</v>
      </c>
      <c r="N27" s="20">
        <f>'TR TE'!$N$27*'TR TE'!$N$49</f>
        <v>0</v>
      </c>
      <c r="O27" s="20">
        <f>'TR TE'!$O$27*'TR TE'!$O$49</f>
        <v>6.7418018913693734E-14</v>
      </c>
      <c r="P27" s="20">
        <f>'TR TE'!$P$27*'TR TE'!$P$49</f>
        <v>0</v>
      </c>
      <c r="Q27" s="20">
        <f>SUM($L$27:$P$27)</f>
        <v>2.8377393648131677</v>
      </c>
      <c r="R27" s="20">
        <f>'TR TE'!$R$27*'TR TE'!$R$49</f>
        <v>266.93349902982476</v>
      </c>
      <c r="S27" s="20">
        <f>SUM($R$27:$R$27)</f>
        <v>266.93349902982476</v>
      </c>
      <c r="T27" s="20">
        <f>'TR TE'!$T$27*'TR TE'!$T$49</f>
        <v>0</v>
      </c>
      <c r="U27" s="20">
        <f>'TR TE'!$U$27*'TR TE'!$U$49</f>
        <v>0</v>
      </c>
      <c r="V27" s="20">
        <f>'TR TE'!$V$27*'TR TE'!$V$49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TE'!$Z$49</f>
        <v>0</v>
      </c>
      <c r="AA27" s="20">
        <f>SUM($Z$27:$Z$27)</f>
        <v>0</v>
      </c>
      <c r="AB27" s="20">
        <f>SUMIF($L$4:$AA$4,"SUBTOTAL",$L$27:$AA$27)</f>
        <v>269.77123839463792</v>
      </c>
    </row>
    <row r="28" spans="1:28" ht="11.25" customHeight="1" x14ac:dyDescent="0.25">
      <c r="A28" s="150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'TR TE'!$L$28*'TR TE'!$L$49</f>
        <v>2.8377393648131002</v>
      </c>
      <c r="M28" s="20">
        <f>'TR TE'!$M$28*'TR TE'!$M$49</f>
        <v>0</v>
      </c>
      <c r="N28" s="20">
        <f>'TR TE'!$N$28*'TR TE'!$N$49</f>
        <v>0</v>
      </c>
      <c r="O28" s="20">
        <f>'TR TE'!$O$28*'TR TE'!$O$49</f>
        <v>6.7418018913693734E-14</v>
      </c>
      <c r="P28" s="20">
        <f>'TR TE'!$P$28*'TR TE'!$P$49</f>
        <v>0</v>
      </c>
      <c r="Q28" s="20">
        <f>SUM($L$28:$P$28)</f>
        <v>2.8377393648131677</v>
      </c>
      <c r="R28" s="20">
        <f>'TR TE'!$R$28*'TR TE'!$R$49</f>
        <v>282.94950897161425</v>
      </c>
      <c r="S28" s="20">
        <f>SUM($R$28:$R$28)</f>
        <v>282.94950897161425</v>
      </c>
      <c r="T28" s="20">
        <f>'TR TE'!$T$28*'TR TE'!$T$49</f>
        <v>0</v>
      </c>
      <c r="U28" s="20">
        <f>'TR TE'!$U$28*'TR TE'!$U$49</f>
        <v>0</v>
      </c>
      <c r="V28" s="20">
        <f>'TR TE'!$V$28*'TR TE'!$V$49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TE'!$Z$49</f>
        <v>0</v>
      </c>
      <c r="AA28" s="20">
        <f>SUM($Z$28:$Z$28)</f>
        <v>0</v>
      </c>
      <c r="AB28" s="20">
        <f>SUMIF($L$4:$AA$4,"SUBTOTAL",$L$28:$AA$28)</f>
        <v>285.78724833642741</v>
      </c>
    </row>
    <row r="29" spans="1:28" ht="11.25" customHeight="1" x14ac:dyDescent="0.25">
      <c r="A29" s="150"/>
      <c r="B29" s="150" t="s">
        <v>67</v>
      </c>
      <c r="C29" s="150" t="s">
        <v>42</v>
      </c>
      <c r="D29" s="150" t="s">
        <v>86</v>
      </c>
      <c r="E29" s="150" t="s">
        <v>25</v>
      </c>
      <c r="F29" s="150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'TR TE'!$L$29*'TR TE'!$L$49</f>
        <v>2.8377393648131002</v>
      </c>
      <c r="M29" s="20">
        <f>'TR TE'!$M$29*'TR TE'!$M$49</f>
        <v>0</v>
      </c>
      <c r="N29" s="20">
        <f>'TR TE'!$N$29*'TR TE'!$N$49</f>
        <v>0</v>
      </c>
      <c r="O29" s="20">
        <f>'TR TE'!$O$29*'TR TE'!$O$49</f>
        <v>6.7418018913693734E-14</v>
      </c>
      <c r="P29" s="20">
        <f>'TR TE'!$P$29*'TR TE'!$P$49</f>
        <v>0</v>
      </c>
      <c r="Q29" s="20">
        <f>SUM($L$29:$P$29)</f>
        <v>2.8377393648131677</v>
      </c>
      <c r="R29" s="20">
        <f>'TR TE'!$R$29*'TR TE'!$R$49</f>
        <v>459.1256183312986</v>
      </c>
      <c r="S29" s="20">
        <f>SUM($R$29:$R$29)</f>
        <v>459.1256183312986</v>
      </c>
      <c r="T29" s="20">
        <f>'TR TE'!$T$29*'TR TE'!$T$49</f>
        <v>0</v>
      </c>
      <c r="U29" s="20">
        <f>'TR TE'!$U$29*'TR TE'!$U$49</f>
        <v>0</v>
      </c>
      <c r="V29" s="20">
        <f>'TR TE'!$V$29*'TR TE'!$V$49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TE'!$Z$49</f>
        <v>0</v>
      </c>
      <c r="AA29" s="20">
        <f>SUM($Z$29:$Z$29)</f>
        <v>0</v>
      </c>
      <c r="AB29" s="20">
        <f>SUMIF($L$4:$AA$4,"SUBTOTAL",$L$29:$AA$29)</f>
        <v>461.96335769611176</v>
      </c>
    </row>
    <row r="30" spans="1:28" ht="11.25" customHeight="1" x14ac:dyDescent="0.25">
      <c r="A30" s="150"/>
      <c r="B30" s="150"/>
      <c r="C30" s="150"/>
      <c r="D30" s="150"/>
      <c r="E30" s="150"/>
      <c r="F30" s="150"/>
      <c r="G30" s="23" t="s">
        <v>82</v>
      </c>
      <c r="H30" s="23" t="s">
        <v>68</v>
      </c>
      <c r="I30" s="23">
        <f>'MERCADO TE'!$U$27</f>
        <v>0</v>
      </c>
      <c r="J30" s="15"/>
      <c r="L30" s="20">
        <f>'TR TE'!$L$30*'TR TE'!$L$49</f>
        <v>2.8377393648131002</v>
      </c>
      <c r="M30" s="20">
        <f>'TR TE'!$M$30*'TR TE'!$M$49</f>
        <v>0</v>
      </c>
      <c r="N30" s="20">
        <f>'TR TE'!$N$30*'TR TE'!$N$49</f>
        <v>0</v>
      </c>
      <c r="O30" s="20">
        <f>'TR TE'!$O$30*'TR TE'!$O$49</f>
        <v>6.7418018913693734E-14</v>
      </c>
      <c r="P30" s="20">
        <f>'TR TE'!$P$30*'TR TE'!$P$49</f>
        <v>0</v>
      </c>
      <c r="Q30" s="20">
        <f>SUM($L$30:$P$30)</f>
        <v>2.8377393648131677</v>
      </c>
      <c r="R30" s="20">
        <f>'TR TE'!$R$30*'TR TE'!$R$49</f>
        <v>266.93349902982476</v>
      </c>
      <c r="S30" s="20">
        <f>SUM($R$30:$R$30)</f>
        <v>266.93349902982476</v>
      </c>
      <c r="T30" s="20">
        <f>'TR TE'!$T$30*'TR TE'!$T$49</f>
        <v>0</v>
      </c>
      <c r="U30" s="20">
        <f>'TR TE'!$U$30*'TR TE'!$U$49</f>
        <v>0</v>
      </c>
      <c r="V30" s="20">
        <f>'TR TE'!$V$30*'TR TE'!$V$49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TE'!$Z$49</f>
        <v>0</v>
      </c>
      <c r="AA30" s="20">
        <f>SUM($Z$30:$Z$30)</f>
        <v>0</v>
      </c>
      <c r="AB30" s="20">
        <f>SUMIF($L$4:$AA$4,"SUBTOTAL",$L$30:$AA$30)</f>
        <v>269.77123839463792</v>
      </c>
    </row>
    <row r="31" spans="1:28" ht="11.25" customHeight="1" x14ac:dyDescent="0.25">
      <c r="A31" s="150"/>
      <c r="B31" s="150"/>
      <c r="C31" s="150"/>
      <c r="D31" s="150"/>
      <c r="E31" s="150"/>
      <c r="F31" s="150"/>
      <c r="G31" s="23" t="s">
        <v>70</v>
      </c>
      <c r="H31" s="23" t="s">
        <v>68</v>
      </c>
      <c r="I31" s="23">
        <f>'MERCADO TE'!$U$28</f>
        <v>0</v>
      </c>
      <c r="J31" s="15"/>
      <c r="L31" s="20">
        <f>'TR TE'!$L$31*'TR TE'!$L$49</f>
        <v>2.8377393648131002</v>
      </c>
      <c r="M31" s="20">
        <f>'TR TE'!$M$31*'TR TE'!$M$49</f>
        <v>0</v>
      </c>
      <c r="N31" s="20">
        <f>'TR TE'!$N$31*'TR TE'!$N$49</f>
        <v>0</v>
      </c>
      <c r="O31" s="20">
        <f>'TR TE'!$O$31*'TR TE'!$O$49</f>
        <v>6.7418018913693734E-14</v>
      </c>
      <c r="P31" s="20">
        <f>'TR TE'!$P$31*'TR TE'!$P$49</f>
        <v>0</v>
      </c>
      <c r="Q31" s="20">
        <f>SUM($L$31:$P$31)</f>
        <v>2.8377393648131677</v>
      </c>
      <c r="R31" s="20">
        <f>'TR TE'!$R$31*'TR TE'!$R$49</f>
        <v>266.93349902982476</v>
      </c>
      <c r="S31" s="20">
        <f>SUM($R$31:$R$31)</f>
        <v>266.93349902982476</v>
      </c>
      <c r="T31" s="20">
        <f>'TR TE'!$T$31*'TR TE'!$T$49</f>
        <v>0</v>
      </c>
      <c r="U31" s="20">
        <f>'TR TE'!$U$31*'TR TE'!$U$49</f>
        <v>0</v>
      </c>
      <c r="V31" s="20">
        <f>'TR TE'!$V$31*'TR TE'!$V$49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TE'!$Z$49</f>
        <v>0</v>
      </c>
      <c r="AA31" s="20">
        <f>SUM($Z$31:$Z$31)</f>
        <v>0</v>
      </c>
      <c r="AB31" s="20">
        <f>SUMIF($L$4:$AA$4,"SUBTOTAL",$L$31:$AA$31)</f>
        <v>269.77123839463792</v>
      </c>
    </row>
    <row r="32" spans="1:28" ht="11.25" customHeight="1" x14ac:dyDescent="0.25">
      <c r="A32" s="150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'TR TE'!$L$32*'TR TE'!$L$49</f>
        <v>2.8377393648131002</v>
      </c>
      <c r="M32" s="20">
        <f>'TR TE'!$M$32*'TR TE'!$M$49</f>
        <v>0</v>
      </c>
      <c r="N32" s="20">
        <f>'TR TE'!$N$32*'TR TE'!$N$49</f>
        <v>0</v>
      </c>
      <c r="O32" s="20">
        <f>'TR TE'!$O$32*'TR TE'!$O$49</f>
        <v>6.7418018913693734E-14</v>
      </c>
      <c r="P32" s="20">
        <f>'TR TE'!$P$32*'TR TE'!$P$49</f>
        <v>0</v>
      </c>
      <c r="Q32" s="20">
        <f>SUM($L$32:$P$32)</f>
        <v>2.8377393648131677</v>
      </c>
      <c r="R32" s="20">
        <f>'TR TE'!$R$32*'TR TE'!$R$49</f>
        <v>282.94950897161425</v>
      </c>
      <c r="S32" s="20">
        <f>SUM($R$32:$R$32)</f>
        <v>282.94950897161425</v>
      </c>
      <c r="T32" s="20">
        <f>'TR TE'!$T$32*'TR TE'!$T$49</f>
        <v>0</v>
      </c>
      <c r="U32" s="20">
        <f>'TR TE'!$U$32*'TR TE'!$U$49</f>
        <v>0</v>
      </c>
      <c r="V32" s="20">
        <f>'TR TE'!$V$32*'TR TE'!$V$49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TE'!$Z$49</f>
        <v>0</v>
      </c>
      <c r="AA32" s="20">
        <f>SUM($Z$32:$Z$32)</f>
        <v>0</v>
      </c>
      <c r="AB32" s="20">
        <f>SUMIF($L$4:$AA$4,"SUBTOTAL",$L$32:$AA$32)</f>
        <v>285.78724833642741</v>
      </c>
    </row>
    <row r="33" spans="1:28" ht="11.25" customHeight="1" x14ac:dyDescent="0.25">
      <c r="A33" s="150"/>
      <c r="B33" s="150" t="s">
        <v>83</v>
      </c>
      <c r="C33" s="150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'TR TE'!$L$33*'TR TE'!$L$49</f>
        <v>2.8377393648131002</v>
      </c>
      <c r="M33" s="20">
        <f>'TR TE'!$M$33*'TR TE'!$M$49</f>
        <v>0</v>
      </c>
      <c r="N33" s="20">
        <f>'TR TE'!$N$33*'TR TE'!$N$49</f>
        <v>0</v>
      </c>
      <c r="O33" s="20">
        <f>'TR TE'!$O$33*'TR TE'!$O$49</f>
        <v>6.7418018913693734E-14</v>
      </c>
      <c r="P33" s="20">
        <f>'TR TE'!$P$33*'TR TE'!$P$49</f>
        <v>0</v>
      </c>
      <c r="Q33" s="20">
        <f>SUM($L$33:$P$33)</f>
        <v>2.8377393648131677</v>
      </c>
      <c r="R33" s="20">
        <f>'TR TE'!$R$33*'TR TE'!$R$49</f>
        <v>282.94950897161425</v>
      </c>
      <c r="S33" s="20">
        <f>SUM($R$33:$R$33)</f>
        <v>282.94950897161425</v>
      </c>
      <c r="T33" s="20">
        <f>'TR TE'!$T$33*'TR TE'!$T$49</f>
        <v>0</v>
      </c>
      <c r="U33" s="20">
        <f>'TR TE'!$U$33*'TR TE'!$U$49</f>
        <v>0</v>
      </c>
      <c r="V33" s="20">
        <f>'TR TE'!$V$33*'TR TE'!$V$49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TE'!$Z$49</f>
        <v>0</v>
      </c>
      <c r="AA33" s="20">
        <f>SUM($Z$33:$Z$33)</f>
        <v>0</v>
      </c>
      <c r="AB33" s="20">
        <f>SUMIF($L$4:$AA$4,"SUBTOTAL",$L$33:$AA$33)</f>
        <v>285.78724833642741</v>
      </c>
    </row>
    <row r="34" spans="1:28" ht="11.25" customHeight="1" x14ac:dyDescent="0.25">
      <c r="A34" s="150"/>
      <c r="B34" s="150"/>
      <c r="C34" s="150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'TR TE'!$L$34*'TR TE'!$L$49</f>
        <v>2.8377393648131002</v>
      </c>
      <c r="M34" s="20">
        <f>'TR TE'!$M$34*'TR TE'!$M$49</f>
        <v>0</v>
      </c>
      <c r="N34" s="20">
        <f>'TR TE'!$N$34*'TR TE'!$N$49</f>
        <v>0</v>
      </c>
      <c r="O34" s="20">
        <f>'TR TE'!$O$34*'TR TE'!$O$49</f>
        <v>6.7418018913693734E-14</v>
      </c>
      <c r="P34" s="20">
        <f>'TR TE'!$P$34*'TR TE'!$P$49</f>
        <v>0</v>
      </c>
      <c r="Q34" s="20">
        <f>SUM($L$34:$P$34)</f>
        <v>2.8377393648131677</v>
      </c>
      <c r="R34" s="20">
        <f>'TR TE'!$R$34*'TR TE'!$R$49</f>
        <v>282.94950897161425</v>
      </c>
      <c r="S34" s="20">
        <f>SUM($R$34:$R$34)</f>
        <v>282.94950897161425</v>
      </c>
      <c r="T34" s="20">
        <f>'TR TE'!$T$34*'TR TE'!$T$49</f>
        <v>0</v>
      </c>
      <c r="U34" s="20">
        <f>'TR TE'!$U$34*'TR TE'!$U$49</f>
        <v>0</v>
      </c>
      <c r="V34" s="20">
        <f>'TR TE'!$V$34*'TR TE'!$V$49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TE'!$Z$49</f>
        <v>0</v>
      </c>
      <c r="AA34" s="20">
        <f>SUM($Z$34:$Z$34)</f>
        <v>0</v>
      </c>
      <c r="AB34" s="20">
        <f>SUMIF($L$4:$AA$4,"SUBTOTAL",$L$34:$AA$34)</f>
        <v>285.78724833642741</v>
      </c>
    </row>
    <row r="35" spans="1:28" ht="11.25" customHeight="1" x14ac:dyDescent="0.25">
      <c r="A35" s="150"/>
      <c r="B35" s="150"/>
      <c r="C35" s="150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'TR TE'!$L$35*'TR TE'!$L$49</f>
        <v>2.8377393648131002</v>
      </c>
      <c r="M35" s="20">
        <f>'TR TE'!$M$35*'TR TE'!$M$49</f>
        <v>0</v>
      </c>
      <c r="N35" s="20">
        <f>'TR TE'!$N$35*'TR TE'!$N$49</f>
        <v>0</v>
      </c>
      <c r="O35" s="20">
        <f>'TR TE'!$O$35*'TR TE'!$O$49</f>
        <v>6.7418018913693734E-14</v>
      </c>
      <c r="P35" s="20">
        <f>'TR TE'!$P$35*'TR TE'!$P$49</f>
        <v>0</v>
      </c>
      <c r="Q35" s="20">
        <f>SUM($L$35:$P$35)</f>
        <v>2.8377393648131677</v>
      </c>
      <c r="R35" s="20">
        <f>'TR TE'!$R$35*'TR TE'!$R$49</f>
        <v>282.94950897161425</v>
      </c>
      <c r="S35" s="20">
        <f>SUM($R$35:$R$35)</f>
        <v>282.94950897161425</v>
      </c>
      <c r="T35" s="20">
        <f>'TR TE'!$T$35*'TR TE'!$T$49</f>
        <v>0</v>
      </c>
      <c r="U35" s="20">
        <f>'TR TE'!$U$35*'TR TE'!$U$49</f>
        <v>0</v>
      </c>
      <c r="V35" s="20">
        <f>'TR TE'!$V$35*'TR TE'!$V$49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TE'!$Z$49</f>
        <v>0</v>
      </c>
      <c r="AA35" s="20">
        <f>SUM($Z$35:$Z$35)</f>
        <v>0</v>
      </c>
      <c r="AB35" s="20">
        <f>SUMIF($L$4:$AA$4,"SUBTOTAL",$L$35:$AA$35)</f>
        <v>285.78724833642741</v>
      </c>
    </row>
    <row r="36" spans="1:28" ht="11.25" customHeight="1" x14ac:dyDescent="0.25">
      <c r="A36" s="150" t="s">
        <v>32</v>
      </c>
      <c r="B36" s="150" t="s">
        <v>67</v>
      </c>
      <c r="C36" s="150" t="s">
        <v>25</v>
      </c>
      <c r="D36" s="150" t="s">
        <v>25</v>
      </c>
      <c r="E36" s="150" t="s">
        <v>25</v>
      </c>
      <c r="F36" s="150" t="s">
        <v>25</v>
      </c>
      <c r="G36" s="23" t="s">
        <v>69</v>
      </c>
      <c r="H36" s="23" t="s">
        <v>68</v>
      </c>
      <c r="I36" s="23">
        <f>'MERCADO TE'!$U$33</f>
        <v>8.897000000000002</v>
      </c>
      <c r="J36" s="15"/>
      <c r="L36" s="20">
        <f>'TR TE'!$L$36*'TR TE'!$L$49</f>
        <v>2.8377393648131002</v>
      </c>
      <c r="M36" s="20">
        <f>'TR TE'!$M$36*'TR TE'!$M$49</f>
        <v>0</v>
      </c>
      <c r="N36" s="20">
        <f>'TR TE'!$N$36*'TR TE'!$N$49</f>
        <v>0</v>
      </c>
      <c r="O36" s="20">
        <f>'TR TE'!$O$36*'TR TE'!$O$49</f>
        <v>6.7418018913693734E-14</v>
      </c>
      <c r="P36" s="20">
        <f>'TR TE'!$P$36*'TR TE'!$P$49</f>
        <v>0</v>
      </c>
      <c r="Q36" s="20">
        <f>SUM($L$36:$P$36)</f>
        <v>2.8377393648131677</v>
      </c>
      <c r="R36" s="20">
        <f>'TR TE'!$R$36*'TR TE'!$R$49</f>
        <v>459.1256183312986</v>
      </c>
      <c r="S36" s="20">
        <f>SUM($R$36:$R$36)</f>
        <v>459.1256183312986</v>
      </c>
      <c r="T36" s="20">
        <f>'TR TE'!$T$36*'TR TE'!$T$49</f>
        <v>0</v>
      </c>
      <c r="U36" s="20">
        <f>'TR TE'!$U$36*'TR TE'!$U$49</f>
        <v>0</v>
      </c>
      <c r="V36" s="20">
        <f>'TR TE'!$V$36*'TR TE'!$V$49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TE'!$Z$49</f>
        <v>0</v>
      </c>
      <c r="AA36" s="20">
        <f>SUM($Z$36:$Z$36)</f>
        <v>0</v>
      </c>
      <c r="AB36" s="20">
        <f>SUMIF($L$4:$AA$4,"SUBTOTAL",$L$36:$AA$36)</f>
        <v>461.96335769611176</v>
      </c>
    </row>
    <row r="37" spans="1:28" ht="11.25" customHeight="1" x14ac:dyDescent="0.25">
      <c r="A37" s="150"/>
      <c r="B37" s="150"/>
      <c r="C37" s="150"/>
      <c r="D37" s="150"/>
      <c r="E37" s="150"/>
      <c r="F37" s="150"/>
      <c r="G37" s="23" t="s">
        <v>82</v>
      </c>
      <c r="H37" s="23" t="s">
        <v>68</v>
      </c>
      <c r="I37" s="23">
        <f>'MERCADO TE'!$U$34</f>
        <v>7.0329999999999995</v>
      </c>
      <c r="J37" s="15"/>
      <c r="L37" s="20">
        <f>'TR TE'!$L$37*'TR TE'!$L$49</f>
        <v>2.8377393648131002</v>
      </c>
      <c r="M37" s="20">
        <f>'TR TE'!$M$37*'TR TE'!$M$49</f>
        <v>0</v>
      </c>
      <c r="N37" s="20">
        <f>'TR TE'!$N$37*'TR TE'!$N$49</f>
        <v>0</v>
      </c>
      <c r="O37" s="20">
        <f>'TR TE'!$O$37*'TR TE'!$O$49</f>
        <v>6.7418018913693734E-14</v>
      </c>
      <c r="P37" s="20">
        <f>'TR TE'!$P$37*'TR TE'!$P$49</f>
        <v>0</v>
      </c>
      <c r="Q37" s="20">
        <f>SUM($L$37:$P$37)</f>
        <v>2.8377393648131677</v>
      </c>
      <c r="R37" s="20">
        <f>'TR TE'!$R$37*'TR TE'!$R$49</f>
        <v>266.93349902982476</v>
      </c>
      <c r="S37" s="20">
        <f>SUM($R$37:$R$37)</f>
        <v>266.93349902982476</v>
      </c>
      <c r="T37" s="20">
        <f>'TR TE'!$T$37*'TR TE'!$T$49</f>
        <v>0</v>
      </c>
      <c r="U37" s="20">
        <f>'TR TE'!$U$37*'TR TE'!$U$49</f>
        <v>0</v>
      </c>
      <c r="V37" s="20">
        <f>'TR TE'!$V$37*'TR TE'!$V$49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TE'!$Z$49</f>
        <v>0</v>
      </c>
      <c r="AA37" s="20">
        <f>SUM($Z$37:$Z$37)</f>
        <v>0</v>
      </c>
      <c r="AB37" s="20">
        <f>SUMIF($L$4:$AA$4,"SUBTOTAL",$L$37:$AA$37)</f>
        <v>269.77123839463792</v>
      </c>
    </row>
    <row r="38" spans="1:28" ht="11.25" customHeight="1" x14ac:dyDescent="0.25">
      <c r="A38" s="150"/>
      <c r="B38" s="150"/>
      <c r="C38" s="150"/>
      <c r="D38" s="150"/>
      <c r="E38" s="150"/>
      <c r="F38" s="150"/>
      <c r="G38" s="23" t="s">
        <v>70</v>
      </c>
      <c r="H38" s="23" t="s">
        <v>68</v>
      </c>
      <c r="I38" s="23">
        <f>'MERCADO TE'!$U$35</f>
        <v>183.905</v>
      </c>
      <c r="J38" s="15"/>
      <c r="L38" s="20">
        <f>'TR TE'!$L$38*'TR TE'!$L$49</f>
        <v>2.8377393648131002</v>
      </c>
      <c r="M38" s="20">
        <f>'TR TE'!$M$38*'TR TE'!$M$49</f>
        <v>0</v>
      </c>
      <c r="N38" s="20">
        <f>'TR TE'!$N$38*'TR TE'!$N$49</f>
        <v>0</v>
      </c>
      <c r="O38" s="20">
        <f>'TR TE'!$O$38*'TR TE'!$O$49</f>
        <v>6.7418018913693734E-14</v>
      </c>
      <c r="P38" s="20">
        <f>'TR TE'!$P$38*'TR TE'!$P$49</f>
        <v>0</v>
      </c>
      <c r="Q38" s="20">
        <f>SUM($L$38:$P$38)</f>
        <v>2.8377393648131677</v>
      </c>
      <c r="R38" s="20">
        <f>'TR TE'!$R$38*'TR TE'!$R$49</f>
        <v>266.93349902982476</v>
      </c>
      <c r="S38" s="20">
        <f>SUM($R$38:$R$38)</f>
        <v>266.93349902982476</v>
      </c>
      <c r="T38" s="20">
        <f>'TR TE'!$T$38*'TR TE'!$T$49</f>
        <v>0</v>
      </c>
      <c r="U38" s="20">
        <f>'TR TE'!$U$38*'TR TE'!$U$49</f>
        <v>0</v>
      </c>
      <c r="V38" s="20">
        <f>'TR TE'!$V$38*'TR TE'!$V$49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TE'!$Z$49</f>
        <v>0</v>
      </c>
      <c r="AA38" s="20">
        <f>SUM($Z$38:$Z$38)</f>
        <v>0</v>
      </c>
      <c r="AB38" s="20">
        <f>SUMIF($L$4:$AA$4,"SUBTOTAL",$L$38:$AA$38)</f>
        <v>269.77123839463792</v>
      </c>
    </row>
    <row r="39" spans="1:28" ht="11.25" customHeight="1" x14ac:dyDescent="0.25">
      <c r="A39" s="150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4632.741</v>
      </c>
      <c r="J39" s="15"/>
      <c r="L39" s="20">
        <f>'TR TE'!$L$39*'TR TE'!$L$49</f>
        <v>2.8377393648131002</v>
      </c>
      <c r="M39" s="20">
        <f>'TR TE'!$M$39*'TR TE'!$M$49</f>
        <v>0</v>
      </c>
      <c r="N39" s="20">
        <f>'TR TE'!$N$39*'TR TE'!$N$49</f>
        <v>0</v>
      </c>
      <c r="O39" s="20">
        <f>'TR TE'!$O$39*'TR TE'!$O$49</f>
        <v>6.7418018913693734E-14</v>
      </c>
      <c r="P39" s="20">
        <f>'TR TE'!$P$39*'TR TE'!$P$49</f>
        <v>0</v>
      </c>
      <c r="Q39" s="20">
        <f>SUM($L$39:$P$39)</f>
        <v>2.8377393648131677</v>
      </c>
      <c r="R39" s="20">
        <f>'TR TE'!$R$39*'TR TE'!$R$49</f>
        <v>282.94950897161425</v>
      </c>
      <c r="S39" s="20">
        <f>SUM($R$39:$R$39)</f>
        <v>282.94950897161425</v>
      </c>
      <c r="T39" s="20">
        <f>'TR TE'!$T$39*'TR TE'!$T$49</f>
        <v>0</v>
      </c>
      <c r="U39" s="20">
        <f>'TR TE'!$U$39*'TR TE'!$U$49</f>
        <v>0</v>
      </c>
      <c r="V39" s="20">
        <f>'TR TE'!$V$39*'TR TE'!$V$49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TE'!$Z$49</f>
        <v>0</v>
      </c>
      <c r="AA39" s="20">
        <f>SUM($Z$39:$Z$39)</f>
        <v>0</v>
      </c>
      <c r="AB39" s="20">
        <f>SUMIF($L$4:$AA$4,"SUBTOTAL",$L$39:$AA$39)</f>
        <v>285.78724833642741</v>
      </c>
    </row>
    <row r="40" spans="1:28" ht="11.25" customHeight="1" x14ac:dyDescent="0.25">
      <c r="A40" s="150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'TR TE'!$L$40*'TR TE'!$L$49</f>
        <v>2.8377393648131002</v>
      </c>
      <c r="M40" s="20">
        <f>'TR TE'!$M$40*'TR TE'!$M$49</f>
        <v>0</v>
      </c>
      <c r="N40" s="20">
        <f>'TR TE'!$N$40*'TR TE'!$N$49</f>
        <v>0</v>
      </c>
      <c r="O40" s="20">
        <f>'TR TE'!$O$40*'TR TE'!$O$49</f>
        <v>6.7418018913693734E-14</v>
      </c>
      <c r="P40" s="20">
        <f>'TR TE'!$P$40*'TR TE'!$P$49</f>
        <v>0</v>
      </c>
      <c r="Q40" s="20">
        <f>SUM($L$40:$P$40)</f>
        <v>2.8377393648131677</v>
      </c>
      <c r="R40" s="20">
        <f>'TR TE'!$R$40*'TR TE'!$R$49</f>
        <v>282.94950897161425</v>
      </c>
      <c r="S40" s="20">
        <f>SUM($R$40:$R$40)</f>
        <v>282.94950897161425</v>
      </c>
      <c r="T40" s="20">
        <f>'TR TE'!$T$40*'TR TE'!$T$49</f>
        <v>0</v>
      </c>
      <c r="U40" s="20">
        <f>'TR TE'!$U$40*'TR TE'!$U$49</f>
        <v>0</v>
      </c>
      <c r="V40" s="20">
        <f>'TR TE'!$V$40*'TR TE'!$V$49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TE'!$Z$49</f>
        <v>0</v>
      </c>
      <c r="AA40" s="20">
        <f>SUM($Z$40:$Z$40)</f>
        <v>0</v>
      </c>
      <c r="AB40" s="20">
        <f>SUMIF($L$4:$AA$4,"SUBTOTAL",$L$40:$AA$40)</f>
        <v>285.78724833642741</v>
      </c>
    </row>
    <row r="41" spans="1:28" ht="11.25" customHeight="1" x14ac:dyDescent="0.25">
      <c r="A41" s="150" t="s">
        <v>44</v>
      </c>
      <c r="B41" s="150" t="s">
        <v>71</v>
      </c>
      <c r="C41" s="150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356.69600000000003</v>
      </c>
      <c r="J41" s="15"/>
      <c r="L41" s="20">
        <f>'TR TE'!$L$41*'TR TE'!$L$49</f>
        <v>1.5607566506472053</v>
      </c>
      <c r="M41" s="20">
        <f>'TR TE'!$M$41*'TR TE'!$M$49</f>
        <v>0</v>
      </c>
      <c r="N41" s="20">
        <f>'TR TE'!$N$41*'TR TE'!$N$49</f>
        <v>0</v>
      </c>
      <c r="O41" s="20">
        <f>'TR TE'!$O$41*'TR TE'!$O$49</f>
        <v>3.7079910402531557E-14</v>
      </c>
      <c r="P41" s="20">
        <f>'TR TE'!$P$41*'TR TE'!$P$49</f>
        <v>0</v>
      </c>
      <c r="Q41" s="20">
        <f>SUM($L$41:$P$41)</f>
        <v>1.5607566506472423</v>
      </c>
      <c r="R41" s="20">
        <f>'TR TE'!$R$41*'TR TE'!$R$49</f>
        <v>155.62222993438786</v>
      </c>
      <c r="S41" s="20">
        <f>SUM($R$41:$R$41)</f>
        <v>155.62222993438786</v>
      </c>
      <c r="T41" s="20">
        <f>'TR TE'!$T$41*'TR TE'!$T$49</f>
        <v>0</v>
      </c>
      <c r="U41" s="20">
        <f>'TR TE'!$U$41*'TR TE'!$U$49</f>
        <v>0</v>
      </c>
      <c r="V41" s="20">
        <f>'TR TE'!$V$41*'TR TE'!$V$49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TE'!$Z$49</f>
        <v>0</v>
      </c>
      <c r="AA41" s="20">
        <f>SUM($Z$41:$Z$41)</f>
        <v>0</v>
      </c>
      <c r="AB41" s="20">
        <f>SUMIF($L$4:$AA$4,"SUBTOTAL",$L$41:$AA$41)</f>
        <v>157.18298658503511</v>
      </c>
    </row>
    <row r="42" spans="1:28" ht="11.25" customHeight="1" x14ac:dyDescent="0.25">
      <c r="A42" s="150"/>
      <c r="B42" s="150"/>
      <c r="C42" s="150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'TR TE'!$L$42*'TR TE'!$L$49</f>
        <v>1.70264361888786</v>
      </c>
      <c r="M42" s="20">
        <f>'TR TE'!$M$42*'TR TE'!$M$49</f>
        <v>0</v>
      </c>
      <c r="N42" s="20">
        <f>'TR TE'!$N$42*'TR TE'!$N$49</f>
        <v>0</v>
      </c>
      <c r="O42" s="20">
        <f>'TR TE'!$O$42*'TR TE'!$O$49</f>
        <v>4.0450811348216242E-14</v>
      </c>
      <c r="P42" s="20">
        <f>'TR TE'!$P$42*'TR TE'!$P$49</f>
        <v>0</v>
      </c>
      <c r="Q42" s="20">
        <f>SUM($L$42:$P$42)</f>
        <v>1.7026436188879004</v>
      </c>
      <c r="R42" s="20">
        <f>'TR TE'!$R$42*'TR TE'!$R$49</f>
        <v>169.76970538296854</v>
      </c>
      <c r="S42" s="20">
        <f>SUM($R$42:$R$42)</f>
        <v>169.76970538296854</v>
      </c>
      <c r="T42" s="20">
        <f>'TR TE'!$T$42*'TR TE'!$T$49</f>
        <v>0</v>
      </c>
      <c r="U42" s="20">
        <f>'TR TE'!$U$42*'TR TE'!$U$49</f>
        <v>0</v>
      </c>
      <c r="V42" s="20">
        <f>'TR TE'!$V$42*'TR TE'!$V$49</f>
        <v>0</v>
      </c>
      <c r="W42" s="20">
        <f>SUM($T$42:$V$42)</f>
        <v>0</v>
      </c>
      <c r="X42" s="20"/>
      <c r="Y42" s="20">
        <f>SUM($X$42:$X$42)</f>
        <v>0</v>
      </c>
      <c r="Z42" s="20">
        <f>'TR TE'!$Z$42*'TR TE'!$Z$49</f>
        <v>0</v>
      </c>
      <c r="AA42" s="20">
        <f>SUM($Z$42:$Z$42)</f>
        <v>0</v>
      </c>
      <c r="AB42" s="20">
        <f>SUMIF($L$4:$AA$4,"SUBTOTAL",$L$42:$AA$42)</f>
        <v>171.47234900185643</v>
      </c>
    </row>
    <row r="44" spans="1:28" ht="11.25" customHeight="1" x14ac:dyDescent="0.25">
      <c r="K44" s="25" t="s">
        <v>542</v>
      </c>
      <c r="L44" s="20">
        <f t="shared" ref="L44:AB44" si="0">SUMPRODUCT($I$5:$I$42,L$5:L$42)</f>
        <v>42091.705015032821</v>
      </c>
      <c r="M44" s="20">
        <f t="shared" si="0"/>
        <v>0</v>
      </c>
      <c r="N44" s="20">
        <f t="shared" si="0"/>
        <v>0</v>
      </c>
      <c r="O44" s="20">
        <f t="shared" si="0"/>
        <v>1.0000000000000001E-9</v>
      </c>
      <c r="P44" s="20">
        <f t="shared" si="0"/>
        <v>0</v>
      </c>
      <c r="Q44" s="20">
        <f t="shared" si="0"/>
        <v>42091.705015033825</v>
      </c>
      <c r="R44" s="20">
        <f t="shared" si="0"/>
        <v>4175116.2832134734</v>
      </c>
      <c r="S44" s="20">
        <f t="shared" si="0"/>
        <v>4175116.2832134734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4217207.9882285064</v>
      </c>
    </row>
    <row r="45" spans="1:28" ht="11.25" customHeight="1" x14ac:dyDescent="0.25">
      <c r="K45" s="25" t="s">
        <v>461</v>
      </c>
      <c r="L45" s="20">
        <f>CUSTOS!$D$30</f>
        <v>42091.705015032829</v>
      </c>
      <c r="M45" s="20">
        <f>CUSTOS!$D$31</f>
        <v>0</v>
      </c>
      <c r="N45" s="20">
        <f>CUSTOS!$D$32</f>
        <v>0</v>
      </c>
      <c r="O45" s="20">
        <f>CUSTOS!$D$33</f>
        <v>1.0000000000000001E-9</v>
      </c>
      <c r="P45" s="20">
        <f>CUSTOS!$D$34</f>
        <v>0</v>
      </c>
      <c r="Q45" s="20">
        <f>CUSTOS!$D$35</f>
        <v>42091.705015033825</v>
      </c>
      <c r="R45" s="20">
        <f>CUSTOS!$D$36</f>
        <v>4175116.283213472</v>
      </c>
      <c r="S45" s="20">
        <f>CUSTOS!$D$37</f>
        <v>4175116.283213472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4217207.9882285055</v>
      </c>
    </row>
    <row r="46" spans="1:28" ht="11.25" customHeight="1" x14ac:dyDescent="0.25">
      <c r="K46" s="25" t="s">
        <v>462</v>
      </c>
      <c r="L46" s="20">
        <f>CUSTOS!$E$30</f>
        <v>2.2651100147363584E-2</v>
      </c>
      <c r="M46" s="20">
        <f>CUSTOS!$E$31</f>
        <v>0</v>
      </c>
      <c r="N46" s="20">
        <f>CUSTOS!$E$32</f>
        <v>0</v>
      </c>
      <c r="O46" s="20">
        <f>CUSTOS!$E$33</f>
        <v>-147.27501618570966</v>
      </c>
      <c r="P46" s="20">
        <f>CUSTOS!$E$34</f>
        <v>0</v>
      </c>
      <c r="Q46" s="20">
        <f>CUSTOS!$E$35</f>
        <v>-147.2523650855623</v>
      </c>
      <c r="R46" s="20">
        <f>CUSTOS!$E$36</f>
        <v>114967.26282738737</v>
      </c>
      <c r="S46" s="20">
        <f>CUSTOS!$E$37</f>
        <v>114967.26282738737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114820.01046230181</v>
      </c>
    </row>
    <row r="47" spans="1:28" ht="11.25" customHeight="1" x14ac:dyDescent="0.25">
      <c r="K47" s="25" t="s">
        <v>463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-44840.210847179369</v>
      </c>
      <c r="S47" s="20">
        <f>CUSTOS!$F$37</f>
        <v>-44840.210847179369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-44840.210847179369</v>
      </c>
    </row>
    <row r="48" spans="1:28" ht="11.25" customHeight="1" x14ac:dyDescent="0.25">
      <c r="K48" s="25" t="s">
        <v>543</v>
      </c>
      <c r="L48" s="20">
        <f>'TR TE'!$L$48*L49</f>
        <v>1.527092298150929E-6</v>
      </c>
      <c r="M48" s="20">
        <f>'TR TE'!$M$48*M49</f>
        <v>0</v>
      </c>
      <c r="N48" s="20">
        <f>'TR TE'!$N$48*N49</f>
        <v>0</v>
      </c>
      <c r="O48" s="20">
        <f>'TR TE'!$O$48*O49</f>
        <v>-9.9289898267227242E-3</v>
      </c>
      <c r="P48" s="20">
        <f>'TR TE'!$P$48*P49</f>
        <v>0</v>
      </c>
      <c r="Q48" s="20"/>
      <c r="R48" s="20">
        <f>'TR TE'!$R$48*R49</f>
        <v>7.8475707047754799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25">
      <c r="K49" s="25" t="s">
        <v>530</v>
      </c>
      <c r="L49" s="20">
        <f>IF(L45&lt;&gt;0,L46/L45,0)</f>
        <v>5.3813691175669566E-7</v>
      </c>
      <c r="M49" s="20">
        <f>IF(M45&lt;&gt;0,M46/M45,0)</f>
        <v>0</v>
      </c>
      <c r="N49" s="20">
        <f>IF(N45&lt;&gt;0,N46/N45,0)</f>
        <v>0</v>
      </c>
      <c r="O49" s="20">
        <f>IF(O45&lt;&gt;0,O46/O45,0)</f>
        <v>-147275016185.70966</v>
      </c>
      <c r="P49" s="20">
        <f>IF(P45&lt;&gt;0,P46/P45,0)</f>
        <v>0</v>
      </c>
      <c r="Q49" s="20"/>
      <c r="R49" s="20">
        <f>IF(R45&lt;&gt;0,R46/R45,0)</f>
        <v>2.7536301992264568E-2</v>
      </c>
      <c r="S49" s="20"/>
      <c r="T49" s="20">
        <f>IF(T45&lt;&gt;0,T46/T45,0)</f>
        <v>0</v>
      </c>
      <c r="U49" s="20">
        <f>IF(U45&lt;&gt;0,U46/U45,0)</f>
        <v>0</v>
      </c>
      <c r="V49" s="20">
        <f>IF(V45&lt;&gt;0,V46/V45,0)</f>
        <v>0</v>
      </c>
      <c r="W49" s="20"/>
      <c r="X49" s="20">
        <f>IF(($AB45-0)&lt;&gt;0,X46/($AB45-0),0)</f>
        <v>0</v>
      </c>
      <c r="Y49" s="20"/>
      <c r="Z49" s="20">
        <f>IF(Z45&lt;&gt;0,Z46/Z45,0)</f>
        <v>0</v>
      </c>
      <c r="AA49" s="20"/>
      <c r="AB49" s="20"/>
    </row>
    <row r="50" spans="11:28" ht="11.25" customHeight="1" x14ac:dyDescent="0.25">
      <c r="K50" s="25" t="s">
        <v>545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</sheetData>
  <mergeCells count="61">
    <mergeCell ref="E36:E38"/>
    <mergeCell ref="F36:F38"/>
    <mergeCell ref="A41:A42"/>
    <mergeCell ref="B41:B42"/>
    <mergeCell ref="C41:C42"/>
    <mergeCell ref="D36:D38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809" priority="33" operator="notEqual">
      <formula>$L$45</formula>
    </cfRule>
    <cfRule type="cellIs" dxfId="808" priority="34" operator="equal">
      <formula>$L$45</formula>
    </cfRule>
  </conditionalFormatting>
  <conditionalFormatting sqref="M44">
    <cfRule type="cellIs" dxfId="807" priority="31" operator="notEqual">
      <formula>$M$45</formula>
    </cfRule>
    <cfRule type="cellIs" dxfId="806" priority="32" operator="equal">
      <formula>$M$45</formula>
    </cfRule>
  </conditionalFormatting>
  <conditionalFormatting sqref="N44">
    <cfRule type="cellIs" dxfId="805" priority="29" operator="notEqual">
      <formula>$N$45</formula>
    </cfRule>
    <cfRule type="cellIs" dxfId="804" priority="30" operator="equal">
      <formula>$N$45</formula>
    </cfRule>
  </conditionalFormatting>
  <conditionalFormatting sqref="O44">
    <cfRule type="cellIs" dxfId="803" priority="27" operator="notEqual">
      <formula>$O$45</formula>
    </cfRule>
    <cfRule type="cellIs" dxfId="802" priority="28" operator="equal">
      <formula>$O$45</formula>
    </cfRule>
  </conditionalFormatting>
  <conditionalFormatting sqref="P44">
    <cfRule type="cellIs" dxfId="801" priority="25" operator="notEqual">
      <formula>$P$45</formula>
    </cfRule>
    <cfRule type="cellIs" dxfId="800" priority="26" operator="equal">
      <formula>$P$45</formula>
    </cfRule>
  </conditionalFormatting>
  <conditionalFormatting sqref="Q44">
    <cfRule type="cellIs" dxfId="799" priority="23" operator="notEqual">
      <formula>$Q$45</formula>
    </cfRule>
    <cfRule type="cellIs" dxfId="798" priority="24" operator="equal">
      <formula>$Q$45</formula>
    </cfRule>
  </conditionalFormatting>
  <conditionalFormatting sqref="R44">
    <cfRule type="cellIs" dxfId="797" priority="21" operator="notEqual">
      <formula>$R$45</formula>
    </cfRule>
    <cfRule type="cellIs" dxfId="796" priority="22" operator="equal">
      <formula>$R$45</formula>
    </cfRule>
  </conditionalFormatting>
  <conditionalFormatting sqref="S44">
    <cfRule type="cellIs" dxfId="795" priority="19" operator="notEqual">
      <formula>$S$45</formula>
    </cfRule>
    <cfRule type="cellIs" dxfId="794" priority="20" operator="equal">
      <formula>$S$45</formula>
    </cfRule>
  </conditionalFormatting>
  <conditionalFormatting sqref="T44">
    <cfRule type="cellIs" dxfId="793" priority="17" operator="notEqual">
      <formula>$T$45</formula>
    </cfRule>
    <cfRule type="cellIs" dxfId="792" priority="18" operator="equal">
      <formula>$T$45</formula>
    </cfRule>
  </conditionalFormatting>
  <conditionalFormatting sqref="U44">
    <cfRule type="cellIs" dxfId="791" priority="15" operator="notEqual">
      <formula>$U$45</formula>
    </cfRule>
    <cfRule type="cellIs" dxfId="790" priority="16" operator="equal">
      <formula>$U$45</formula>
    </cfRule>
  </conditionalFormatting>
  <conditionalFormatting sqref="V44">
    <cfRule type="cellIs" dxfId="789" priority="13" operator="notEqual">
      <formula>$V$45</formula>
    </cfRule>
    <cfRule type="cellIs" dxfId="788" priority="14" operator="equal">
      <formula>$V$45</formula>
    </cfRule>
  </conditionalFormatting>
  <conditionalFormatting sqref="W44">
    <cfRule type="cellIs" dxfId="787" priority="11" operator="notEqual">
      <formula>$W$45</formula>
    </cfRule>
    <cfRule type="cellIs" dxfId="786" priority="12" operator="equal">
      <formula>$W$45</formula>
    </cfRule>
  </conditionalFormatting>
  <conditionalFormatting sqref="X44">
    <cfRule type="cellIs" dxfId="785" priority="9" operator="notEqual">
      <formula>$X$45</formula>
    </cfRule>
    <cfRule type="cellIs" dxfId="784" priority="10" operator="equal">
      <formula>$X$45</formula>
    </cfRule>
  </conditionalFormatting>
  <conditionalFormatting sqref="Y44">
    <cfRule type="cellIs" dxfId="783" priority="7" operator="notEqual">
      <formula>$Y$45</formula>
    </cfRule>
    <cfRule type="cellIs" dxfId="782" priority="8" operator="equal">
      <formula>$Y$45</formula>
    </cfRule>
  </conditionalFormatting>
  <conditionalFormatting sqref="Z44">
    <cfRule type="cellIs" dxfId="781" priority="5" operator="notEqual">
      <formula>$Z$45</formula>
    </cfRule>
    <cfRule type="cellIs" dxfId="780" priority="6" operator="equal">
      <formula>$Z$45</formula>
    </cfRule>
  </conditionalFormatting>
  <conditionalFormatting sqref="AA44">
    <cfRule type="cellIs" dxfId="779" priority="3" operator="notEqual">
      <formula>$AA$45</formula>
    </cfRule>
    <cfRule type="cellIs" dxfId="778" priority="4" operator="equal">
      <formula>$AA$45</formula>
    </cfRule>
  </conditionalFormatting>
  <conditionalFormatting sqref="AB44">
    <cfRule type="cellIs" dxfId="777" priority="1" operator="notEqual">
      <formula>$AB$45</formula>
    </cfRule>
    <cfRule type="cellIs" dxfId="776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003B-780B-43E5-BCF9-3AE0ECA29002}">
  <sheetPr codeName="Planilha15"/>
  <dimension ref="A1:AB50"/>
  <sheetViews>
    <sheetView showGridLines="0" topLeftCell="Q31" workbookViewId="0">
      <selection activeCell="AB44" sqref="AB44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49" t="s">
        <v>58</v>
      </c>
      <c r="B1" s="149" t="s">
        <v>59</v>
      </c>
      <c r="C1" s="149" t="s">
        <v>60</v>
      </c>
      <c r="D1" s="149" t="s">
        <v>61</v>
      </c>
      <c r="E1" s="149" t="s">
        <v>62</v>
      </c>
      <c r="F1" s="149" t="s">
        <v>15</v>
      </c>
      <c r="G1" s="149" t="s">
        <v>64</v>
      </c>
      <c r="H1" s="149" t="s">
        <v>65</v>
      </c>
      <c r="I1" s="149" t="s">
        <v>520</v>
      </c>
      <c r="J1" s="128"/>
      <c r="L1" s="147" t="s">
        <v>547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</row>
    <row r="2" spans="1:28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28"/>
      <c r="L2" s="147" t="s">
        <v>447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</row>
    <row r="3" spans="1:28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28"/>
      <c r="L3" s="147" t="s">
        <v>420</v>
      </c>
      <c r="M3" s="147"/>
      <c r="N3" s="147"/>
      <c r="O3" s="147"/>
      <c r="P3" s="147"/>
      <c r="Q3" s="147"/>
      <c r="R3" s="147" t="s">
        <v>451</v>
      </c>
      <c r="S3" s="147"/>
      <c r="T3" s="147" t="s">
        <v>429</v>
      </c>
      <c r="U3" s="147"/>
      <c r="V3" s="147"/>
      <c r="W3" s="147"/>
      <c r="X3" s="147" t="s">
        <v>439</v>
      </c>
      <c r="Y3" s="147"/>
      <c r="Z3" s="147" t="s">
        <v>442</v>
      </c>
      <c r="AA3" s="147"/>
      <c r="AB3" s="147" t="s">
        <v>428</v>
      </c>
    </row>
    <row r="4" spans="1:28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28"/>
      <c r="L4" s="24" t="s">
        <v>422</v>
      </c>
      <c r="M4" s="24" t="s">
        <v>448</v>
      </c>
      <c r="N4" s="24" t="s">
        <v>449</v>
      </c>
      <c r="O4" s="24" t="s">
        <v>508</v>
      </c>
      <c r="P4" s="24" t="s">
        <v>450</v>
      </c>
      <c r="Q4" s="24" t="s">
        <v>428</v>
      </c>
      <c r="R4" s="24" t="s">
        <v>452</v>
      </c>
      <c r="S4" s="24" t="s">
        <v>428</v>
      </c>
      <c r="T4" s="24" t="s">
        <v>453</v>
      </c>
      <c r="U4" s="24" t="s">
        <v>454</v>
      </c>
      <c r="V4" s="24" t="s">
        <v>455</v>
      </c>
      <c r="W4" s="24" t="s">
        <v>428</v>
      </c>
      <c r="X4" s="24" t="s">
        <v>440</v>
      </c>
      <c r="Y4" s="24" t="s">
        <v>428</v>
      </c>
      <c r="Z4" s="24" t="s">
        <v>456</v>
      </c>
      <c r="AA4" s="24" t="s">
        <v>428</v>
      </c>
      <c r="AB4" s="148"/>
    </row>
    <row r="5" spans="1:28" ht="11.25" customHeight="1" x14ac:dyDescent="0.25">
      <c r="A5" s="150" t="s">
        <v>34</v>
      </c>
      <c r="B5" s="150" t="s">
        <v>67</v>
      </c>
      <c r="C5" s="150" t="s">
        <v>25</v>
      </c>
      <c r="D5" s="150" t="s">
        <v>25</v>
      </c>
      <c r="E5" s="150" t="s">
        <v>25</v>
      </c>
      <c r="F5" s="150" t="s">
        <v>25</v>
      </c>
      <c r="G5" s="23" t="s">
        <v>69</v>
      </c>
      <c r="H5" s="23" t="s">
        <v>68</v>
      </c>
      <c r="I5" s="23">
        <f>'MERCADO TE'!$U$2</f>
        <v>86.265000000000001</v>
      </c>
      <c r="J5" s="15"/>
      <c r="L5" s="20">
        <f>'TE BE'!$L$5*'TE BE'!$L$49</f>
        <v>1.527092298150929E-6</v>
      </c>
      <c r="M5" s="20">
        <f>'TE BE'!$M$5*'TE BE'!$M$49</f>
        <v>0</v>
      </c>
      <c r="N5" s="20">
        <f>'TE BE'!$N$5*'TE BE'!$N$49</f>
        <v>0</v>
      </c>
      <c r="O5" s="20">
        <f>'TE BE'!$O$5*'TE BE'!$O$49</f>
        <v>-9.9289898267227242E-3</v>
      </c>
      <c r="P5" s="20">
        <f>'TE BE'!$P$5*'TE BE'!$P$49</f>
        <v>0</v>
      </c>
      <c r="Q5" s="20">
        <f>SUM($L$5:$P$5)</f>
        <v>-9.927462734424573E-3</v>
      </c>
      <c r="R5" s="20">
        <f>'TE BE'!$R$5*'TE BE'!$R$49</f>
        <v>12.642621678755839</v>
      </c>
      <c r="S5" s="20">
        <f>SUM($R$5:$R$5)</f>
        <v>12.642621678755839</v>
      </c>
      <c r="T5" s="20">
        <f>'TE BE'!$T$5*'TE BE'!$T$49</f>
        <v>0</v>
      </c>
      <c r="U5" s="20">
        <f>'TE BE'!$U$5*'TE BE'!$U$49</f>
        <v>0</v>
      </c>
      <c r="V5" s="20">
        <f>'TE BE'!$V$5*'TE BE'!$V$49</f>
        <v>0</v>
      </c>
      <c r="W5" s="20">
        <f>SUM($T$5:$V$5)</f>
        <v>0</v>
      </c>
      <c r="X5" s="20">
        <f>'TE BE'!$AB$5*'TE BE'!$X$49</f>
        <v>0</v>
      </c>
      <c r="Y5" s="20">
        <f>SUM($X$5:$X$5)</f>
        <v>0</v>
      </c>
      <c r="Z5" s="20">
        <f>'TE BE'!$Z$5*'TE BE'!$Z$49</f>
        <v>0</v>
      </c>
      <c r="AA5" s="20">
        <f>SUM($Z$5:$Z$5)</f>
        <v>0</v>
      </c>
      <c r="AB5" s="20">
        <f>SUMIF($L$4:$AA$4,"SUBTOTAL",$L$5:$AA$5)</f>
        <v>12.632694216021415</v>
      </c>
    </row>
    <row r="6" spans="1:28" ht="11.25" customHeight="1" x14ac:dyDescent="0.25">
      <c r="A6" s="150"/>
      <c r="B6" s="150"/>
      <c r="C6" s="150"/>
      <c r="D6" s="150"/>
      <c r="E6" s="150"/>
      <c r="F6" s="150"/>
      <c r="G6" s="23" t="s">
        <v>70</v>
      </c>
      <c r="H6" s="23" t="s">
        <v>68</v>
      </c>
      <c r="I6" s="23">
        <f>'MERCADO TE'!$U$3</f>
        <v>2218.5819999999999</v>
      </c>
      <c r="J6" s="15"/>
      <c r="L6" s="20">
        <f>'TE BE'!$L$6*'TE BE'!$L$49</f>
        <v>1.527092298150929E-6</v>
      </c>
      <c r="M6" s="20">
        <f>'TE BE'!$M$6*'TE BE'!$M$49</f>
        <v>0</v>
      </c>
      <c r="N6" s="20">
        <f>'TE BE'!$N$6*'TE BE'!$N$49</f>
        <v>0</v>
      </c>
      <c r="O6" s="20">
        <f>'TE BE'!$O$6*'TE BE'!$O$49</f>
        <v>-9.9289898267227242E-3</v>
      </c>
      <c r="P6" s="20">
        <f>'TE BE'!$P$6*'TE BE'!$P$49</f>
        <v>0</v>
      </c>
      <c r="Q6" s="20">
        <f>SUM($L$6:$P$6)</f>
        <v>-9.927462734424573E-3</v>
      </c>
      <c r="R6" s="20">
        <f>'TE BE'!$R$6*'TE BE'!$R$49</f>
        <v>7.3503614411371156</v>
      </c>
      <c r="S6" s="20">
        <f>SUM($R$6:$R$6)</f>
        <v>7.3503614411371156</v>
      </c>
      <c r="T6" s="20">
        <f>'TE BE'!$T$6*'TE BE'!$T$49</f>
        <v>0</v>
      </c>
      <c r="U6" s="20">
        <f>'TE BE'!$U$6*'TE BE'!$U$49</f>
        <v>0</v>
      </c>
      <c r="V6" s="20">
        <f>'TE BE'!$V$6*'TE BE'!$V$49</f>
        <v>0</v>
      </c>
      <c r="W6" s="20">
        <f>SUM($T$6:$V$6)</f>
        <v>0</v>
      </c>
      <c r="X6" s="20">
        <f>'TE BE'!$AB$6*'TE BE'!$X$49</f>
        <v>0</v>
      </c>
      <c r="Y6" s="20">
        <f>SUM($X$6:$X$6)</f>
        <v>0</v>
      </c>
      <c r="Z6" s="20">
        <f>'TE BE'!$Z$6*'TE BE'!$Z$49</f>
        <v>0</v>
      </c>
      <c r="AA6" s="20">
        <f>SUM($Z$6:$Z$6)</f>
        <v>0</v>
      </c>
      <c r="AB6" s="20">
        <f>SUMIF($L$4:$AA$4,"SUBTOTAL",$L$6:$AA$6)</f>
        <v>7.3404339784026913</v>
      </c>
    </row>
    <row r="7" spans="1:28" ht="11.25" customHeight="1" x14ac:dyDescent="0.25">
      <c r="A7" s="150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'TE BE'!$L$7*'TE BE'!$L$49</f>
        <v>1.527092298150929E-6</v>
      </c>
      <c r="M7" s="20">
        <f>'TE BE'!$M$7*'TE BE'!$M$49</f>
        <v>0</v>
      </c>
      <c r="N7" s="20">
        <f>'TE BE'!$N$7*'TE BE'!$N$49</f>
        <v>0</v>
      </c>
      <c r="O7" s="20">
        <f>'TE BE'!$O$7*'TE BE'!$O$49</f>
        <v>-9.9289898267227242E-3</v>
      </c>
      <c r="P7" s="20">
        <f>'TE BE'!$P$7*'TE BE'!$P$49</f>
        <v>0</v>
      </c>
      <c r="Q7" s="20">
        <f>SUM($L$7:$P$7)</f>
        <v>-9.927462734424573E-3</v>
      </c>
      <c r="R7" s="20">
        <f>'TE BE'!$R$7*'TE BE'!$R$49</f>
        <v>7.7913831276053429</v>
      </c>
      <c r="S7" s="20">
        <f>SUM($R$7:$R$7)</f>
        <v>7.7913831276053429</v>
      </c>
      <c r="T7" s="20">
        <f>'TE BE'!$T$7*'TE BE'!$T$49</f>
        <v>0</v>
      </c>
      <c r="U7" s="20">
        <f>'TE BE'!$U$7*'TE BE'!$U$49</f>
        <v>0</v>
      </c>
      <c r="V7" s="20">
        <f>'TE BE'!$V$7*'TE BE'!$V$49</f>
        <v>0</v>
      </c>
      <c r="W7" s="20">
        <f>SUM($T$7:$V$7)</f>
        <v>0</v>
      </c>
      <c r="X7" s="20">
        <f>'TE BE'!$AB$7*'TE BE'!$X$49</f>
        <v>0</v>
      </c>
      <c r="Y7" s="20">
        <f>SUM($X$7:$X$7)</f>
        <v>0</v>
      </c>
      <c r="Z7" s="20">
        <f>'TE BE'!$Z$7*'TE BE'!$Z$49</f>
        <v>0</v>
      </c>
      <c r="AA7" s="20">
        <f>SUM($Z$7:$Z$7)</f>
        <v>0</v>
      </c>
      <c r="AB7" s="20">
        <f>SUMIF($L$4:$AA$4,"SUBTOTAL",$L$7:$AA$7)</f>
        <v>7.7814556648709186</v>
      </c>
    </row>
    <row r="8" spans="1:28" ht="11.25" customHeight="1" x14ac:dyDescent="0.25">
      <c r="A8" s="150" t="s">
        <v>22</v>
      </c>
      <c r="B8" s="150" t="s">
        <v>67</v>
      </c>
      <c r="C8" s="150" t="s">
        <v>24</v>
      </c>
      <c r="D8" s="150" t="s">
        <v>24</v>
      </c>
      <c r="E8" s="150" t="s">
        <v>25</v>
      </c>
      <c r="F8" s="150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'TE BE'!$L$8*'TE BE'!$L$49</f>
        <v>1.527092298150929E-6</v>
      </c>
      <c r="M8" s="20">
        <f>'TE BE'!$M$8*'TE BE'!$M$49</f>
        <v>0</v>
      </c>
      <c r="N8" s="20">
        <f>'TE BE'!$N$8*'TE BE'!$N$49</f>
        <v>0</v>
      </c>
      <c r="O8" s="20">
        <f>'TE BE'!$O$8*'TE BE'!$O$49</f>
        <v>-9.9289898267227242E-3</v>
      </c>
      <c r="P8" s="20">
        <f>'TE BE'!$P$8*'TE BE'!$P$49</f>
        <v>0</v>
      </c>
      <c r="Q8" s="20">
        <f>SUM($L$8:$P$8)</f>
        <v>-9.927462734424573E-3</v>
      </c>
      <c r="R8" s="20">
        <f>'TE BE'!$R$8*'TE BE'!$R$49</f>
        <v>12.642621678755839</v>
      </c>
      <c r="S8" s="20">
        <f>SUM($R$8:$R$8)</f>
        <v>12.642621678755839</v>
      </c>
      <c r="T8" s="20">
        <f>'TE BE'!$T$8*'TE BE'!$T$49</f>
        <v>0</v>
      </c>
      <c r="U8" s="20">
        <f>'TE BE'!$U$8*'TE BE'!$U$49</f>
        <v>0</v>
      </c>
      <c r="V8" s="20">
        <f>'TE BE'!$V$8*'TE BE'!$V$49</f>
        <v>0</v>
      </c>
      <c r="W8" s="20">
        <f>SUM($T$8:$V$8)</f>
        <v>0</v>
      </c>
      <c r="X8" s="20">
        <f>'TE BE'!$AB$8*'TE BE'!$X$49</f>
        <v>0</v>
      </c>
      <c r="Y8" s="20">
        <f>SUM($X$8:$X$8)</f>
        <v>0</v>
      </c>
      <c r="Z8" s="20">
        <f>'TE BE'!$Z$8*'TE BE'!$Z$49</f>
        <v>0</v>
      </c>
      <c r="AA8" s="20">
        <f>SUM($Z$8:$Z$8)</f>
        <v>0</v>
      </c>
      <c r="AB8" s="20">
        <f>SUMIF($L$4:$AA$4,"SUBTOTAL",$L$8:$AA$8)</f>
        <v>12.632694216021415</v>
      </c>
    </row>
    <row r="9" spans="1:28" ht="11.25" customHeight="1" x14ac:dyDescent="0.25">
      <c r="A9" s="150"/>
      <c r="B9" s="150"/>
      <c r="C9" s="150"/>
      <c r="D9" s="150"/>
      <c r="E9" s="150"/>
      <c r="F9" s="150"/>
      <c r="G9" s="23" t="s">
        <v>82</v>
      </c>
      <c r="H9" s="23" t="s">
        <v>68</v>
      </c>
      <c r="I9" s="23">
        <f>'MERCADO TE'!$U$6</f>
        <v>0</v>
      </c>
      <c r="J9" s="15"/>
      <c r="L9" s="20">
        <f>'TE BE'!$L$9*'TE BE'!$L$49</f>
        <v>1.527092298150929E-6</v>
      </c>
      <c r="M9" s="20">
        <f>'TE BE'!$M$9*'TE BE'!$M$49</f>
        <v>0</v>
      </c>
      <c r="N9" s="20">
        <f>'TE BE'!$N$9*'TE BE'!$N$49</f>
        <v>0</v>
      </c>
      <c r="O9" s="20">
        <f>'TE BE'!$O$9*'TE BE'!$O$49</f>
        <v>-9.9289898267227242E-3</v>
      </c>
      <c r="P9" s="20">
        <f>'TE BE'!$P$9*'TE BE'!$P$49</f>
        <v>0</v>
      </c>
      <c r="Q9" s="20">
        <f>SUM($L$9:$P$9)</f>
        <v>-9.927462734424573E-3</v>
      </c>
      <c r="R9" s="20">
        <f>'TE BE'!$R$9*'TE BE'!$R$49</f>
        <v>7.3503614411371156</v>
      </c>
      <c r="S9" s="20">
        <f>SUM($R$9:$R$9)</f>
        <v>7.3503614411371156</v>
      </c>
      <c r="T9" s="20">
        <f>'TE BE'!$T$9*'TE BE'!$T$49</f>
        <v>0</v>
      </c>
      <c r="U9" s="20">
        <f>'TE BE'!$U$9*'TE BE'!$U$49</f>
        <v>0</v>
      </c>
      <c r="V9" s="20">
        <f>'TE BE'!$V$9*'TE BE'!$V$49</f>
        <v>0</v>
      </c>
      <c r="W9" s="20">
        <f>SUM($T$9:$V$9)</f>
        <v>0</v>
      </c>
      <c r="X9" s="20">
        <f>'TE BE'!$AB$9*'TE BE'!$X$49</f>
        <v>0</v>
      </c>
      <c r="Y9" s="20">
        <f>SUM($X$9:$X$9)</f>
        <v>0</v>
      </c>
      <c r="Z9" s="20">
        <f>'TE BE'!$Z$9*'TE BE'!$Z$49</f>
        <v>0</v>
      </c>
      <c r="AA9" s="20">
        <f>SUM($Z$9:$Z$9)</f>
        <v>0</v>
      </c>
      <c r="AB9" s="20">
        <f>SUMIF($L$4:$AA$4,"SUBTOTAL",$L$9:$AA$9)</f>
        <v>7.3404339784026913</v>
      </c>
    </row>
    <row r="10" spans="1:28" ht="11.25" customHeight="1" x14ac:dyDescent="0.25">
      <c r="A10" s="150"/>
      <c r="B10" s="150"/>
      <c r="C10" s="150"/>
      <c r="D10" s="150"/>
      <c r="E10" s="150"/>
      <c r="F10" s="150"/>
      <c r="G10" s="23" t="s">
        <v>70</v>
      </c>
      <c r="H10" s="23" t="s">
        <v>68</v>
      </c>
      <c r="I10" s="23">
        <f>'MERCADO TE'!$U$7</f>
        <v>0</v>
      </c>
      <c r="J10" s="15"/>
      <c r="L10" s="20">
        <f>'TE BE'!$L$10*'TE BE'!$L$49</f>
        <v>1.527092298150929E-6</v>
      </c>
      <c r="M10" s="20">
        <f>'TE BE'!$M$10*'TE BE'!$M$49</f>
        <v>0</v>
      </c>
      <c r="N10" s="20">
        <f>'TE BE'!$N$10*'TE BE'!$N$49</f>
        <v>0</v>
      </c>
      <c r="O10" s="20">
        <f>'TE BE'!$O$10*'TE BE'!$O$49</f>
        <v>-9.9289898267227242E-3</v>
      </c>
      <c r="P10" s="20">
        <f>'TE BE'!$P$10*'TE BE'!$P$49</f>
        <v>0</v>
      </c>
      <c r="Q10" s="20">
        <f>SUM($L$10:$P$10)</f>
        <v>-9.927462734424573E-3</v>
      </c>
      <c r="R10" s="20">
        <f>'TE BE'!$R$10*'TE BE'!$R$49</f>
        <v>7.3503614411371156</v>
      </c>
      <c r="S10" s="20">
        <f>SUM($R$10:$R$10)</f>
        <v>7.3503614411371156</v>
      </c>
      <c r="T10" s="20">
        <f>'TE BE'!$T$10*'TE BE'!$T$49</f>
        <v>0</v>
      </c>
      <c r="U10" s="20">
        <f>'TE BE'!$U$10*'TE BE'!$U$49</f>
        <v>0</v>
      </c>
      <c r="V10" s="20">
        <f>'TE BE'!$V$10*'TE BE'!$V$49</f>
        <v>0</v>
      </c>
      <c r="W10" s="20">
        <f>SUM($T$10:$V$10)</f>
        <v>0</v>
      </c>
      <c r="X10" s="20">
        <f>'TE BE'!$AB$10*'TE BE'!$X$49</f>
        <v>0</v>
      </c>
      <c r="Y10" s="20">
        <f>SUM($X$10:$X$10)</f>
        <v>0</v>
      </c>
      <c r="Z10" s="20">
        <f>'TE BE'!$Z$10*'TE BE'!$Z$49</f>
        <v>0</v>
      </c>
      <c r="AA10" s="20">
        <f>SUM($Z$10:$Z$10)</f>
        <v>0</v>
      </c>
      <c r="AB10" s="20">
        <f>SUMIF($L$4:$AA$4,"SUBTOTAL",$L$10:$AA$10)</f>
        <v>7.3404339784026913</v>
      </c>
    </row>
    <row r="11" spans="1:28" ht="11.25" customHeight="1" x14ac:dyDescent="0.25">
      <c r="A11" s="150"/>
      <c r="B11" s="150" t="s">
        <v>71</v>
      </c>
      <c r="C11" s="150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6670.0239999999994</v>
      </c>
      <c r="J11" s="15"/>
      <c r="L11" s="20">
        <f>'TE BE'!$L$11*'TE BE'!$L$49</f>
        <v>1.527092298150929E-6</v>
      </c>
      <c r="M11" s="20">
        <f>'TE BE'!$M$11*'TE BE'!$M$49</f>
        <v>0</v>
      </c>
      <c r="N11" s="20">
        <f>'TE BE'!$N$11*'TE BE'!$N$49</f>
        <v>0</v>
      </c>
      <c r="O11" s="20">
        <f>'TE BE'!$O$11*'TE BE'!$O$49</f>
        <v>-9.9289898267227242E-3</v>
      </c>
      <c r="P11" s="20">
        <f>'TE BE'!$P$11*'TE BE'!$P$49</f>
        <v>0</v>
      </c>
      <c r="Q11" s="20">
        <f>SUM($L$11:$P$11)</f>
        <v>-9.927462734424573E-3</v>
      </c>
      <c r="R11" s="20">
        <f>'TE BE'!$R$11*'TE BE'!$R$49</f>
        <v>7.7913831276053429</v>
      </c>
      <c r="S11" s="20">
        <f>SUM($R$11:$R$11)</f>
        <v>7.7913831276053429</v>
      </c>
      <c r="T11" s="20">
        <f>'TE BE'!$T$11*'TE BE'!$T$49</f>
        <v>0</v>
      </c>
      <c r="U11" s="20">
        <f>'TE BE'!$U$11*'TE BE'!$U$49</f>
        <v>0</v>
      </c>
      <c r="V11" s="20">
        <f>'TE BE'!$V$11*'TE BE'!$V$49</f>
        <v>0</v>
      </c>
      <c r="W11" s="20">
        <f>SUM($T$11:$V$11)</f>
        <v>0</v>
      </c>
      <c r="X11" s="20">
        <f>'TE BE'!$AB$11*'TE BE'!$X$49</f>
        <v>0</v>
      </c>
      <c r="Y11" s="20">
        <f>SUM($X$11:$X$11)</f>
        <v>0</v>
      </c>
      <c r="Z11" s="20">
        <f>'TE BE'!$Z$11*'TE BE'!$Z$49</f>
        <v>0</v>
      </c>
      <c r="AA11" s="20">
        <f>SUM($Z$11:$Z$11)</f>
        <v>0</v>
      </c>
      <c r="AB11" s="20">
        <f>SUMIF($L$4:$AA$4,"SUBTOTAL",$L$11:$AA$11)</f>
        <v>7.7814556648709186</v>
      </c>
    </row>
    <row r="12" spans="1:28" ht="11.25" customHeight="1" x14ac:dyDescent="0.25">
      <c r="A12" s="150"/>
      <c r="B12" s="150"/>
      <c r="C12" s="150"/>
      <c r="D12" s="22" t="s">
        <v>28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127.41000000000001</v>
      </c>
      <c r="J12" s="15"/>
      <c r="L12" s="20">
        <f>'TE BE'!$L$12*'TE BE'!$L$49</f>
        <v>1.527092298150929E-6</v>
      </c>
      <c r="M12" s="20">
        <f>'TE BE'!$M$12*'TE BE'!$M$49</f>
        <v>0</v>
      </c>
      <c r="N12" s="20">
        <f>'TE BE'!$N$12*'TE BE'!$N$49</f>
        <v>0</v>
      </c>
      <c r="O12" s="20">
        <f>'TE BE'!$O$12*'TE BE'!$O$49</f>
        <v>-9.9289898267227242E-3</v>
      </c>
      <c r="P12" s="20">
        <f>'TE BE'!$P$12*'TE BE'!$P$49</f>
        <v>0</v>
      </c>
      <c r="Q12" s="20">
        <f>SUM($L$12:$P$12)</f>
        <v>-9.927462734424573E-3</v>
      </c>
      <c r="R12" s="20">
        <f>'TE BE'!$R$12*'TE BE'!$R$49</f>
        <v>7.7913831276053429</v>
      </c>
      <c r="S12" s="20">
        <f>SUM($R$12:$R$12)</f>
        <v>7.7913831276053429</v>
      </c>
      <c r="T12" s="20">
        <f>'TE BE'!$T$12*'TE BE'!$T$49</f>
        <v>0</v>
      </c>
      <c r="U12" s="20">
        <f>'TE BE'!$U$12*'TE BE'!$U$49</f>
        <v>0</v>
      </c>
      <c r="V12" s="20">
        <f>'TE BE'!$V$12*'TE BE'!$V$49</f>
        <v>0</v>
      </c>
      <c r="W12" s="20">
        <f>SUM($T$12:$V$12)</f>
        <v>0</v>
      </c>
      <c r="X12" s="20">
        <f>'TE BE'!$AB$12*'TE BE'!$X$49</f>
        <v>0</v>
      </c>
      <c r="Y12" s="20">
        <f>SUM($X$12:$X$12)</f>
        <v>0</v>
      </c>
      <c r="Z12" s="20">
        <f>'TE BE'!$Z$12*'TE BE'!$Z$49</f>
        <v>0</v>
      </c>
      <c r="AA12" s="20">
        <f>SUM($Z$12:$Z$12)</f>
        <v>0</v>
      </c>
      <c r="AB12" s="20">
        <f>SUMIF($L$4:$AA$4,"SUBTOTAL",$L$12:$AA$12)</f>
        <v>7.7814556648709186</v>
      </c>
    </row>
    <row r="13" spans="1:28" ht="11.25" customHeight="1" x14ac:dyDescent="0.25">
      <c r="A13" s="150"/>
      <c r="B13" s="150"/>
      <c r="C13" s="150"/>
      <c r="D13" s="22" t="s">
        <v>29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275.43099999999998</v>
      </c>
      <c r="J13" s="15"/>
      <c r="L13" s="20">
        <f>'TE BE'!$L$13*'TE BE'!$L$49</f>
        <v>1.527092298150929E-6</v>
      </c>
      <c r="M13" s="20">
        <f>'TE BE'!$M$13*'TE BE'!$M$49</f>
        <v>0</v>
      </c>
      <c r="N13" s="20">
        <f>'TE BE'!$N$13*'TE BE'!$N$49</f>
        <v>0</v>
      </c>
      <c r="O13" s="20">
        <f>'TE BE'!$O$13*'TE BE'!$O$49</f>
        <v>-9.9289898267227242E-3</v>
      </c>
      <c r="P13" s="20">
        <f>'TE BE'!$P$13*'TE BE'!$P$49</f>
        <v>0</v>
      </c>
      <c r="Q13" s="20">
        <f>SUM($L$13:$P$13)</f>
        <v>-9.927462734424573E-3</v>
      </c>
      <c r="R13" s="20">
        <f>'TE BE'!$R$13*'TE BE'!$R$49</f>
        <v>7.7913831276053429</v>
      </c>
      <c r="S13" s="20">
        <f>SUM($R$13:$R$13)</f>
        <v>7.7913831276053429</v>
      </c>
      <c r="T13" s="20">
        <f>'TE BE'!$T$13*'TE BE'!$T$49</f>
        <v>0</v>
      </c>
      <c r="U13" s="20">
        <f>'TE BE'!$U$13*'TE BE'!$U$49</f>
        <v>0</v>
      </c>
      <c r="V13" s="20">
        <f>'TE BE'!$V$13*'TE BE'!$V$49</f>
        <v>0</v>
      </c>
      <c r="W13" s="20">
        <f>SUM($T$13:$V$13)</f>
        <v>0</v>
      </c>
      <c r="X13" s="20">
        <f>'TE BE'!$AB$13*'TE BE'!$X$49</f>
        <v>0</v>
      </c>
      <c r="Y13" s="20">
        <f>SUM($X$13:$X$13)</f>
        <v>0</v>
      </c>
      <c r="Z13" s="20">
        <f>'TE BE'!$Z$13*'TE BE'!$Z$49</f>
        <v>0</v>
      </c>
      <c r="AA13" s="20">
        <f>SUM($Z$13:$Z$13)</f>
        <v>0</v>
      </c>
      <c r="AB13" s="20">
        <f>SUMIF($L$4:$AA$4,"SUBTOTAL",$L$13:$AA$13)</f>
        <v>7.7814556648709186</v>
      </c>
    </row>
    <row r="14" spans="1:28" ht="11.25" customHeight="1" x14ac:dyDescent="0.25">
      <c r="A14" s="150"/>
      <c r="B14" s="150"/>
      <c r="C14" s="150"/>
      <c r="D14" s="22" t="s">
        <v>30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305.03699999999998</v>
      </c>
      <c r="J14" s="15"/>
      <c r="L14" s="20">
        <f>'TE BE'!$L$14*'TE BE'!$L$49</f>
        <v>1.527092298150929E-6</v>
      </c>
      <c r="M14" s="20">
        <f>'TE BE'!$M$14*'TE BE'!$M$49</f>
        <v>0</v>
      </c>
      <c r="N14" s="20">
        <f>'TE BE'!$N$14*'TE BE'!$N$49</f>
        <v>0</v>
      </c>
      <c r="O14" s="20">
        <f>'TE BE'!$O$14*'TE BE'!$O$49</f>
        <v>-9.9289898267227242E-3</v>
      </c>
      <c r="P14" s="20">
        <f>'TE BE'!$P$14*'TE BE'!$P$49</f>
        <v>0</v>
      </c>
      <c r="Q14" s="20">
        <f>SUM($L$14:$P$14)</f>
        <v>-9.927462734424573E-3</v>
      </c>
      <c r="R14" s="20">
        <f>'TE BE'!$R$14*'TE BE'!$R$49</f>
        <v>7.7913831276053429</v>
      </c>
      <c r="S14" s="20">
        <f>SUM($R$14:$R$14)</f>
        <v>7.7913831276053429</v>
      </c>
      <c r="T14" s="20">
        <f>'TE BE'!$T$14*'TE BE'!$T$49</f>
        <v>0</v>
      </c>
      <c r="U14" s="20">
        <f>'TE BE'!$U$14*'TE BE'!$U$49</f>
        <v>0</v>
      </c>
      <c r="V14" s="20">
        <f>'TE BE'!$V$14*'TE BE'!$V$49</f>
        <v>0</v>
      </c>
      <c r="W14" s="20">
        <f>SUM($T$14:$V$14)</f>
        <v>0</v>
      </c>
      <c r="X14" s="20">
        <f>'TE BE'!$AB$14*'TE BE'!$X$49</f>
        <v>0</v>
      </c>
      <c r="Y14" s="20">
        <f>SUM($X$14:$X$14)</f>
        <v>0</v>
      </c>
      <c r="Z14" s="20">
        <f>'TE BE'!$Z$14*'TE BE'!$Z$49</f>
        <v>0</v>
      </c>
      <c r="AA14" s="20">
        <f>SUM($Z$14:$Z$14)</f>
        <v>0</v>
      </c>
      <c r="AB14" s="20">
        <f>SUMIF($L$4:$AA$4,"SUBTOTAL",$L$14:$AA$14)</f>
        <v>7.7814556648709186</v>
      </c>
    </row>
    <row r="15" spans="1:28" ht="11.25" customHeight="1" x14ac:dyDescent="0.25">
      <c r="A15" s="150"/>
      <c r="B15" s="150"/>
      <c r="C15" s="150"/>
      <c r="D15" s="22" t="s">
        <v>31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109.482</v>
      </c>
      <c r="J15" s="15"/>
      <c r="L15" s="20">
        <f>'TE BE'!$L$15*'TE BE'!$L$49</f>
        <v>1.527092298150929E-6</v>
      </c>
      <c r="M15" s="20">
        <f>'TE BE'!$M$15*'TE BE'!$M$49</f>
        <v>0</v>
      </c>
      <c r="N15" s="20">
        <f>'TE BE'!$N$15*'TE BE'!$N$49</f>
        <v>0</v>
      </c>
      <c r="O15" s="20">
        <f>'TE BE'!$O$15*'TE BE'!$O$49</f>
        <v>-9.9289898267227242E-3</v>
      </c>
      <c r="P15" s="20">
        <f>'TE BE'!$P$15*'TE BE'!$P$49</f>
        <v>0</v>
      </c>
      <c r="Q15" s="20">
        <f>SUM($L$15:$P$15)</f>
        <v>-9.927462734424573E-3</v>
      </c>
      <c r="R15" s="20">
        <f>'TE BE'!$R$15*'TE BE'!$R$49</f>
        <v>7.7913831276053429</v>
      </c>
      <c r="S15" s="20">
        <f>SUM($R$15:$R$15)</f>
        <v>7.7913831276053429</v>
      </c>
      <c r="T15" s="20">
        <f>'TE BE'!$T$15*'TE BE'!$T$49</f>
        <v>0</v>
      </c>
      <c r="U15" s="20">
        <f>'TE BE'!$U$15*'TE BE'!$U$49</f>
        <v>0</v>
      </c>
      <c r="V15" s="20">
        <f>'TE BE'!$V$15*'TE BE'!$V$49</f>
        <v>0</v>
      </c>
      <c r="W15" s="20">
        <f>SUM($T$15:$V$15)</f>
        <v>0</v>
      </c>
      <c r="X15" s="20">
        <f>'TE BE'!$AB$15*'TE BE'!$X$49</f>
        <v>0</v>
      </c>
      <c r="Y15" s="20">
        <f>SUM($X$15:$X$15)</f>
        <v>0</v>
      </c>
      <c r="Z15" s="20">
        <f>'TE BE'!$Z$15*'TE BE'!$Z$49</f>
        <v>0</v>
      </c>
      <c r="AA15" s="20">
        <f>SUM($Z$15:$Z$15)</f>
        <v>0</v>
      </c>
      <c r="AB15" s="20">
        <f>SUMIF($L$4:$AA$4,"SUBTOTAL",$L$15:$AA$15)</f>
        <v>7.7814556648709186</v>
      </c>
    </row>
    <row r="16" spans="1:28" ht="11.25" customHeight="1" x14ac:dyDescent="0.25">
      <c r="A16" s="150"/>
      <c r="B16" s="150" t="s">
        <v>83</v>
      </c>
      <c r="C16" s="150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'TE BE'!$L$16*'TE BE'!$L$49</f>
        <v>1.527092298150929E-6</v>
      </c>
      <c r="M16" s="20">
        <f>'TE BE'!$M$16*'TE BE'!$M$49</f>
        <v>0</v>
      </c>
      <c r="N16" s="20">
        <f>'TE BE'!$N$16*'TE BE'!$N$49</f>
        <v>0</v>
      </c>
      <c r="O16" s="20">
        <f>'TE BE'!$O$16*'TE BE'!$O$49</f>
        <v>-9.9289898267227242E-3</v>
      </c>
      <c r="P16" s="20">
        <f>'TE BE'!$P$16*'TE BE'!$P$49</f>
        <v>0</v>
      </c>
      <c r="Q16" s="20">
        <f>SUM($L$16:$P$16)</f>
        <v>-9.927462734424573E-3</v>
      </c>
      <c r="R16" s="20">
        <f>'TE BE'!$R$16*'TE BE'!$R$49</f>
        <v>7.7913831276053429</v>
      </c>
      <c r="S16" s="20">
        <f>SUM($R$16:$R$16)</f>
        <v>7.7913831276053429</v>
      </c>
      <c r="T16" s="20">
        <f>'TE BE'!$T$16*'TE BE'!$T$49</f>
        <v>0</v>
      </c>
      <c r="U16" s="20">
        <f>'TE BE'!$U$16*'TE BE'!$U$49</f>
        <v>0</v>
      </c>
      <c r="V16" s="20">
        <f>'TE BE'!$V$16*'TE BE'!$V$49</f>
        <v>0</v>
      </c>
      <c r="W16" s="20">
        <f>SUM($T$16:$V$16)</f>
        <v>0</v>
      </c>
      <c r="X16" s="20">
        <f>'TE BE'!$AB$16*'TE BE'!$X$49</f>
        <v>0</v>
      </c>
      <c r="Y16" s="20">
        <f>SUM($X$16:$X$16)</f>
        <v>0</v>
      </c>
      <c r="Z16" s="20">
        <f>'TE BE'!$Z$16*'TE BE'!$Z$49</f>
        <v>0</v>
      </c>
      <c r="AA16" s="20">
        <f>SUM($Z$16:$Z$16)</f>
        <v>0</v>
      </c>
      <c r="AB16" s="20">
        <f>SUMIF($L$4:$AA$4,"SUBTOTAL",$L$16:$AA$16)</f>
        <v>7.7814556648709186</v>
      </c>
    </row>
    <row r="17" spans="1:28" ht="11.25" customHeight="1" x14ac:dyDescent="0.25">
      <c r="A17" s="150"/>
      <c r="B17" s="150"/>
      <c r="C17" s="150"/>
      <c r="D17" s="22" t="s">
        <v>28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'TE BE'!$L$17*'TE BE'!$L$49</f>
        <v>1.527092298150929E-6</v>
      </c>
      <c r="M17" s="20">
        <f>'TE BE'!$M$17*'TE BE'!$M$49</f>
        <v>0</v>
      </c>
      <c r="N17" s="20">
        <f>'TE BE'!$N$17*'TE BE'!$N$49</f>
        <v>0</v>
      </c>
      <c r="O17" s="20">
        <f>'TE BE'!$O$17*'TE BE'!$O$49</f>
        <v>-9.9289898267227242E-3</v>
      </c>
      <c r="P17" s="20">
        <f>'TE BE'!$P$17*'TE BE'!$P$49</f>
        <v>0</v>
      </c>
      <c r="Q17" s="20">
        <f>SUM($L$17:$P$17)</f>
        <v>-9.927462734424573E-3</v>
      </c>
      <c r="R17" s="20">
        <f>'TE BE'!$R$17*'TE BE'!$R$49</f>
        <v>7.7913831276053429</v>
      </c>
      <c r="S17" s="20">
        <f>SUM($R$17:$R$17)</f>
        <v>7.7913831276053429</v>
      </c>
      <c r="T17" s="20">
        <f>'TE BE'!$T$17*'TE BE'!$T$49</f>
        <v>0</v>
      </c>
      <c r="U17" s="20">
        <f>'TE BE'!$U$17*'TE BE'!$U$49</f>
        <v>0</v>
      </c>
      <c r="V17" s="20">
        <f>'TE BE'!$V$17*'TE BE'!$V$49</f>
        <v>0</v>
      </c>
      <c r="W17" s="20">
        <f>SUM($T$17:$V$17)</f>
        <v>0</v>
      </c>
      <c r="X17" s="20">
        <f>'TE BE'!$AB$17*'TE BE'!$X$49</f>
        <v>0</v>
      </c>
      <c r="Y17" s="20">
        <f>SUM($X$17:$X$17)</f>
        <v>0</v>
      </c>
      <c r="Z17" s="20">
        <f>'TE BE'!$Z$17*'TE BE'!$Z$49</f>
        <v>0</v>
      </c>
      <c r="AA17" s="20">
        <f>SUM($Z$17:$Z$17)</f>
        <v>0</v>
      </c>
      <c r="AB17" s="20">
        <f>SUMIF($L$4:$AA$4,"SUBTOTAL",$L$17:$AA$17)</f>
        <v>7.7814556648709186</v>
      </c>
    </row>
    <row r="18" spans="1:28" ht="11.25" customHeight="1" x14ac:dyDescent="0.25">
      <c r="A18" s="150"/>
      <c r="B18" s="150"/>
      <c r="C18" s="150"/>
      <c r="D18" s="22" t="s">
        <v>29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'TE BE'!$L$18*'TE BE'!$L$49</f>
        <v>1.527092298150929E-6</v>
      </c>
      <c r="M18" s="20">
        <f>'TE BE'!$M$18*'TE BE'!$M$49</f>
        <v>0</v>
      </c>
      <c r="N18" s="20">
        <f>'TE BE'!$N$18*'TE BE'!$N$49</f>
        <v>0</v>
      </c>
      <c r="O18" s="20">
        <f>'TE BE'!$O$18*'TE BE'!$O$49</f>
        <v>-9.9289898267227242E-3</v>
      </c>
      <c r="P18" s="20">
        <f>'TE BE'!$P$18*'TE BE'!$P$49</f>
        <v>0</v>
      </c>
      <c r="Q18" s="20">
        <f>SUM($L$18:$P$18)</f>
        <v>-9.927462734424573E-3</v>
      </c>
      <c r="R18" s="20">
        <f>'TE BE'!$R$18*'TE BE'!$R$49</f>
        <v>7.7913831276053429</v>
      </c>
      <c r="S18" s="20">
        <f>SUM($R$18:$R$18)</f>
        <v>7.7913831276053429</v>
      </c>
      <c r="T18" s="20">
        <f>'TE BE'!$T$18*'TE BE'!$T$49</f>
        <v>0</v>
      </c>
      <c r="U18" s="20">
        <f>'TE BE'!$U$18*'TE BE'!$U$49</f>
        <v>0</v>
      </c>
      <c r="V18" s="20">
        <f>'TE BE'!$V$18*'TE BE'!$V$49</f>
        <v>0</v>
      </c>
      <c r="W18" s="20">
        <f>SUM($T$18:$V$18)</f>
        <v>0</v>
      </c>
      <c r="X18" s="20">
        <f>'TE BE'!$AB$18*'TE BE'!$X$49</f>
        <v>0</v>
      </c>
      <c r="Y18" s="20">
        <f>SUM($X$18:$X$18)</f>
        <v>0</v>
      </c>
      <c r="Z18" s="20">
        <f>'TE BE'!$Z$18*'TE BE'!$Z$49</f>
        <v>0</v>
      </c>
      <c r="AA18" s="20">
        <f>SUM($Z$18:$Z$18)</f>
        <v>0</v>
      </c>
      <c r="AB18" s="20">
        <f>SUMIF($L$4:$AA$4,"SUBTOTAL",$L$18:$AA$18)</f>
        <v>7.7814556648709186</v>
      </c>
    </row>
    <row r="19" spans="1:28" ht="11.25" customHeight="1" x14ac:dyDescent="0.25">
      <c r="A19" s="150"/>
      <c r="B19" s="150"/>
      <c r="C19" s="150"/>
      <c r="D19" s="22" t="s">
        <v>30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'TE BE'!$L$19*'TE BE'!$L$49</f>
        <v>1.527092298150929E-6</v>
      </c>
      <c r="M19" s="20">
        <f>'TE BE'!$M$19*'TE BE'!$M$49</f>
        <v>0</v>
      </c>
      <c r="N19" s="20">
        <f>'TE BE'!$N$19*'TE BE'!$N$49</f>
        <v>0</v>
      </c>
      <c r="O19" s="20">
        <f>'TE BE'!$O$19*'TE BE'!$O$49</f>
        <v>-9.9289898267227242E-3</v>
      </c>
      <c r="P19" s="20">
        <f>'TE BE'!$P$19*'TE BE'!$P$49</f>
        <v>0</v>
      </c>
      <c r="Q19" s="20">
        <f>SUM($L$19:$P$19)</f>
        <v>-9.927462734424573E-3</v>
      </c>
      <c r="R19" s="20">
        <f>'TE BE'!$R$19*'TE BE'!$R$49</f>
        <v>7.7913831276053429</v>
      </c>
      <c r="S19" s="20">
        <f>SUM($R$19:$R$19)</f>
        <v>7.7913831276053429</v>
      </c>
      <c r="T19" s="20">
        <f>'TE BE'!$T$19*'TE BE'!$T$49</f>
        <v>0</v>
      </c>
      <c r="U19" s="20">
        <f>'TE BE'!$U$19*'TE BE'!$U$49</f>
        <v>0</v>
      </c>
      <c r="V19" s="20">
        <f>'TE BE'!$V$19*'TE BE'!$V$49</f>
        <v>0</v>
      </c>
      <c r="W19" s="20">
        <f>SUM($T$19:$V$19)</f>
        <v>0</v>
      </c>
      <c r="X19" s="20">
        <f>'TE BE'!$AB$19*'TE BE'!$X$49</f>
        <v>0</v>
      </c>
      <c r="Y19" s="20">
        <f>SUM($X$19:$X$19)</f>
        <v>0</v>
      </c>
      <c r="Z19" s="20">
        <f>'TE BE'!$Z$19*'TE BE'!$Z$49</f>
        <v>0</v>
      </c>
      <c r="AA19" s="20">
        <f>SUM($Z$19:$Z$19)</f>
        <v>0</v>
      </c>
      <c r="AB19" s="20">
        <f>SUMIF($L$4:$AA$4,"SUBTOTAL",$L$19:$AA$19)</f>
        <v>7.7814556648709186</v>
      </c>
    </row>
    <row r="20" spans="1:28" ht="11.25" customHeight="1" x14ac:dyDescent="0.25">
      <c r="A20" s="150"/>
      <c r="B20" s="150"/>
      <c r="C20" s="150"/>
      <c r="D20" s="22" t="s">
        <v>31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'TE BE'!$L$20*'TE BE'!$L$49</f>
        <v>1.527092298150929E-6</v>
      </c>
      <c r="M20" s="20">
        <f>'TE BE'!$M$20*'TE BE'!$M$49</f>
        <v>0</v>
      </c>
      <c r="N20" s="20">
        <f>'TE BE'!$N$20*'TE BE'!$N$49</f>
        <v>0</v>
      </c>
      <c r="O20" s="20">
        <f>'TE BE'!$O$20*'TE BE'!$O$49</f>
        <v>-9.9289898267227242E-3</v>
      </c>
      <c r="P20" s="20">
        <f>'TE BE'!$P$20*'TE BE'!$P$49</f>
        <v>0</v>
      </c>
      <c r="Q20" s="20">
        <f>SUM($L$20:$P$20)</f>
        <v>-9.927462734424573E-3</v>
      </c>
      <c r="R20" s="20">
        <f>'TE BE'!$R$20*'TE BE'!$R$49</f>
        <v>7.7913831276053429</v>
      </c>
      <c r="S20" s="20">
        <f>SUM($R$20:$R$20)</f>
        <v>7.7913831276053429</v>
      </c>
      <c r="T20" s="20">
        <f>'TE BE'!$T$20*'TE BE'!$T$49</f>
        <v>0</v>
      </c>
      <c r="U20" s="20">
        <f>'TE BE'!$U$20*'TE BE'!$U$49</f>
        <v>0</v>
      </c>
      <c r="V20" s="20">
        <f>'TE BE'!$V$20*'TE BE'!$V$49</f>
        <v>0</v>
      </c>
      <c r="W20" s="20">
        <f>SUM($T$20:$V$20)</f>
        <v>0</v>
      </c>
      <c r="X20" s="20">
        <f>'TE BE'!$AB$20*'TE BE'!$X$49</f>
        <v>0</v>
      </c>
      <c r="Y20" s="20">
        <f>SUM($X$20:$X$20)</f>
        <v>0</v>
      </c>
      <c r="Z20" s="20">
        <f>'TE BE'!$Z$20*'TE BE'!$Z$49</f>
        <v>0</v>
      </c>
      <c r="AA20" s="20">
        <f>SUM($Z$20:$Z$20)</f>
        <v>0</v>
      </c>
      <c r="AB20" s="20">
        <f>SUMIF($L$4:$AA$4,"SUBTOTAL",$L$20:$AA$20)</f>
        <v>7.7814556648709186</v>
      </c>
    </row>
    <row r="21" spans="1:28" ht="11.25" customHeight="1" x14ac:dyDescent="0.25">
      <c r="A21" s="150" t="s">
        <v>41</v>
      </c>
      <c r="B21" s="150" t="s">
        <v>67</v>
      </c>
      <c r="C21" s="150" t="s">
        <v>42</v>
      </c>
      <c r="D21" s="150" t="s">
        <v>25</v>
      </c>
      <c r="E21" s="150" t="s">
        <v>25</v>
      </c>
      <c r="F21" s="150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'TE BE'!$L$21*'TE BE'!$L$49</f>
        <v>1.527092298150929E-6</v>
      </c>
      <c r="M21" s="20">
        <f>'TE BE'!$M$21*'TE BE'!$M$49</f>
        <v>0</v>
      </c>
      <c r="N21" s="20">
        <f>'TE BE'!$N$21*'TE BE'!$N$49</f>
        <v>0</v>
      </c>
      <c r="O21" s="20">
        <f>'TE BE'!$O$21*'TE BE'!$O$49</f>
        <v>-9.9289898267227242E-3</v>
      </c>
      <c r="P21" s="20">
        <f>'TE BE'!$P$21*'TE BE'!$P$49</f>
        <v>0</v>
      </c>
      <c r="Q21" s="20">
        <f>SUM($L$21:$P$21)</f>
        <v>-9.927462734424573E-3</v>
      </c>
      <c r="R21" s="20">
        <f>'TE BE'!$R$21*'TE BE'!$R$49</f>
        <v>12.642621678755839</v>
      </c>
      <c r="S21" s="20">
        <f>SUM($R$21:$R$21)</f>
        <v>12.642621678755839</v>
      </c>
      <c r="T21" s="20">
        <f>'TE BE'!$T$21*'TE BE'!$T$49</f>
        <v>0</v>
      </c>
      <c r="U21" s="20">
        <f>'TE BE'!$U$21*'TE BE'!$U$49</f>
        <v>0</v>
      </c>
      <c r="V21" s="20">
        <f>'TE BE'!$V$21*'TE BE'!$V$49</f>
        <v>0</v>
      </c>
      <c r="W21" s="20">
        <f>SUM($T$21:$V$21)</f>
        <v>0</v>
      </c>
      <c r="X21" s="20">
        <f>'TE BE'!$AB$21*'TE BE'!$X$49</f>
        <v>0</v>
      </c>
      <c r="Y21" s="20">
        <f>SUM($X$21:$X$21)</f>
        <v>0</v>
      </c>
      <c r="Z21" s="20">
        <f>'TE BE'!$Z$21*'TE BE'!$Z$49</f>
        <v>0</v>
      </c>
      <c r="AA21" s="20">
        <f>SUM($Z$21:$Z$21)</f>
        <v>0</v>
      </c>
      <c r="AB21" s="20">
        <f>SUMIF($L$4:$AA$4,"SUBTOTAL",$L$21:$AA$21)</f>
        <v>12.632694216021415</v>
      </c>
    </row>
    <row r="22" spans="1:28" ht="11.25" customHeight="1" x14ac:dyDescent="0.25">
      <c r="A22" s="150"/>
      <c r="B22" s="150"/>
      <c r="C22" s="150"/>
      <c r="D22" s="150"/>
      <c r="E22" s="150"/>
      <c r="F22" s="150"/>
      <c r="G22" s="23" t="s">
        <v>82</v>
      </c>
      <c r="H22" s="23" t="s">
        <v>68</v>
      </c>
      <c r="I22" s="23">
        <f>'MERCADO TE'!$U$19</f>
        <v>0</v>
      </c>
      <c r="J22" s="15"/>
      <c r="L22" s="20">
        <f>'TE BE'!$L$22*'TE BE'!$L$49</f>
        <v>1.527092298150929E-6</v>
      </c>
      <c r="M22" s="20">
        <f>'TE BE'!$M$22*'TE BE'!$M$49</f>
        <v>0</v>
      </c>
      <c r="N22" s="20">
        <f>'TE BE'!$N$22*'TE BE'!$N$49</f>
        <v>0</v>
      </c>
      <c r="O22" s="20">
        <f>'TE BE'!$O$22*'TE BE'!$O$49</f>
        <v>-9.9289898267227242E-3</v>
      </c>
      <c r="P22" s="20">
        <f>'TE BE'!$P$22*'TE BE'!$P$49</f>
        <v>0</v>
      </c>
      <c r="Q22" s="20">
        <f>SUM($L$22:$P$22)</f>
        <v>-9.927462734424573E-3</v>
      </c>
      <c r="R22" s="20">
        <f>'TE BE'!$R$22*'TE BE'!$R$49</f>
        <v>7.3503614411371156</v>
      </c>
      <c r="S22" s="20">
        <f>SUM($R$22:$R$22)</f>
        <v>7.3503614411371156</v>
      </c>
      <c r="T22" s="20">
        <f>'TE BE'!$T$22*'TE BE'!$T$49</f>
        <v>0</v>
      </c>
      <c r="U22" s="20">
        <f>'TE BE'!$U$22*'TE BE'!$U$49</f>
        <v>0</v>
      </c>
      <c r="V22" s="20">
        <f>'TE BE'!$V$22*'TE BE'!$V$49</f>
        <v>0</v>
      </c>
      <c r="W22" s="20">
        <f>SUM($T$22:$V$22)</f>
        <v>0</v>
      </c>
      <c r="X22" s="20">
        <f>'TE BE'!$AB$22*'TE BE'!$X$49</f>
        <v>0</v>
      </c>
      <c r="Y22" s="20">
        <f>SUM($X$22:$X$22)</f>
        <v>0</v>
      </c>
      <c r="Z22" s="20">
        <f>'TE BE'!$Z$22*'TE BE'!$Z$49</f>
        <v>0</v>
      </c>
      <c r="AA22" s="20">
        <f>SUM($Z$22:$Z$22)</f>
        <v>0</v>
      </c>
      <c r="AB22" s="20">
        <f>SUMIF($L$4:$AA$4,"SUBTOTAL",$L$22:$AA$22)</f>
        <v>7.3404339784026913</v>
      </c>
    </row>
    <row r="23" spans="1:28" ht="11.25" customHeight="1" x14ac:dyDescent="0.25">
      <c r="A23" s="150"/>
      <c r="B23" s="150"/>
      <c r="C23" s="150"/>
      <c r="D23" s="150"/>
      <c r="E23" s="150"/>
      <c r="F23" s="150"/>
      <c r="G23" s="23" t="s">
        <v>70</v>
      </c>
      <c r="H23" s="23" t="s">
        <v>68</v>
      </c>
      <c r="I23" s="23">
        <f>'MERCADO TE'!$U$20</f>
        <v>0</v>
      </c>
      <c r="J23" s="15"/>
      <c r="L23" s="20">
        <f>'TE BE'!$L$23*'TE BE'!$L$49</f>
        <v>1.527092298150929E-6</v>
      </c>
      <c r="M23" s="20">
        <f>'TE BE'!$M$23*'TE BE'!$M$49</f>
        <v>0</v>
      </c>
      <c r="N23" s="20">
        <f>'TE BE'!$N$23*'TE BE'!$N$49</f>
        <v>0</v>
      </c>
      <c r="O23" s="20">
        <f>'TE BE'!$O$23*'TE BE'!$O$49</f>
        <v>-9.9289898267227242E-3</v>
      </c>
      <c r="P23" s="20">
        <f>'TE BE'!$P$23*'TE BE'!$P$49</f>
        <v>0</v>
      </c>
      <c r="Q23" s="20">
        <f>SUM($L$23:$P$23)</f>
        <v>-9.927462734424573E-3</v>
      </c>
      <c r="R23" s="20">
        <f>'TE BE'!$R$23*'TE BE'!$R$49</f>
        <v>7.3503614411371156</v>
      </c>
      <c r="S23" s="20">
        <f>SUM($R$23:$R$23)</f>
        <v>7.3503614411371156</v>
      </c>
      <c r="T23" s="20">
        <f>'TE BE'!$T$23*'TE BE'!$T$49</f>
        <v>0</v>
      </c>
      <c r="U23" s="20">
        <f>'TE BE'!$U$23*'TE BE'!$U$49</f>
        <v>0</v>
      </c>
      <c r="V23" s="20">
        <f>'TE BE'!$V$23*'TE BE'!$V$49</f>
        <v>0</v>
      </c>
      <c r="W23" s="20">
        <f>SUM($T$23:$V$23)</f>
        <v>0</v>
      </c>
      <c r="X23" s="20">
        <f>'TE BE'!$AB$23*'TE BE'!$X$49</f>
        <v>0</v>
      </c>
      <c r="Y23" s="20">
        <f>SUM($X$23:$X$23)</f>
        <v>0</v>
      </c>
      <c r="Z23" s="20">
        <f>'TE BE'!$Z$23*'TE BE'!$Z$49</f>
        <v>0</v>
      </c>
      <c r="AA23" s="20">
        <f>SUM($Z$23:$Z$23)</f>
        <v>0</v>
      </c>
      <c r="AB23" s="20">
        <f>SUMIF($L$4:$AA$4,"SUBTOTAL",$L$23:$AA$23)</f>
        <v>7.3404339784026913</v>
      </c>
    </row>
    <row r="24" spans="1:28" ht="11.25" customHeight="1" x14ac:dyDescent="0.25">
      <c r="A24" s="150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11.840000000000002</v>
      </c>
      <c r="J24" s="15"/>
      <c r="L24" s="20">
        <f>'TE BE'!$L$24*'TE BE'!$L$49</f>
        <v>1.527092298150929E-6</v>
      </c>
      <c r="M24" s="20">
        <f>'TE BE'!$M$24*'TE BE'!$M$49</f>
        <v>0</v>
      </c>
      <c r="N24" s="20">
        <f>'TE BE'!$N$24*'TE BE'!$N$49</f>
        <v>0</v>
      </c>
      <c r="O24" s="20">
        <f>'TE BE'!$O$24*'TE BE'!$O$49</f>
        <v>-9.9289898267227242E-3</v>
      </c>
      <c r="P24" s="20">
        <f>'TE BE'!$P$24*'TE BE'!$P$49</f>
        <v>0</v>
      </c>
      <c r="Q24" s="20">
        <f>SUM($L$24:$P$24)</f>
        <v>-9.927462734424573E-3</v>
      </c>
      <c r="R24" s="20">
        <f>'TE BE'!$R$24*'TE BE'!$R$49</f>
        <v>7.7913831276053429</v>
      </c>
      <c r="S24" s="20">
        <f>SUM($R$24:$R$24)</f>
        <v>7.7913831276053429</v>
      </c>
      <c r="T24" s="20">
        <f>'TE BE'!$T$24*'TE BE'!$T$49</f>
        <v>0</v>
      </c>
      <c r="U24" s="20">
        <f>'TE BE'!$U$24*'TE BE'!$U$49</f>
        <v>0</v>
      </c>
      <c r="V24" s="20">
        <f>'TE BE'!$V$24*'TE BE'!$V$49</f>
        <v>0</v>
      </c>
      <c r="W24" s="20">
        <f>SUM($T$24:$V$24)</f>
        <v>0</v>
      </c>
      <c r="X24" s="20">
        <f>'TE BE'!$AB$24*'TE BE'!$X$49</f>
        <v>0</v>
      </c>
      <c r="Y24" s="20">
        <f>SUM($X$24:$X$24)</f>
        <v>0</v>
      </c>
      <c r="Z24" s="20">
        <f>'TE BE'!$Z$24*'TE BE'!$Z$49</f>
        <v>0</v>
      </c>
      <c r="AA24" s="20">
        <f>SUM($Z$24:$Z$24)</f>
        <v>0</v>
      </c>
      <c r="AB24" s="20">
        <f>SUMIF($L$4:$AA$4,"SUBTOTAL",$L$24:$AA$24)</f>
        <v>7.7814556648709186</v>
      </c>
    </row>
    <row r="25" spans="1:28" ht="11.25" customHeight="1" x14ac:dyDescent="0.25">
      <c r="A25" s="150"/>
      <c r="B25" s="150" t="s">
        <v>67</v>
      </c>
      <c r="C25" s="150" t="s">
        <v>42</v>
      </c>
      <c r="D25" s="150" t="s">
        <v>85</v>
      </c>
      <c r="E25" s="150" t="s">
        <v>25</v>
      </c>
      <c r="F25" s="150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'TE BE'!$L$25*'TE BE'!$L$49</f>
        <v>1.527092298150929E-6</v>
      </c>
      <c r="M25" s="20">
        <f>'TE BE'!$M$25*'TE BE'!$M$49</f>
        <v>0</v>
      </c>
      <c r="N25" s="20">
        <f>'TE BE'!$N$25*'TE BE'!$N$49</f>
        <v>0</v>
      </c>
      <c r="O25" s="20">
        <f>'TE BE'!$O$25*'TE BE'!$O$49</f>
        <v>-9.9289898267227242E-3</v>
      </c>
      <c r="P25" s="20">
        <f>'TE BE'!$P$25*'TE BE'!$P$49</f>
        <v>0</v>
      </c>
      <c r="Q25" s="20">
        <f>SUM($L$25:$P$25)</f>
        <v>-9.927462734424573E-3</v>
      </c>
      <c r="R25" s="20">
        <f>'TE BE'!$R$25*'TE BE'!$R$49</f>
        <v>12.642621678755839</v>
      </c>
      <c r="S25" s="20">
        <f>SUM($R$25:$R$25)</f>
        <v>12.642621678755839</v>
      </c>
      <c r="T25" s="20">
        <f>'TE BE'!$T$25*'TE BE'!$T$49</f>
        <v>0</v>
      </c>
      <c r="U25" s="20">
        <f>'TE BE'!$U$25*'TE BE'!$U$49</f>
        <v>0</v>
      </c>
      <c r="V25" s="20">
        <f>'TE BE'!$V$25*'TE BE'!$V$49</f>
        <v>0</v>
      </c>
      <c r="W25" s="20">
        <f>SUM($T$25:$V$25)</f>
        <v>0</v>
      </c>
      <c r="X25" s="20">
        <f>'TE BE'!$AB$25*'TE BE'!$X$49</f>
        <v>0</v>
      </c>
      <c r="Y25" s="20">
        <f>SUM($X$25:$X$25)</f>
        <v>0</v>
      </c>
      <c r="Z25" s="20">
        <f>'TE BE'!$Z$25*'TE BE'!$Z$49</f>
        <v>0</v>
      </c>
      <c r="AA25" s="20">
        <f>SUM($Z$25:$Z$25)</f>
        <v>0</v>
      </c>
      <c r="AB25" s="20">
        <f>SUMIF($L$4:$AA$4,"SUBTOTAL",$L$25:$AA$25)</f>
        <v>12.632694216021415</v>
      </c>
    </row>
    <row r="26" spans="1:28" ht="11.25" customHeight="1" x14ac:dyDescent="0.25">
      <c r="A26" s="150"/>
      <c r="B26" s="150"/>
      <c r="C26" s="150"/>
      <c r="D26" s="150"/>
      <c r="E26" s="150"/>
      <c r="F26" s="150"/>
      <c r="G26" s="23" t="s">
        <v>82</v>
      </c>
      <c r="H26" s="23" t="s">
        <v>68</v>
      </c>
      <c r="I26" s="23">
        <f>'MERCADO TE'!$U$23</f>
        <v>0</v>
      </c>
      <c r="J26" s="15"/>
      <c r="L26" s="20">
        <f>'TE BE'!$L$26*'TE BE'!$L$49</f>
        <v>1.527092298150929E-6</v>
      </c>
      <c r="M26" s="20">
        <f>'TE BE'!$M$26*'TE BE'!$M$49</f>
        <v>0</v>
      </c>
      <c r="N26" s="20">
        <f>'TE BE'!$N$26*'TE BE'!$N$49</f>
        <v>0</v>
      </c>
      <c r="O26" s="20">
        <f>'TE BE'!$O$26*'TE BE'!$O$49</f>
        <v>-9.9289898267227242E-3</v>
      </c>
      <c r="P26" s="20">
        <f>'TE BE'!$P$26*'TE BE'!$P$49</f>
        <v>0</v>
      </c>
      <c r="Q26" s="20">
        <f>SUM($L$26:$P$26)</f>
        <v>-9.927462734424573E-3</v>
      </c>
      <c r="R26" s="20">
        <f>'TE BE'!$R$26*'TE BE'!$R$49</f>
        <v>7.3503614411371156</v>
      </c>
      <c r="S26" s="20">
        <f>SUM($R$26:$R$26)</f>
        <v>7.3503614411371156</v>
      </c>
      <c r="T26" s="20">
        <f>'TE BE'!$T$26*'TE BE'!$T$49</f>
        <v>0</v>
      </c>
      <c r="U26" s="20">
        <f>'TE BE'!$U$26*'TE BE'!$U$49</f>
        <v>0</v>
      </c>
      <c r="V26" s="20">
        <f>'TE BE'!$V$26*'TE BE'!$V$49</f>
        <v>0</v>
      </c>
      <c r="W26" s="20">
        <f>SUM($T$26:$V$26)</f>
        <v>0</v>
      </c>
      <c r="X26" s="20">
        <f>'TE BE'!$AB$26*'TE BE'!$X$49</f>
        <v>0</v>
      </c>
      <c r="Y26" s="20">
        <f>SUM($X$26:$X$26)</f>
        <v>0</v>
      </c>
      <c r="Z26" s="20">
        <f>'TE BE'!$Z$26*'TE BE'!$Z$49</f>
        <v>0</v>
      </c>
      <c r="AA26" s="20">
        <f>SUM($Z$26:$Z$26)</f>
        <v>0</v>
      </c>
      <c r="AB26" s="20">
        <f>SUMIF($L$4:$AA$4,"SUBTOTAL",$L$26:$AA$26)</f>
        <v>7.3404339784026913</v>
      </c>
    </row>
    <row r="27" spans="1:28" ht="11.25" customHeight="1" x14ac:dyDescent="0.25">
      <c r="A27" s="150"/>
      <c r="B27" s="150"/>
      <c r="C27" s="150"/>
      <c r="D27" s="150"/>
      <c r="E27" s="150"/>
      <c r="F27" s="150"/>
      <c r="G27" s="23" t="s">
        <v>70</v>
      </c>
      <c r="H27" s="23" t="s">
        <v>68</v>
      </c>
      <c r="I27" s="23">
        <f>'MERCADO TE'!$U$24</f>
        <v>0</v>
      </c>
      <c r="J27" s="15"/>
      <c r="L27" s="20">
        <f>'TE BE'!$L$27*'TE BE'!$L$49</f>
        <v>1.527092298150929E-6</v>
      </c>
      <c r="M27" s="20">
        <f>'TE BE'!$M$27*'TE BE'!$M$49</f>
        <v>0</v>
      </c>
      <c r="N27" s="20">
        <f>'TE BE'!$N$27*'TE BE'!$N$49</f>
        <v>0</v>
      </c>
      <c r="O27" s="20">
        <f>'TE BE'!$O$27*'TE BE'!$O$49</f>
        <v>-9.9289898267227242E-3</v>
      </c>
      <c r="P27" s="20">
        <f>'TE BE'!$P$27*'TE BE'!$P$49</f>
        <v>0</v>
      </c>
      <c r="Q27" s="20">
        <f>SUM($L$27:$P$27)</f>
        <v>-9.927462734424573E-3</v>
      </c>
      <c r="R27" s="20">
        <f>'TE BE'!$R$27*'TE BE'!$R$49</f>
        <v>7.3503614411371156</v>
      </c>
      <c r="S27" s="20">
        <f>SUM($R$27:$R$27)</f>
        <v>7.3503614411371156</v>
      </c>
      <c r="T27" s="20">
        <f>'TE BE'!$T$27*'TE BE'!$T$49</f>
        <v>0</v>
      </c>
      <c r="U27" s="20">
        <f>'TE BE'!$U$27*'TE BE'!$U$49</f>
        <v>0</v>
      </c>
      <c r="V27" s="20">
        <f>'TE BE'!$V$27*'TE BE'!$V$49</f>
        <v>0</v>
      </c>
      <c r="W27" s="20">
        <f>SUM($T$27:$V$27)</f>
        <v>0</v>
      </c>
      <c r="X27" s="20">
        <f>'TE BE'!$AB$27*'TE BE'!$X$49</f>
        <v>0</v>
      </c>
      <c r="Y27" s="20">
        <f>SUM($X$27:$X$27)</f>
        <v>0</v>
      </c>
      <c r="Z27" s="20">
        <f>'TE BE'!$Z$27*'TE BE'!$Z$49</f>
        <v>0</v>
      </c>
      <c r="AA27" s="20">
        <f>SUM($Z$27:$Z$27)</f>
        <v>0</v>
      </c>
      <c r="AB27" s="20">
        <f>SUMIF($L$4:$AA$4,"SUBTOTAL",$L$27:$AA$27)</f>
        <v>7.3404339784026913</v>
      </c>
    </row>
    <row r="28" spans="1:28" ht="11.25" customHeight="1" x14ac:dyDescent="0.25">
      <c r="A28" s="150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'TE BE'!$L$28*'TE BE'!$L$49</f>
        <v>1.527092298150929E-6</v>
      </c>
      <c r="M28" s="20">
        <f>'TE BE'!$M$28*'TE BE'!$M$49</f>
        <v>0</v>
      </c>
      <c r="N28" s="20">
        <f>'TE BE'!$N$28*'TE BE'!$N$49</f>
        <v>0</v>
      </c>
      <c r="O28" s="20">
        <f>'TE BE'!$O$28*'TE BE'!$O$49</f>
        <v>-9.9289898267227242E-3</v>
      </c>
      <c r="P28" s="20">
        <f>'TE BE'!$P$28*'TE BE'!$P$49</f>
        <v>0</v>
      </c>
      <c r="Q28" s="20">
        <f>SUM($L$28:$P$28)</f>
        <v>-9.927462734424573E-3</v>
      </c>
      <c r="R28" s="20">
        <f>'TE BE'!$R$28*'TE BE'!$R$49</f>
        <v>7.7913831276053429</v>
      </c>
      <c r="S28" s="20">
        <f>SUM($R$28:$R$28)</f>
        <v>7.7913831276053429</v>
      </c>
      <c r="T28" s="20">
        <f>'TE BE'!$T$28*'TE BE'!$T$49</f>
        <v>0</v>
      </c>
      <c r="U28" s="20">
        <f>'TE BE'!$U$28*'TE BE'!$U$49</f>
        <v>0</v>
      </c>
      <c r="V28" s="20">
        <f>'TE BE'!$V$28*'TE BE'!$V$49</f>
        <v>0</v>
      </c>
      <c r="W28" s="20">
        <f>SUM($T$28:$V$28)</f>
        <v>0</v>
      </c>
      <c r="X28" s="20">
        <f>'TE BE'!$AB$28*'TE BE'!$X$49</f>
        <v>0</v>
      </c>
      <c r="Y28" s="20">
        <f>SUM($X$28:$X$28)</f>
        <v>0</v>
      </c>
      <c r="Z28" s="20">
        <f>'TE BE'!$Z$28*'TE BE'!$Z$49</f>
        <v>0</v>
      </c>
      <c r="AA28" s="20">
        <f>SUM($Z$28:$Z$28)</f>
        <v>0</v>
      </c>
      <c r="AB28" s="20">
        <f>SUMIF($L$4:$AA$4,"SUBTOTAL",$L$28:$AA$28)</f>
        <v>7.7814556648709186</v>
      </c>
    </row>
    <row r="29" spans="1:28" ht="11.25" customHeight="1" x14ac:dyDescent="0.25">
      <c r="A29" s="150"/>
      <c r="B29" s="150" t="s">
        <v>67</v>
      </c>
      <c r="C29" s="150" t="s">
        <v>42</v>
      </c>
      <c r="D29" s="150" t="s">
        <v>86</v>
      </c>
      <c r="E29" s="150" t="s">
        <v>25</v>
      </c>
      <c r="F29" s="150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'TE BE'!$L$29*'TE BE'!$L$49</f>
        <v>1.527092298150929E-6</v>
      </c>
      <c r="M29" s="20">
        <f>'TE BE'!$M$29*'TE BE'!$M$49</f>
        <v>0</v>
      </c>
      <c r="N29" s="20">
        <f>'TE BE'!$N$29*'TE BE'!$N$49</f>
        <v>0</v>
      </c>
      <c r="O29" s="20">
        <f>'TE BE'!$O$29*'TE BE'!$O$49</f>
        <v>-9.9289898267227242E-3</v>
      </c>
      <c r="P29" s="20">
        <f>'TE BE'!$P$29*'TE BE'!$P$49</f>
        <v>0</v>
      </c>
      <c r="Q29" s="20">
        <f>SUM($L$29:$P$29)</f>
        <v>-9.927462734424573E-3</v>
      </c>
      <c r="R29" s="20">
        <f>'TE BE'!$R$29*'TE BE'!$R$49</f>
        <v>12.642621678755839</v>
      </c>
      <c r="S29" s="20">
        <f>SUM($R$29:$R$29)</f>
        <v>12.642621678755839</v>
      </c>
      <c r="T29" s="20">
        <f>'TE BE'!$T$29*'TE BE'!$T$49</f>
        <v>0</v>
      </c>
      <c r="U29" s="20">
        <f>'TE BE'!$U$29*'TE BE'!$U$49</f>
        <v>0</v>
      </c>
      <c r="V29" s="20">
        <f>'TE BE'!$V$29*'TE BE'!$V$49</f>
        <v>0</v>
      </c>
      <c r="W29" s="20">
        <f>SUM($T$29:$V$29)</f>
        <v>0</v>
      </c>
      <c r="X29" s="20">
        <f>'TE BE'!$AB$29*'TE BE'!$X$49</f>
        <v>0</v>
      </c>
      <c r="Y29" s="20">
        <f>SUM($X$29:$X$29)</f>
        <v>0</v>
      </c>
      <c r="Z29" s="20">
        <f>'TE BE'!$Z$29*'TE BE'!$Z$49</f>
        <v>0</v>
      </c>
      <c r="AA29" s="20">
        <f>SUM($Z$29:$Z$29)</f>
        <v>0</v>
      </c>
      <c r="AB29" s="20">
        <f>SUMIF($L$4:$AA$4,"SUBTOTAL",$L$29:$AA$29)</f>
        <v>12.632694216021415</v>
      </c>
    </row>
    <row r="30" spans="1:28" ht="11.25" customHeight="1" x14ac:dyDescent="0.25">
      <c r="A30" s="150"/>
      <c r="B30" s="150"/>
      <c r="C30" s="150"/>
      <c r="D30" s="150"/>
      <c r="E30" s="150"/>
      <c r="F30" s="150"/>
      <c r="G30" s="23" t="s">
        <v>82</v>
      </c>
      <c r="H30" s="23" t="s">
        <v>68</v>
      </c>
      <c r="I30" s="23">
        <f>'MERCADO TE'!$U$27</f>
        <v>0</v>
      </c>
      <c r="J30" s="15"/>
      <c r="L30" s="20">
        <f>'TE BE'!$L$30*'TE BE'!$L$49</f>
        <v>1.527092298150929E-6</v>
      </c>
      <c r="M30" s="20">
        <f>'TE BE'!$M$30*'TE BE'!$M$49</f>
        <v>0</v>
      </c>
      <c r="N30" s="20">
        <f>'TE BE'!$N$30*'TE BE'!$N$49</f>
        <v>0</v>
      </c>
      <c r="O30" s="20">
        <f>'TE BE'!$O$30*'TE BE'!$O$49</f>
        <v>-9.9289898267227242E-3</v>
      </c>
      <c r="P30" s="20">
        <f>'TE BE'!$P$30*'TE BE'!$P$49</f>
        <v>0</v>
      </c>
      <c r="Q30" s="20">
        <f>SUM($L$30:$P$30)</f>
        <v>-9.927462734424573E-3</v>
      </c>
      <c r="R30" s="20">
        <f>'TE BE'!$R$30*'TE BE'!$R$49</f>
        <v>7.3503614411371156</v>
      </c>
      <c r="S30" s="20">
        <f>SUM($R$30:$R$30)</f>
        <v>7.3503614411371156</v>
      </c>
      <c r="T30" s="20">
        <f>'TE BE'!$T$30*'TE BE'!$T$49</f>
        <v>0</v>
      </c>
      <c r="U30" s="20">
        <f>'TE BE'!$U$30*'TE BE'!$U$49</f>
        <v>0</v>
      </c>
      <c r="V30" s="20">
        <f>'TE BE'!$V$30*'TE BE'!$V$49</f>
        <v>0</v>
      </c>
      <c r="W30" s="20">
        <f>SUM($T$30:$V$30)</f>
        <v>0</v>
      </c>
      <c r="X30" s="20">
        <f>'TE BE'!$AB$30*'TE BE'!$X$49</f>
        <v>0</v>
      </c>
      <c r="Y30" s="20">
        <f>SUM($X$30:$X$30)</f>
        <v>0</v>
      </c>
      <c r="Z30" s="20">
        <f>'TE BE'!$Z$30*'TE BE'!$Z$49</f>
        <v>0</v>
      </c>
      <c r="AA30" s="20">
        <f>SUM($Z$30:$Z$30)</f>
        <v>0</v>
      </c>
      <c r="AB30" s="20">
        <f>SUMIF($L$4:$AA$4,"SUBTOTAL",$L$30:$AA$30)</f>
        <v>7.3404339784026913</v>
      </c>
    </row>
    <row r="31" spans="1:28" ht="11.25" customHeight="1" x14ac:dyDescent="0.25">
      <c r="A31" s="150"/>
      <c r="B31" s="150"/>
      <c r="C31" s="150"/>
      <c r="D31" s="150"/>
      <c r="E31" s="150"/>
      <c r="F31" s="150"/>
      <c r="G31" s="23" t="s">
        <v>70</v>
      </c>
      <c r="H31" s="23" t="s">
        <v>68</v>
      </c>
      <c r="I31" s="23">
        <f>'MERCADO TE'!$U$28</f>
        <v>0</v>
      </c>
      <c r="J31" s="15"/>
      <c r="L31" s="20">
        <f>'TE BE'!$L$31*'TE BE'!$L$49</f>
        <v>1.527092298150929E-6</v>
      </c>
      <c r="M31" s="20">
        <f>'TE BE'!$M$31*'TE BE'!$M$49</f>
        <v>0</v>
      </c>
      <c r="N31" s="20">
        <f>'TE BE'!$N$31*'TE BE'!$N$49</f>
        <v>0</v>
      </c>
      <c r="O31" s="20">
        <f>'TE BE'!$O$31*'TE BE'!$O$49</f>
        <v>-9.9289898267227242E-3</v>
      </c>
      <c r="P31" s="20">
        <f>'TE BE'!$P$31*'TE BE'!$P$49</f>
        <v>0</v>
      </c>
      <c r="Q31" s="20">
        <f>SUM($L$31:$P$31)</f>
        <v>-9.927462734424573E-3</v>
      </c>
      <c r="R31" s="20">
        <f>'TE BE'!$R$31*'TE BE'!$R$49</f>
        <v>7.3503614411371156</v>
      </c>
      <c r="S31" s="20">
        <f>SUM($R$31:$R$31)</f>
        <v>7.3503614411371156</v>
      </c>
      <c r="T31" s="20">
        <f>'TE BE'!$T$31*'TE BE'!$T$49</f>
        <v>0</v>
      </c>
      <c r="U31" s="20">
        <f>'TE BE'!$U$31*'TE BE'!$U$49</f>
        <v>0</v>
      </c>
      <c r="V31" s="20">
        <f>'TE BE'!$V$31*'TE BE'!$V$49</f>
        <v>0</v>
      </c>
      <c r="W31" s="20">
        <f>SUM($T$31:$V$31)</f>
        <v>0</v>
      </c>
      <c r="X31" s="20">
        <f>'TE BE'!$AB$31*'TE BE'!$X$49</f>
        <v>0</v>
      </c>
      <c r="Y31" s="20">
        <f>SUM($X$31:$X$31)</f>
        <v>0</v>
      </c>
      <c r="Z31" s="20">
        <f>'TE BE'!$Z$31*'TE BE'!$Z$49</f>
        <v>0</v>
      </c>
      <c r="AA31" s="20">
        <f>SUM($Z$31:$Z$31)</f>
        <v>0</v>
      </c>
      <c r="AB31" s="20">
        <f>SUMIF($L$4:$AA$4,"SUBTOTAL",$L$31:$AA$31)</f>
        <v>7.3404339784026913</v>
      </c>
    </row>
    <row r="32" spans="1:28" ht="11.25" customHeight="1" x14ac:dyDescent="0.25">
      <c r="A32" s="150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'TE BE'!$L$32*'TE BE'!$L$49</f>
        <v>1.527092298150929E-6</v>
      </c>
      <c r="M32" s="20">
        <f>'TE BE'!$M$32*'TE BE'!$M$49</f>
        <v>0</v>
      </c>
      <c r="N32" s="20">
        <f>'TE BE'!$N$32*'TE BE'!$N$49</f>
        <v>0</v>
      </c>
      <c r="O32" s="20">
        <f>'TE BE'!$O$32*'TE BE'!$O$49</f>
        <v>-9.9289898267227242E-3</v>
      </c>
      <c r="P32" s="20">
        <f>'TE BE'!$P$32*'TE BE'!$P$49</f>
        <v>0</v>
      </c>
      <c r="Q32" s="20">
        <f>SUM($L$32:$P$32)</f>
        <v>-9.927462734424573E-3</v>
      </c>
      <c r="R32" s="20">
        <f>'TE BE'!$R$32*'TE BE'!$R$49</f>
        <v>7.7913831276053429</v>
      </c>
      <c r="S32" s="20">
        <f>SUM($R$32:$R$32)</f>
        <v>7.7913831276053429</v>
      </c>
      <c r="T32" s="20">
        <f>'TE BE'!$T$32*'TE BE'!$T$49</f>
        <v>0</v>
      </c>
      <c r="U32" s="20">
        <f>'TE BE'!$U$32*'TE BE'!$U$49</f>
        <v>0</v>
      </c>
      <c r="V32" s="20">
        <f>'TE BE'!$V$32*'TE BE'!$V$49</f>
        <v>0</v>
      </c>
      <c r="W32" s="20">
        <f>SUM($T$32:$V$32)</f>
        <v>0</v>
      </c>
      <c r="X32" s="20">
        <f>'TE BE'!$AB$32*'TE BE'!$X$49</f>
        <v>0</v>
      </c>
      <c r="Y32" s="20">
        <f>SUM($X$32:$X$32)</f>
        <v>0</v>
      </c>
      <c r="Z32" s="20">
        <f>'TE BE'!$Z$32*'TE BE'!$Z$49</f>
        <v>0</v>
      </c>
      <c r="AA32" s="20">
        <f>SUM($Z$32:$Z$32)</f>
        <v>0</v>
      </c>
      <c r="AB32" s="20">
        <f>SUMIF($L$4:$AA$4,"SUBTOTAL",$L$32:$AA$32)</f>
        <v>7.7814556648709186</v>
      </c>
    </row>
    <row r="33" spans="1:28" ht="11.25" customHeight="1" x14ac:dyDescent="0.25">
      <c r="A33" s="150"/>
      <c r="B33" s="150" t="s">
        <v>83</v>
      </c>
      <c r="C33" s="150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'TE BE'!$L$33*'TE BE'!$L$49</f>
        <v>1.527092298150929E-6</v>
      </c>
      <c r="M33" s="20">
        <f>'TE BE'!$M$33*'TE BE'!$M$49</f>
        <v>0</v>
      </c>
      <c r="N33" s="20">
        <f>'TE BE'!$N$33*'TE BE'!$N$49</f>
        <v>0</v>
      </c>
      <c r="O33" s="20">
        <f>'TE BE'!$O$33*'TE BE'!$O$49</f>
        <v>-9.9289898267227242E-3</v>
      </c>
      <c r="P33" s="20">
        <f>'TE BE'!$P$33*'TE BE'!$P$49</f>
        <v>0</v>
      </c>
      <c r="Q33" s="20">
        <f>SUM($L$33:$P$33)</f>
        <v>-9.927462734424573E-3</v>
      </c>
      <c r="R33" s="20">
        <f>'TE BE'!$R$33*'TE BE'!$R$49</f>
        <v>7.7913831276053429</v>
      </c>
      <c r="S33" s="20">
        <f>SUM($R$33:$R$33)</f>
        <v>7.7913831276053429</v>
      </c>
      <c r="T33" s="20">
        <f>'TE BE'!$T$33*'TE BE'!$T$49</f>
        <v>0</v>
      </c>
      <c r="U33" s="20">
        <f>'TE BE'!$U$33*'TE BE'!$U$49</f>
        <v>0</v>
      </c>
      <c r="V33" s="20">
        <f>'TE BE'!$V$33*'TE BE'!$V$49</f>
        <v>0</v>
      </c>
      <c r="W33" s="20">
        <f>SUM($T$33:$V$33)</f>
        <v>0</v>
      </c>
      <c r="X33" s="20">
        <f>'TE BE'!$AB$33*'TE BE'!$X$49</f>
        <v>0</v>
      </c>
      <c r="Y33" s="20">
        <f>SUM($X$33:$X$33)</f>
        <v>0</v>
      </c>
      <c r="Z33" s="20">
        <f>'TE BE'!$Z$33*'TE BE'!$Z$49</f>
        <v>0</v>
      </c>
      <c r="AA33" s="20">
        <f>SUM($Z$33:$Z$33)</f>
        <v>0</v>
      </c>
      <c r="AB33" s="20">
        <f>SUMIF($L$4:$AA$4,"SUBTOTAL",$L$33:$AA$33)</f>
        <v>7.7814556648709186</v>
      </c>
    </row>
    <row r="34" spans="1:28" ht="11.25" customHeight="1" x14ac:dyDescent="0.25">
      <c r="A34" s="150"/>
      <c r="B34" s="150"/>
      <c r="C34" s="150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'TE BE'!$L$34*'TE BE'!$L$49</f>
        <v>1.527092298150929E-6</v>
      </c>
      <c r="M34" s="20">
        <f>'TE BE'!$M$34*'TE BE'!$M$49</f>
        <v>0</v>
      </c>
      <c r="N34" s="20">
        <f>'TE BE'!$N$34*'TE BE'!$N$49</f>
        <v>0</v>
      </c>
      <c r="O34" s="20">
        <f>'TE BE'!$O$34*'TE BE'!$O$49</f>
        <v>-9.9289898267227242E-3</v>
      </c>
      <c r="P34" s="20">
        <f>'TE BE'!$P$34*'TE BE'!$P$49</f>
        <v>0</v>
      </c>
      <c r="Q34" s="20">
        <f>SUM($L$34:$P$34)</f>
        <v>-9.927462734424573E-3</v>
      </c>
      <c r="R34" s="20">
        <f>'TE BE'!$R$34*'TE BE'!$R$49</f>
        <v>7.7913831276053429</v>
      </c>
      <c r="S34" s="20">
        <f>SUM($R$34:$R$34)</f>
        <v>7.7913831276053429</v>
      </c>
      <c r="T34" s="20">
        <f>'TE BE'!$T$34*'TE BE'!$T$49</f>
        <v>0</v>
      </c>
      <c r="U34" s="20">
        <f>'TE BE'!$U$34*'TE BE'!$U$49</f>
        <v>0</v>
      </c>
      <c r="V34" s="20">
        <f>'TE BE'!$V$34*'TE BE'!$V$49</f>
        <v>0</v>
      </c>
      <c r="W34" s="20">
        <f>SUM($T$34:$V$34)</f>
        <v>0</v>
      </c>
      <c r="X34" s="20">
        <f>'TE BE'!$AB$34*'TE BE'!$X$49</f>
        <v>0</v>
      </c>
      <c r="Y34" s="20">
        <f>SUM($X$34:$X$34)</f>
        <v>0</v>
      </c>
      <c r="Z34" s="20">
        <f>'TE BE'!$Z$34*'TE BE'!$Z$49</f>
        <v>0</v>
      </c>
      <c r="AA34" s="20">
        <f>SUM($Z$34:$Z$34)</f>
        <v>0</v>
      </c>
      <c r="AB34" s="20">
        <f>SUMIF($L$4:$AA$4,"SUBTOTAL",$L$34:$AA$34)</f>
        <v>7.7814556648709186</v>
      </c>
    </row>
    <row r="35" spans="1:28" ht="11.25" customHeight="1" x14ac:dyDescent="0.25">
      <c r="A35" s="150"/>
      <c r="B35" s="150"/>
      <c r="C35" s="150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'TE BE'!$L$35*'TE BE'!$L$49</f>
        <v>1.527092298150929E-6</v>
      </c>
      <c r="M35" s="20">
        <f>'TE BE'!$M$35*'TE BE'!$M$49</f>
        <v>0</v>
      </c>
      <c r="N35" s="20">
        <f>'TE BE'!$N$35*'TE BE'!$N$49</f>
        <v>0</v>
      </c>
      <c r="O35" s="20">
        <f>'TE BE'!$O$35*'TE BE'!$O$49</f>
        <v>-9.9289898267227242E-3</v>
      </c>
      <c r="P35" s="20">
        <f>'TE BE'!$P$35*'TE BE'!$P$49</f>
        <v>0</v>
      </c>
      <c r="Q35" s="20">
        <f>SUM($L$35:$P$35)</f>
        <v>-9.927462734424573E-3</v>
      </c>
      <c r="R35" s="20">
        <f>'TE BE'!$R$35*'TE BE'!$R$49</f>
        <v>7.7913831276053429</v>
      </c>
      <c r="S35" s="20">
        <f>SUM($R$35:$R$35)</f>
        <v>7.7913831276053429</v>
      </c>
      <c r="T35" s="20">
        <f>'TE BE'!$T$35*'TE BE'!$T$49</f>
        <v>0</v>
      </c>
      <c r="U35" s="20">
        <f>'TE BE'!$U$35*'TE BE'!$U$49</f>
        <v>0</v>
      </c>
      <c r="V35" s="20">
        <f>'TE BE'!$V$35*'TE BE'!$V$49</f>
        <v>0</v>
      </c>
      <c r="W35" s="20">
        <f>SUM($T$35:$V$35)</f>
        <v>0</v>
      </c>
      <c r="X35" s="20">
        <f>'TE BE'!$AB$35*'TE BE'!$X$49</f>
        <v>0</v>
      </c>
      <c r="Y35" s="20">
        <f>SUM($X$35:$X$35)</f>
        <v>0</v>
      </c>
      <c r="Z35" s="20">
        <f>'TE BE'!$Z$35*'TE BE'!$Z$49</f>
        <v>0</v>
      </c>
      <c r="AA35" s="20">
        <f>SUM($Z$35:$Z$35)</f>
        <v>0</v>
      </c>
      <c r="AB35" s="20">
        <f>SUMIF($L$4:$AA$4,"SUBTOTAL",$L$35:$AA$35)</f>
        <v>7.7814556648709186</v>
      </c>
    </row>
    <row r="36" spans="1:28" ht="11.25" customHeight="1" x14ac:dyDescent="0.25">
      <c r="A36" s="150" t="s">
        <v>32</v>
      </c>
      <c r="B36" s="150" t="s">
        <v>67</v>
      </c>
      <c r="C36" s="150" t="s">
        <v>25</v>
      </c>
      <c r="D36" s="150" t="s">
        <v>25</v>
      </c>
      <c r="E36" s="150" t="s">
        <v>25</v>
      </c>
      <c r="F36" s="150" t="s">
        <v>25</v>
      </c>
      <c r="G36" s="23" t="s">
        <v>69</v>
      </c>
      <c r="H36" s="23" t="s">
        <v>68</v>
      </c>
      <c r="I36" s="23">
        <f>'MERCADO TE'!$U$33</f>
        <v>8.897000000000002</v>
      </c>
      <c r="J36" s="15"/>
      <c r="L36" s="20">
        <f>'TE BE'!$L$36*'TE BE'!$L$49</f>
        <v>1.527092298150929E-6</v>
      </c>
      <c r="M36" s="20">
        <f>'TE BE'!$M$36*'TE BE'!$M$49</f>
        <v>0</v>
      </c>
      <c r="N36" s="20">
        <f>'TE BE'!$N$36*'TE BE'!$N$49</f>
        <v>0</v>
      </c>
      <c r="O36" s="20">
        <f>'TE BE'!$O$36*'TE BE'!$O$49</f>
        <v>-9.9289898267227242E-3</v>
      </c>
      <c r="P36" s="20">
        <f>'TE BE'!$P$36*'TE BE'!$P$49</f>
        <v>0</v>
      </c>
      <c r="Q36" s="20">
        <f>SUM($L$36:$P$36)</f>
        <v>-9.927462734424573E-3</v>
      </c>
      <c r="R36" s="20">
        <f>'TE BE'!$R$36*'TE BE'!$R$49</f>
        <v>12.642621678755839</v>
      </c>
      <c r="S36" s="20">
        <f>SUM($R$36:$R$36)</f>
        <v>12.642621678755839</v>
      </c>
      <c r="T36" s="20">
        <f>'TE BE'!$T$36*'TE BE'!$T$49</f>
        <v>0</v>
      </c>
      <c r="U36" s="20">
        <f>'TE BE'!$U$36*'TE BE'!$U$49</f>
        <v>0</v>
      </c>
      <c r="V36" s="20">
        <f>'TE BE'!$V$36*'TE BE'!$V$49</f>
        <v>0</v>
      </c>
      <c r="W36" s="20">
        <f>SUM($T$36:$V$36)</f>
        <v>0</v>
      </c>
      <c r="X36" s="20">
        <f>'TE BE'!$AB$36*'TE BE'!$X$49</f>
        <v>0</v>
      </c>
      <c r="Y36" s="20">
        <f>SUM($X$36:$X$36)</f>
        <v>0</v>
      </c>
      <c r="Z36" s="20">
        <f>'TE BE'!$Z$36*'TE BE'!$Z$49</f>
        <v>0</v>
      </c>
      <c r="AA36" s="20">
        <f>SUM($Z$36:$Z$36)</f>
        <v>0</v>
      </c>
      <c r="AB36" s="20">
        <f>SUMIF($L$4:$AA$4,"SUBTOTAL",$L$36:$AA$36)</f>
        <v>12.632694216021415</v>
      </c>
    </row>
    <row r="37" spans="1:28" ht="11.25" customHeight="1" x14ac:dyDescent="0.25">
      <c r="A37" s="150"/>
      <c r="B37" s="150"/>
      <c r="C37" s="150"/>
      <c r="D37" s="150"/>
      <c r="E37" s="150"/>
      <c r="F37" s="150"/>
      <c r="G37" s="23" t="s">
        <v>82</v>
      </c>
      <c r="H37" s="23" t="s">
        <v>68</v>
      </c>
      <c r="I37" s="23">
        <f>'MERCADO TE'!$U$34</f>
        <v>7.0329999999999995</v>
      </c>
      <c r="J37" s="15"/>
      <c r="L37" s="20">
        <f>'TE BE'!$L$37*'TE BE'!$L$49</f>
        <v>1.527092298150929E-6</v>
      </c>
      <c r="M37" s="20">
        <f>'TE BE'!$M$37*'TE BE'!$M$49</f>
        <v>0</v>
      </c>
      <c r="N37" s="20">
        <f>'TE BE'!$N$37*'TE BE'!$N$49</f>
        <v>0</v>
      </c>
      <c r="O37" s="20">
        <f>'TE BE'!$O$37*'TE BE'!$O$49</f>
        <v>-9.9289898267227242E-3</v>
      </c>
      <c r="P37" s="20">
        <f>'TE BE'!$P$37*'TE BE'!$P$49</f>
        <v>0</v>
      </c>
      <c r="Q37" s="20">
        <f>SUM($L$37:$P$37)</f>
        <v>-9.927462734424573E-3</v>
      </c>
      <c r="R37" s="20">
        <f>'TE BE'!$R$37*'TE BE'!$R$49</f>
        <v>7.3503614411371156</v>
      </c>
      <c r="S37" s="20">
        <f>SUM($R$37:$R$37)</f>
        <v>7.3503614411371156</v>
      </c>
      <c r="T37" s="20">
        <f>'TE BE'!$T$37*'TE BE'!$T$49</f>
        <v>0</v>
      </c>
      <c r="U37" s="20">
        <f>'TE BE'!$U$37*'TE BE'!$U$49</f>
        <v>0</v>
      </c>
      <c r="V37" s="20">
        <f>'TE BE'!$V$37*'TE BE'!$V$49</f>
        <v>0</v>
      </c>
      <c r="W37" s="20">
        <f>SUM($T$37:$V$37)</f>
        <v>0</v>
      </c>
      <c r="X37" s="20">
        <f>'TE BE'!$AB$37*'TE BE'!$X$49</f>
        <v>0</v>
      </c>
      <c r="Y37" s="20">
        <f>SUM($X$37:$X$37)</f>
        <v>0</v>
      </c>
      <c r="Z37" s="20">
        <f>'TE BE'!$Z$37*'TE BE'!$Z$49</f>
        <v>0</v>
      </c>
      <c r="AA37" s="20">
        <f>SUM($Z$37:$Z$37)</f>
        <v>0</v>
      </c>
      <c r="AB37" s="20">
        <f>SUMIF($L$4:$AA$4,"SUBTOTAL",$L$37:$AA$37)</f>
        <v>7.3404339784026913</v>
      </c>
    </row>
    <row r="38" spans="1:28" ht="11.25" customHeight="1" x14ac:dyDescent="0.25">
      <c r="A38" s="150"/>
      <c r="B38" s="150"/>
      <c r="C38" s="150"/>
      <c r="D38" s="150"/>
      <c r="E38" s="150"/>
      <c r="F38" s="150"/>
      <c r="G38" s="23" t="s">
        <v>70</v>
      </c>
      <c r="H38" s="23" t="s">
        <v>68</v>
      </c>
      <c r="I38" s="23">
        <f>'MERCADO TE'!$U$35</f>
        <v>183.905</v>
      </c>
      <c r="J38" s="15"/>
      <c r="L38" s="20">
        <f>'TE BE'!$L$38*'TE BE'!$L$49</f>
        <v>1.527092298150929E-6</v>
      </c>
      <c r="M38" s="20">
        <f>'TE BE'!$M$38*'TE BE'!$M$49</f>
        <v>0</v>
      </c>
      <c r="N38" s="20">
        <f>'TE BE'!$N$38*'TE BE'!$N$49</f>
        <v>0</v>
      </c>
      <c r="O38" s="20">
        <f>'TE BE'!$O$38*'TE BE'!$O$49</f>
        <v>-9.9289898267227242E-3</v>
      </c>
      <c r="P38" s="20">
        <f>'TE BE'!$P$38*'TE BE'!$P$49</f>
        <v>0</v>
      </c>
      <c r="Q38" s="20">
        <f>SUM($L$38:$P$38)</f>
        <v>-9.927462734424573E-3</v>
      </c>
      <c r="R38" s="20">
        <f>'TE BE'!$R$38*'TE BE'!$R$49</f>
        <v>7.3503614411371156</v>
      </c>
      <c r="S38" s="20">
        <f>SUM($R$38:$R$38)</f>
        <v>7.3503614411371156</v>
      </c>
      <c r="T38" s="20">
        <f>'TE BE'!$T$38*'TE BE'!$T$49</f>
        <v>0</v>
      </c>
      <c r="U38" s="20">
        <f>'TE BE'!$U$38*'TE BE'!$U$49</f>
        <v>0</v>
      </c>
      <c r="V38" s="20">
        <f>'TE BE'!$V$38*'TE BE'!$V$49</f>
        <v>0</v>
      </c>
      <c r="W38" s="20">
        <f>SUM($T$38:$V$38)</f>
        <v>0</v>
      </c>
      <c r="X38" s="20">
        <f>'TE BE'!$AB$38*'TE BE'!$X$49</f>
        <v>0</v>
      </c>
      <c r="Y38" s="20">
        <f>SUM($X$38:$X$38)</f>
        <v>0</v>
      </c>
      <c r="Z38" s="20">
        <f>'TE BE'!$Z$38*'TE BE'!$Z$49</f>
        <v>0</v>
      </c>
      <c r="AA38" s="20">
        <f>SUM($Z$38:$Z$38)</f>
        <v>0</v>
      </c>
      <c r="AB38" s="20">
        <f>SUMIF($L$4:$AA$4,"SUBTOTAL",$L$38:$AA$38)</f>
        <v>7.3404339784026913</v>
      </c>
    </row>
    <row r="39" spans="1:28" ht="11.25" customHeight="1" x14ac:dyDescent="0.25">
      <c r="A39" s="150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4632.741</v>
      </c>
      <c r="J39" s="15"/>
      <c r="L39" s="20">
        <f>'TE BE'!$L$39*'TE BE'!$L$49</f>
        <v>1.527092298150929E-6</v>
      </c>
      <c r="M39" s="20">
        <f>'TE BE'!$M$39*'TE BE'!$M$49</f>
        <v>0</v>
      </c>
      <c r="N39" s="20">
        <f>'TE BE'!$N$39*'TE BE'!$N$49</f>
        <v>0</v>
      </c>
      <c r="O39" s="20">
        <f>'TE BE'!$O$39*'TE BE'!$O$49</f>
        <v>-9.9289898267227242E-3</v>
      </c>
      <c r="P39" s="20">
        <f>'TE BE'!$P$39*'TE BE'!$P$49</f>
        <v>0</v>
      </c>
      <c r="Q39" s="20">
        <f>SUM($L$39:$P$39)</f>
        <v>-9.927462734424573E-3</v>
      </c>
      <c r="R39" s="20">
        <f>'TE BE'!$R$39*'TE BE'!$R$49</f>
        <v>7.7913831276053429</v>
      </c>
      <c r="S39" s="20">
        <f>SUM($R$39:$R$39)</f>
        <v>7.7913831276053429</v>
      </c>
      <c r="T39" s="20">
        <f>'TE BE'!$T$39*'TE BE'!$T$49</f>
        <v>0</v>
      </c>
      <c r="U39" s="20">
        <f>'TE BE'!$U$39*'TE BE'!$U$49</f>
        <v>0</v>
      </c>
      <c r="V39" s="20">
        <f>'TE BE'!$V$39*'TE BE'!$V$49</f>
        <v>0</v>
      </c>
      <c r="W39" s="20">
        <f>SUM($T$39:$V$39)</f>
        <v>0</v>
      </c>
      <c r="X39" s="20">
        <f>'TE BE'!$AB$39*'TE BE'!$X$49</f>
        <v>0</v>
      </c>
      <c r="Y39" s="20">
        <f>SUM($X$39:$X$39)</f>
        <v>0</v>
      </c>
      <c r="Z39" s="20">
        <f>'TE BE'!$Z$39*'TE BE'!$Z$49</f>
        <v>0</v>
      </c>
      <c r="AA39" s="20">
        <f>SUM($Z$39:$Z$39)</f>
        <v>0</v>
      </c>
      <c r="AB39" s="20">
        <f>SUMIF($L$4:$AA$4,"SUBTOTAL",$L$39:$AA$39)</f>
        <v>7.7814556648709186</v>
      </c>
    </row>
    <row r="40" spans="1:28" ht="11.25" customHeight="1" x14ac:dyDescent="0.25">
      <c r="A40" s="150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'TE BE'!$L$40*'TE BE'!$L$49</f>
        <v>1.527092298150929E-6</v>
      </c>
      <c r="M40" s="20">
        <f>'TE BE'!$M$40*'TE BE'!$M$49</f>
        <v>0</v>
      </c>
      <c r="N40" s="20">
        <f>'TE BE'!$N$40*'TE BE'!$N$49</f>
        <v>0</v>
      </c>
      <c r="O40" s="20">
        <f>'TE BE'!$O$40*'TE BE'!$O$49</f>
        <v>-9.9289898267227242E-3</v>
      </c>
      <c r="P40" s="20">
        <f>'TE BE'!$P$40*'TE BE'!$P$49</f>
        <v>0</v>
      </c>
      <c r="Q40" s="20">
        <f>SUM($L$40:$P$40)</f>
        <v>-9.927462734424573E-3</v>
      </c>
      <c r="R40" s="20">
        <f>'TE BE'!$R$40*'TE BE'!$R$49</f>
        <v>7.7913831276053429</v>
      </c>
      <c r="S40" s="20">
        <f>SUM($R$40:$R$40)</f>
        <v>7.7913831276053429</v>
      </c>
      <c r="T40" s="20">
        <f>'TE BE'!$T$40*'TE BE'!$T$49</f>
        <v>0</v>
      </c>
      <c r="U40" s="20">
        <f>'TE BE'!$U$40*'TE BE'!$U$49</f>
        <v>0</v>
      </c>
      <c r="V40" s="20">
        <f>'TE BE'!$V$40*'TE BE'!$V$49</f>
        <v>0</v>
      </c>
      <c r="W40" s="20">
        <f>SUM($T$40:$V$40)</f>
        <v>0</v>
      </c>
      <c r="X40" s="20">
        <f>'TE BE'!$AB$40*'TE BE'!$X$49</f>
        <v>0</v>
      </c>
      <c r="Y40" s="20">
        <f>SUM($X$40:$X$40)</f>
        <v>0</v>
      </c>
      <c r="Z40" s="20">
        <f>'TE BE'!$Z$40*'TE BE'!$Z$49</f>
        <v>0</v>
      </c>
      <c r="AA40" s="20">
        <f>SUM($Z$40:$Z$40)</f>
        <v>0</v>
      </c>
      <c r="AB40" s="20">
        <f>SUMIF($L$4:$AA$4,"SUBTOTAL",$L$40:$AA$40)</f>
        <v>7.7814556648709186</v>
      </c>
    </row>
    <row r="41" spans="1:28" ht="11.25" customHeight="1" x14ac:dyDescent="0.25">
      <c r="A41" s="150" t="s">
        <v>44</v>
      </c>
      <c r="B41" s="150" t="s">
        <v>71</v>
      </c>
      <c r="C41" s="150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356.69600000000003</v>
      </c>
      <c r="J41" s="15"/>
      <c r="L41" s="20">
        <f>'TE BE'!$L$41*'TE BE'!$L$49</f>
        <v>8.3990076398301097E-7</v>
      </c>
      <c r="M41" s="20">
        <f>'TE BE'!$M$41*'TE BE'!$M$49</f>
        <v>0</v>
      </c>
      <c r="N41" s="20">
        <f>'TE BE'!$N$41*'TE BE'!$N$49</f>
        <v>0</v>
      </c>
      <c r="O41" s="20">
        <f>'TE BE'!$O$41*'TE BE'!$O$49</f>
        <v>-5.4609444046974992E-3</v>
      </c>
      <c r="P41" s="20">
        <f>'TE BE'!$P$41*'TE BE'!$P$49</f>
        <v>0</v>
      </c>
      <c r="Q41" s="20">
        <f>SUM($L$41:$P$41)</f>
        <v>-5.4601045039335159E-3</v>
      </c>
      <c r="R41" s="20">
        <f>'TE BE'!$R$41*'TE BE'!$R$49</f>
        <v>4.2852607201829391</v>
      </c>
      <c r="S41" s="20">
        <f>SUM($R$41:$R$41)</f>
        <v>4.2852607201829391</v>
      </c>
      <c r="T41" s="20">
        <f>'TE BE'!$T$41*'TE BE'!$T$49</f>
        <v>0</v>
      </c>
      <c r="U41" s="20">
        <f>'TE BE'!$U$41*'TE BE'!$U$49</f>
        <v>0</v>
      </c>
      <c r="V41" s="20">
        <f>'TE BE'!$V$41*'TE BE'!$V$49</f>
        <v>0</v>
      </c>
      <c r="W41" s="20">
        <f>SUM($T$41:$V$41)</f>
        <v>0</v>
      </c>
      <c r="X41" s="20">
        <f>'TE BE'!$AB$41*'TE BE'!$X$49</f>
        <v>0</v>
      </c>
      <c r="Y41" s="20">
        <f>SUM($X$41:$X$41)</f>
        <v>0</v>
      </c>
      <c r="Z41" s="20">
        <f>'TE BE'!$Z$41*'TE BE'!$Z$49</f>
        <v>0</v>
      </c>
      <c r="AA41" s="20">
        <f>SUM($Z$41:$Z$41)</f>
        <v>0</v>
      </c>
      <c r="AB41" s="20">
        <f>SUMIF($L$4:$AA$4,"SUBTOTAL",$L$41:$AA$41)</f>
        <v>4.2798006156790054</v>
      </c>
    </row>
    <row r="42" spans="1:28" ht="11.25" customHeight="1" x14ac:dyDescent="0.25">
      <c r="A42" s="150"/>
      <c r="B42" s="150"/>
      <c r="C42" s="150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'TE BE'!$L$42*'TE BE'!$L$49</f>
        <v>9.1625537889055725E-7</v>
      </c>
      <c r="M42" s="20">
        <f>'TE BE'!$M$42*'TE BE'!$M$49</f>
        <v>0</v>
      </c>
      <c r="N42" s="20">
        <f>'TE BE'!$N$42*'TE BE'!$N$49</f>
        <v>0</v>
      </c>
      <c r="O42" s="20">
        <f>'TE BE'!$O$42*'TE BE'!$O$49</f>
        <v>-5.9573938960336345E-3</v>
      </c>
      <c r="P42" s="20">
        <f>'TE BE'!$P$42*'TE BE'!$P$49</f>
        <v>0</v>
      </c>
      <c r="Q42" s="20">
        <f>SUM($L$42:$P$42)</f>
        <v>-5.9564776406547436E-3</v>
      </c>
      <c r="R42" s="20">
        <f>'TE BE'!$R$42*'TE BE'!$R$49</f>
        <v>4.674829876563205</v>
      </c>
      <c r="S42" s="20">
        <f>SUM($R$42:$R$42)</f>
        <v>4.674829876563205</v>
      </c>
      <c r="T42" s="20">
        <f>'TE BE'!$T$42*'TE BE'!$T$49</f>
        <v>0</v>
      </c>
      <c r="U42" s="20">
        <f>'TE BE'!$U$42*'TE BE'!$U$49</f>
        <v>0</v>
      </c>
      <c r="V42" s="20">
        <f>'TE BE'!$V$42*'TE BE'!$V$49</f>
        <v>0</v>
      </c>
      <c r="W42" s="20">
        <f>SUM($T$42:$V$42)</f>
        <v>0</v>
      </c>
      <c r="X42" s="20">
        <f>'TE BE'!$AB$42*'TE BE'!$X$49</f>
        <v>0</v>
      </c>
      <c r="Y42" s="20">
        <f>SUM($X$42:$X$42)</f>
        <v>0</v>
      </c>
      <c r="Z42" s="20">
        <f>'TE BE'!$Z$42*'TE BE'!$Z$49</f>
        <v>0</v>
      </c>
      <c r="AA42" s="20">
        <f>SUM($Z$42:$Z$42)</f>
        <v>0</v>
      </c>
      <c r="AB42" s="20">
        <f>SUMIF($L$4:$AA$4,"SUBTOTAL",$L$42:$AA$42)</f>
        <v>4.6688733989225506</v>
      </c>
    </row>
    <row r="44" spans="1:28" ht="11.25" customHeight="1" x14ac:dyDescent="0.25">
      <c r="K44" s="25" t="s">
        <v>542</v>
      </c>
      <c r="L44" s="20">
        <f t="shared" ref="L44:AB44" si="0">SUMPRODUCT($I$5:$I$42,L$5:L$42)</f>
        <v>2.2651100147363584E-2</v>
      </c>
      <c r="M44" s="20">
        <f t="shared" si="0"/>
        <v>0</v>
      </c>
      <c r="N44" s="20">
        <f t="shared" si="0"/>
        <v>0</v>
      </c>
      <c r="O44" s="20">
        <f t="shared" si="0"/>
        <v>-147.27501618570966</v>
      </c>
      <c r="P44" s="20">
        <f t="shared" si="0"/>
        <v>0</v>
      </c>
      <c r="Q44" s="20">
        <f t="shared" si="0"/>
        <v>-147.25236508556227</v>
      </c>
      <c r="R44" s="20">
        <f t="shared" si="0"/>
        <v>114967.26282738739</v>
      </c>
      <c r="S44" s="20">
        <f t="shared" si="0"/>
        <v>114967.26282738739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114820.01046230184</v>
      </c>
    </row>
    <row r="45" spans="1:28" ht="11.25" customHeight="1" x14ac:dyDescent="0.25">
      <c r="K45" s="25" t="s">
        <v>461</v>
      </c>
      <c r="L45" s="20">
        <f>CUSTOS!$D$30</f>
        <v>42091.705015032829</v>
      </c>
      <c r="M45" s="20">
        <f>CUSTOS!$D$31</f>
        <v>0</v>
      </c>
      <c r="N45" s="20">
        <f>CUSTOS!$D$32</f>
        <v>0</v>
      </c>
      <c r="O45" s="20">
        <f>CUSTOS!$D$33</f>
        <v>1.0000000000000001E-9</v>
      </c>
      <c r="P45" s="20">
        <f>CUSTOS!$D$34</f>
        <v>0</v>
      </c>
      <c r="Q45" s="20">
        <f>CUSTOS!$D$35</f>
        <v>42091.705015033825</v>
      </c>
      <c r="R45" s="20">
        <f>CUSTOS!$D$36</f>
        <v>4175116.283213472</v>
      </c>
      <c r="S45" s="20">
        <f>CUSTOS!$D$37</f>
        <v>4175116.283213472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4217207.9882285055</v>
      </c>
    </row>
    <row r="46" spans="1:28" ht="11.25" customHeight="1" x14ac:dyDescent="0.25">
      <c r="K46" s="25" t="s">
        <v>462</v>
      </c>
      <c r="L46" s="20">
        <f>CUSTOS!$E$30</f>
        <v>2.2651100147363584E-2</v>
      </c>
      <c r="M46" s="20">
        <f>CUSTOS!$E$31</f>
        <v>0</v>
      </c>
      <c r="N46" s="20">
        <f>CUSTOS!$E$32</f>
        <v>0</v>
      </c>
      <c r="O46" s="20">
        <f>CUSTOS!$E$33</f>
        <v>-147.27501618570966</v>
      </c>
      <c r="P46" s="20">
        <f>CUSTOS!$E$34</f>
        <v>0</v>
      </c>
      <c r="Q46" s="20">
        <f>CUSTOS!$E$35</f>
        <v>-147.2523650855623</v>
      </c>
      <c r="R46" s="20">
        <f>CUSTOS!$E$36</f>
        <v>114967.26282738737</v>
      </c>
      <c r="S46" s="20">
        <f>CUSTOS!$E$37</f>
        <v>114967.26282738737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114820.01046230181</v>
      </c>
    </row>
    <row r="47" spans="1:28" ht="11.25" customHeight="1" x14ac:dyDescent="0.25">
      <c r="K47" s="25" t="s">
        <v>463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-44840.210847179369</v>
      </c>
      <c r="S47" s="20">
        <f>CUSTOS!$F$37</f>
        <v>-44840.210847179369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-44840.210847179369</v>
      </c>
    </row>
    <row r="48" spans="1:28" ht="11.25" customHeight="1" x14ac:dyDescent="0.25">
      <c r="K48" s="25" t="s">
        <v>543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-3.0607558742057348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25">
      <c r="K49" s="25" t="s">
        <v>538</v>
      </c>
      <c r="L49" s="20">
        <f>IF(L45&lt;&gt;0,L47/L45,0)</f>
        <v>0</v>
      </c>
      <c r="M49" s="20">
        <f>IF(M45&lt;&gt;0,M47/M45,0)</f>
        <v>0</v>
      </c>
      <c r="N49" s="20">
        <f>IF(N45&lt;&gt;0,N47/N45,0)</f>
        <v>0</v>
      </c>
      <c r="O49" s="20">
        <f>IF(O45&lt;&gt;0,O47/O45,0)</f>
        <v>0</v>
      </c>
      <c r="P49" s="20">
        <f>IF(P45&lt;&gt;0,P47/P45,0)</f>
        <v>0</v>
      </c>
      <c r="Q49" s="20"/>
      <c r="R49" s="20">
        <f>IF(R45&lt;&gt;0,R47/R45,0)</f>
        <v>-1.0739871133042334E-2</v>
      </c>
      <c r="S49" s="20"/>
      <c r="T49" s="20">
        <f>IF(T45&lt;&gt;0,T47/T45,0)</f>
        <v>0</v>
      </c>
      <c r="U49" s="20">
        <f>IF(U45&lt;&gt;0,U47/U45,0)</f>
        <v>0</v>
      </c>
      <c r="V49" s="20">
        <f>IF(V45&lt;&gt;0,V47/V45,0)</f>
        <v>0</v>
      </c>
      <c r="W49" s="20"/>
      <c r="X49" s="20">
        <f>IF($AB45&lt;&gt;0,X47/($AB45-SUM('TR TE'!$L48:'TR TE'!$AA48)*0),0)</f>
        <v>0</v>
      </c>
      <c r="Y49" s="20"/>
      <c r="Z49" s="20">
        <f>IF(Z45&lt;&gt;0,Z47/Z45,0)</f>
        <v>0</v>
      </c>
      <c r="AA49" s="20"/>
      <c r="AB49" s="20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75" priority="33" operator="notEqual">
      <formula>$L$46</formula>
    </cfRule>
    <cfRule type="cellIs" dxfId="774" priority="34" operator="equal">
      <formula>$L$46</formula>
    </cfRule>
  </conditionalFormatting>
  <conditionalFormatting sqref="M44">
    <cfRule type="cellIs" dxfId="773" priority="31" operator="notEqual">
      <formula>$M$46</formula>
    </cfRule>
    <cfRule type="cellIs" dxfId="772" priority="32" operator="equal">
      <formula>$M$46</formula>
    </cfRule>
  </conditionalFormatting>
  <conditionalFormatting sqref="N44">
    <cfRule type="cellIs" dxfId="771" priority="29" operator="notEqual">
      <formula>$N$46</formula>
    </cfRule>
    <cfRule type="cellIs" dxfId="770" priority="30" operator="equal">
      <formula>$N$46</formula>
    </cfRule>
  </conditionalFormatting>
  <conditionalFormatting sqref="O44">
    <cfRule type="cellIs" dxfId="769" priority="27" operator="notEqual">
      <formula>$O$46</formula>
    </cfRule>
    <cfRule type="cellIs" dxfId="768" priority="28" operator="equal">
      <formula>$O$46</formula>
    </cfRule>
  </conditionalFormatting>
  <conditionalFormatting sqref="P44">
    <cfRule type="cellIs" dxfId="767" priority="25" operator="notEqual">
      <formula>$P$46</formula>
    </cfRule>
    <cfRule type="cellIs" dxfId="766" priority="26" operator="equal">
      <formula>$P$46</formula>
    </cfRule>
  </conditionalFormatting>
  <conditionalFormatting sqref="Q44">
    <cfRule type="cellIs" dxfId="765" priority="23" operator="notEqual">
      <formula>$Q$46</formula>
    </cfRule>
    <cfRule type="cellIs" dxfId="764" priority="24" operator="equal">
      <formula>$Q$46</formula>
    </cfRule>
  </conditionalFormatting>
  <conditionalFormatting sqref="R44">
    <cfRule type="cellIs" dxfId="763" priority="21" operator="notEqual">
      <formula>$R$46</formula>
    </cfRule>
    <cfRule type="cellIs" dxfId="762" priority="22" operator="equal">
      <formula>$R$46</formula>
    </cfRule>
  </conditionalFormatting>
  <conditionalFormatting sqref="S44">
    <cfRule type="cellIs" dxfId="761" priority="19" operator="notEqual">
      <formula>$S$46</formula>
    </cfRule>
    <cfRule type="cellIs" dxfId="760" priority="20" operator="equal">
      <formula>$S$46</formula>
    </cfRule>
  </conditionalFormatting>
  <conditionalFormatting sqref="T44">
    <cfRule type="cellIs" dxfId="759" priority="17" operator="notEqual">
      <formula>$T$46</formula>
    </cfRule>
    <cfRule type="cellIs" dxfId="758" priority="18" operator="equal">
      <formula>$T$46</formula>
    </cfRule>
  </conditionalFormatting>
  <conditionalFormatting sqref="U44">
    <cfRule type="cellIs" dxfId="757" priority="15" operator="notEqual">
      <formula>$U$46</formula>
    </cfRule>
    <cfRule type="cellIs" dxfId="756" priority="16" operator="equal">
      <formula>$U$46</formula>
    </cfRule>
  </conditionalFormatting>
  <conditionalFormatting sqref="V44">
    <cfRule type="cellIs" dxfId="755" priority="13" operator="notEqual">
      <formula>$V$46</formula>
    </cfRule>
    <cfRule type="cellIs" dxfId="754" priority="14" operator="equal">
      <formula>$V$46</formula>
    </cfRule>
  </conditionalFormatting>
  <conditionalFormatting sqref="W44">
    <cfRule type="cellIs" dxfId="753" priority="11" operator="notEqual">
      <formula>$W$46</formula>
    </cfRule>
    <cfRule type="cellIs" dxfId="752" priority="12" operator="equal">
      <formula>$W$46</formula>
    </cfRule>
  </conditionalFormatting>
  <conditionalFormatting sqref="X44">
    <cfRule type="cellIs" dxfId="751" priority="9" operator="notEqual">
      <formula>$X$46</formula>
    </cfRule>
    <cfRule type="cellIs" dxfId="750" priority="10" operator="equal">
      <formula>$X$46</formula>
    </cfRule>
  </conditionalFormatting>
  <conditionalFormatting sqref="Y44">
    <cfRule type="cellIs" dxfId="749" priority="7" operator="notEqual">
      <formula>$Y$46</formula>
    </cfRule>
    <cfRule type="cellIs" dxfId="748" priority="8" operator="equal">
      <formula>$Y$46</formula>
    </cfRule>
  </conditionalFormatting>
  <conditionalFormatting sqref="Z44">
    <cfRule type="cellIs" dxfId="747" priority="5" operator="notEqual">
      <formula>$Z$46</formula>
    </cfRule>
    <cfRule type="cellIs" dxfId="746" priority="6" operator="equal">
      <formula>$Z$46</formula>
    </cfRule>
  </conditionalFormatting>
  <conditionalFormatting sqref="AA44">
    <cfRule type="cellIs" dxfId="745" priority="3" operator="notEqual">
      <formula>$AA$46</formula>
    </cfRule>
    <cfRule type="cellIs" dxfId="744" priority="4" operator="equal">
      <formula>$AA$46</formula>
    </cfRule>
  </conditionalFormatting>
  <conditionalFormatting sqref="AB44">
    <cfRule type="cellIs" dxfId="743" priority="1" operator="notEqual">
      <formula>$AB$46</formula>
    </cfRule>
    <cfRule type="cellIs" dxfId="742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0B4F-CECB-408E-B405-3BB948AF8C66}">
  <sheetPr codeName="Planilha16"/>
  <dimension ref="A1:AB50"/>
  <sheetViews>
    <sheetView showGridLines="0" topLeftCell="Q31" workbookViewId="0">
      <selection activeCell="AB44" sqref="AB44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49" t="s">
        <v>58</v>
      </c>
      <c r="B1" s="149" t="s">
        <v>59</v>
      </c>
      <c r="C1" s="149" t="s">
        <v>60</v>
      </c>
      <c r="D1" s="149" t="s">
        <v>61</v>
      </c>
      <c r="E1" s="149" t="s">
        <v>62</v>
      </c>
      <c r="F1" s="149" t="s">
        <v>15</v>
      </c>
      <c r="G1" s="149" t="s">
        <v>64</v>
      </c>
      <c r="H1" s="149" t="s">
        <v>65</v>
      </c>
      <c r="I1" s="149" t="s">
        <v>520</v>
      </c>
      <c r="J1" s="128"/>
      <c r="L1" s="147" t="s">
        <v>548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</row>
    <row r="2" spans="1:28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28"/>
      <c r="L2" s="147" t="s">
        <v>447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</row>
    <row r="3" spans="1:28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28"/>
      <c r="L3" s="147" t="s">
        <v>420</v>
      </c>
      <c r="M3" s="147"/>
      <c r="N3" s="147"/>
      <c r="O3" s="147"/>
      <c r="P3" s="147"/>
      <c r="Q3" s="147"/>
      <c r="R3" s="147" t="s">
        <v>451</v>
      </c>
      <c r="S3" s="147"/>
      <c r="T3" s="147" t="s">
        <v>429</v>
      </c>
      <c r="U3" s="147"/>
      <c r="V3" s="147"/>
      <c r="W3" s="147"/>
      <c r="X3" s="147" t="s">
        <v>439</v>
      </c>
      <c r="Y3" s="147"/>
      <c r="Z3" s="147" t="s">
        <v>442</v>
      </c>
      <c r="AA3" s="147"/>
      <c r="AB3" s="147" t="s">
        <v>428</v>
      </c>
    </row>
    <row r="4" spans="1:28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28"/>
      <c r="L4" s="24" t="s">
        <v>422</v>
      </c>
      <c r="M4" s="24" t="s">
        <v>448</v>
      </c>
      <c r="N4" s="24" t="s">
        <v>449</v>
      </c>
      <c r="O4" s="24" t="s">
        <v>508</v>
      </c>
      <c r="P4" s="24" t="s">
        <v>450</v>
      </c>
      <c r="Q4" s="24" t="s">
        <v>428</v>
      </c>
      <c r="R4" s="24" t="s">
        <v>452</v>
      </c>
      <c r="S4" s="24" t="s">
        <v>428</v>
      </c>
      <c r="T4" s="24" t="s">
        <v>453</v>
      </c>
      <c r="U4" s="24" t="s">
        <v>454</v>
      </c>
      <c r="V4" s="24" t="s">
        <v>455</v>
      </c>
      <c r="W4" s="24" t="s">
        <v>428</v>
      </c>
      <c r="X4" s="24" t="s">
        <v>440</v>
      </c>
      <c r="Y4" s="24" t="s">
        <v>428</v>
      </c>
      <c r="Z4" s="24" t="s">
        <v>456</v>
      </c>
      <c r="AA4" s="24" t="s">
        <v>428</v>
      </c>
      <c r="AB4" s="148"/>
    </row>
    <row r="5" spans="1:28" ht="11.25" customHeight="1" x14ac:dyDescent="0.25">
      <c r="A5" s="150" t="s">
        <v>34</v>
      </c>
      <c r="B5" s="150" t="s">
        <v>67</v>
      </c>
      <c r="C5" s="150" t="s">
        <v>25</v>
      </c>
      <c r="D5" s="150" t="s">
        <v>25</v>
      </c>
      <c r="E5" s="150" t="s">
        <v>25</v>
      </c>
      <c r="F5" s="150" t="s">
        <v>25</v>
      </c>
      <c r="G5" s="23" t="s">
        <v>69</v>
      </c>
      <c r="H5" s="23" t="s">
        <v>68</v>
      </c>
      <c r="I5" s="23">
        <f>'MERCADO TE'!$U$2</f>
        <v>86.265000000000001</v>
      </c>
      <c r="J5" s="15"/>
      <c r="L5" s="20">
        <f>'TE BE'!$L$5*'TE BF'!$L$49</f>
        <v>0</v>
      </c>
      <c r="M5" s="20">
        <f>'TE BE'!$M$5*'TE BF'!$M$49</f>
        <v>0</v>
      </c>
      <c r="N5" s="20">
        <f>'TE BE'!$N$5*'TE BF'!$N$49</f>
        <v>0</v>
      </c>
      <c r="O5" s="20">
        <f>'TE BE'!$O$5*'TE BF'!$O$49</f>
        <v>0</v>
      </c>
      <c r="P5" s="20">
        <f>'TE BE'!$P$5*'TE BF'!$P$49</f>
        <v>0</v>
      </c>
      <c r="Q5" s="20">
        <f>SUM($L$5:$P$5)</f>
        <v>0</v>
      </c>
      <c r="R5" s="20">
        <f>'TE BE'!$R$5*'TE BF'!$R$49</f>
        <v>-4.9309499747565262</v>
      </c>
      <c r="S5" s="20">
        <f>SUM($R$5:$R$5)</f>
        <v>-4.9309499747565262</v>
      </c>
      <c r="T5" s="20">
        <f>'TE BE'!$T$5*'TE BF'!$T$49</f>
        <v>0</v>
      </c>
      <c r="U5" s="20">
        <f>'TE BE'!$U$5*'TE BF'!$U$49</f>
        <v>0</v>
      </c>
      <c r="V5" s="20">
        <f>'TE BE'!$V$5*'TE BF'!$V$49</f>
        <v>0</v>
      </c>
      <c r="W5" s="20">
        <f>SUM($T$5:$V$5)</f>
        <v>0</v>
      </c>
      <c r="X5" s="20">
        <f>'TE BE'!$AB$5*'TE BF'!$X$49</f>
        <v>0</v>
      </c>
      <c r="Y5" s="20">
        <f>SUM($X$5:$X$5)</f>
        <v>0</v>
      </c>
      <c r="Z5" s="20">
        <f>'TE BE'!$Z$5*'TE BF'!$Z$49</f>
        <v>0</v>
      </c>
      <c r="AA5" s="20">
        <f>SUM($Z$5:$Z$5)</f>
        <v>0</v>
      </c>
      <c r="AB5" s="20">
        <f>SUMIF($L$4:$AA$4,"SUBTOTAL",$L$5:$AA$5)</f>
        <v>-4.9309499747565262</v>
      </c>
    </row>
    <row r="6" spans="1:28" ht="11.25" customHeight="1" x14ac:dyDescent="0.25">
      <c r="A6" s="150"/>
      <c r="B6" s="150"/>
      <c r="C6" s="150"/>
      <c r="D6" s="150"/>
      <c r="E6" s="150"/>
      <c r="F6" s="150"/>
      <c r="G6" s="23" t="s">
        <v>70</v>
      </c>
      <c r="H6" s="23" t="s">
        <v>68</v>
      </c>
      <c r="I6" s="23">
        <f>'MERCADO TE'!$U$3</f>
        <v>2218.5819999999999</v>
      </c>
      <c r="J6" s="15"/>
      <c r="L6" s="20">
        <f>'TE BE'!$L$6*'TE BF'!$L$49</f>
        <v>0</v>
      </c>
      <c r="M6" s="20">
        <f>'TE BE'!$M$6*'TE BF'!$M$49</f>
        <v>0</v>
      </c>
      <c r="N6" s="20">
        <f>'TE BE'!$N$6*'TE BF'!$N$49</f>
        <v>0</v>
      </c>
      <c r="O6" s="20">
        <f>'TE BE'!$O$6*'TE BF'!$O$49</f>
        <v>0</v>
      </c>
      <c r="P6" s="20">
        <f>'TE BE'!$P$6*'TE BF'!$P$49</f>
        <v>0</v>
      </c>
      <c r="Q6" s="20">
        <f>SUM($L$6:$P$6)</f>
        <v>0</v>
      </c>
      <c r="R6" s="20">
        <f>'TE BE'!$R$6*'TE BF'!$R$49</f>
        <v>-2.8668313806723988</v>
      </c>
      <c r="S6" s="20">
        <f>SUM($R$6:$R$6)</f>
        <v>-2.8668313806723988</v>
      </c>
      <c r="T6" s="20">
        <f>'TE BE'!$T$6*'TE BF'!$T$49</f>
        <v>0</v>
      </c>
      <c r="U6" s="20">
        <f>'TE BE'!$U$6*'TE BF'!$U$49</f>
        <v>0</v>
      </c>
      <c r="V6" s="20">
        <f>'TE BE'!$V$6*'TE BF'!$V$49</f>
        <v>0</v>
      </c>
      <c r="W6" s="20">
        <f>SUM($T$6:$V$6)</f>
        <v>0</v>
      </c>
      <c r="X6" s="20">
        <f>'TE BE'!$AB$6*'TE BF'!$X$49</f>
        <v>0</v>
      </c>
      <c r="Y6" s="20">
        <f>SUM($X$6:$X$6)</f>
        <v>0</v>
      </c>
      <c r="Z6" s="20">
        <f>'TE BE'!$Z$6*'TE BF'!$Z$49</f>
        <v>0</v>
      </c>
      <c r="AA6" s="20">
        <f>SUM($Z$6:$Z$6)</f>
        <v>0</v>
      </c>
      <c r="AB6" s="20">
        <f>SUMIF($L$4:$AA$4,"SUBTOTAL",$L$6:$AA$6)</f>
        <v>-2.8668313806723988</v>
      </c>
    </row>
    <row r="7" spans="1:28" ht="11.25" customHeight="1" x14ac:dyDescent="0.25">
      <c r="A7" s="150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'TE BE'!$L$7*'TE BF'!$L$49</f>
        <v>0</v>
      </c>
      <c r="M7" s="20">
        <f>'TE BE'!$M$7*'TE BF'!$M$49</f>
        <v>0</v>
      </c>
      <c r="N7" s="20">
        <f>'TE BE'!$N$7*'TE BF'!$N$49</f>
        <v>0</v>
      </c>
      <c r="O7" s="20">
        <f>'TE BE'!$O$7*'TE BF'!$O$49</f>
        <v>0</v>
      </c>
      <c r="P7" s="20">
        <f>'TE BE'!$P$7*'TE BF'!$P$49</f>
        <v>0</v>
      </c>
      <c r="Q7" s="20">
        <f>SUM($L$7:$P$7)</f>
        <v>0</v>
      </c>
      <c r="R7" s="20">
        <f>'TE BE'!$R$7*'TE BF'!$R$49</f>
        <v>-3.0388412635127429</v>
      </c>
      <c r="S7" s="20">
        <f>SUM($R$7:$R$7)</f>
        <v>-3.0388412635127429</v>
      </c>
      <c r="T7" s="20">
        <f>'TE BE'!$T$7*'TE BF'!$T$49</f>
        <v>0</v>
      </c>
      <c r="U7" s="20">
        <f>'TE BE'!$U$7*'TE BF'!$U$49</f>
        <v>0</v>
      </c>
      <c r="V7" s="20">
        <f>'TE BE'!$V$7*'TE BF'!$V$49</f>
        <v>0</v>
      </c>
      <c r="W7" s="20">
        <f>SUM($T$7:$V$7)</f>
        <v>0</v>
      </c>
      <c r="X7" s="20">
        <f>'TE BE'!$AB$7*'TE BF'!$X$49</f>
        <v>0</v>
      </c>
      <c r="Y7" s="20">
        <f>SUM($X$7:$X$7)</f>
        <v>0</v>
      </c>
      <c r="Z7" s="20">
        <f>'TE BE'!$Z$7*'TE BF'!$Z$49</f>
        <v>0</v>
      </c>
      <c r="AA7" s="20">
        <f>SUM($Z$7:$Z$7)</f>
        <v>0</v>
      </c>
      <c r="AB7" s="20">
        <f>SUMIF($L$4:$AA$4,"SUBTOTAL",$L$7:$AA$7)</f>
        <v>-3.0388412635127429</v>
      </c>
    </row>
    <row r="8" spans="1:28" ht="11.25" customHeight="1" x14ac:dyDescent="0.25">
      <c r="A8" s="150" t="s">
        <v>22</v>
      </c>
      <c r="B8" s="150" t="s">
        <v>67</v>
      </c>
      <c r="C8" s="150" t="s">
        <v>24</v>
      </c>
      <c r="D8" s="150" t="s">
        <v>24</v>
      </c>
      <c r="E8" s="150" t="s">
        <v>25</v>
      </c>
      <c r="F8" s="150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'TE BE'!$L$8*'TE BF'!$L$49</f>
        <v>0</v>
      </c>
      <c r="M8" s="20">
        <f>'TE BE'!$M$8*'TE BF'!$M$49</f>
        <v>0</v>
      </c>
      <c r="N8" s="20">
        <f>'TE BE'!$N$8*'TE BF'!$N$49</f>
        <v>0</v>
      </c>
      <c r="O8" s="20">
        <f>'TE BE'!$O$8*'TE BF'!$O$49</f>
        <v>0</v>
      </c>
      <c r="P8" s="20">
        <f>'TE BE'!$P$8*'TE BF'!$P$49</f>
        <v>0</v>
      </c>
      <c r="Q8" s="20">
        <f>SUM($L$8:$P$8)</f>
        <v>0</v>
      </c>
      <c r="R8" s="20">
        <f>'TE BE'!$R$8*'TE BF'!$R$49</f>
        <v>-4.9309499747565262</v>
      </c>
      <c r="S8" s="20">
        <f>SUM($R$8:$R$8)</f>
        <v>-4.9309499747565262</v>
      </c>
      <c r="T8" s="20">
        <f>'TE BE'!$T$8*'TE BF'!$T$49</f>
        <v>0</v>
      </c>
      <c r="U8" s="20">
        <f>'TE BE'!$U$8*'TE BF'!$U$49</f>
        <v>0</v>
      </c>
      <c r="V8" s="20">
        <f>'TE BE'!$V$8*'TE BF'!$V$49</f>
        <v>0</v>
      </c>
      <c r="W8" s="20">
        <f>SUM($T$8:$V$8)</f>
        <v>0</v>
      </c>
      <c r="X8" s="20">
        <f>'TE BE'!$AB$8*'TE BF'!$X$49</f>
        <v>0</v>
      </c>
      <c r="Y8" s="20">
        <f>SUM($X$8:$X$8)</f>
        <v>0</v>
      </c>
      <c r="Z8" s="20">
        <f>'TE BE'!$Z$8*'TE BF'!$Z$49</f>
        <v>0</v>
      </c>
      <c r="AA8" s="20">
        <f>SUM($Z$8:$Z$8)</f>
        <v>0</v>
      </c>
      <c r="AB8" s="20">
        <f>SUMIF($L$4:$AA$4,"SUBTOTAL",$L$8:$AA$8)</f>
        <v>-4.9309499747565262</v>
      </c>
    </row>
    <row r="9" spans="1:28" ht="11.25" customHeight="1" x14ac:dyDescent="0.25">
      <c r="A9" s="150"/>
      <c r="B9" s="150"/>
      <c r="C9" s="150"/>
      <c r="D9" s="150"/>
      <c r="E9" s="150"/>
      <c r="F9" s="150"/>
      <c r="G9" s="23" t="s">
        <v>82</v>
      </c>
      <c r="H9" s="23" t="s">
        <v>68</v>
      </c>
      <c r="I9" s="23">
        <f>'MERCADO TE'!$U$6</f>
        <v>0</v>
      </c>
      <c r="J9" s="15"/>
      <c r="L9" s="20">
        <f>'TE BE'!$L$9*'TE BF'!$L$49</f>
        <v>0</v>
      </c>
      <c r="M9" s="20">
        <f>'TE BE'!$M$9*'TE BF'!$M$49</f>
        <v>0</v>
      </c>
      <c r="N9" s="20">
        <f>'TE BE'!$N$9*'TE BF'!$N$49</f>
        <v>0</v>
      </c>
      <c r="O9" s="20">
        <f>'TE BE'!$O$9*'TE BF'!$O$49</f>
        <v>0</v>
      </c>
      <c r="P9" s="20">
        <f>'TE BE'!$P$9*'TE BF'!$P$49</f>
        <v>0</v>
      </c>
      <c r="Q9" s="20">
        <f>SUM($L$9:$P$9)</f>
        <v>0</v>
      </c>
      <c r="R9" s="20">
        <f>'TE BE'!$R$9*'TE BF'!$R$49</f>
        <v>-2.8668313806723988</v>
      </c>
      <c r="S9" s="20">
        <f>SUM($R$9:$R$9)</f>
        <v>-2.8668313806723988</v>
      </c>
      <c r="T9" s="20">
        <f>'TE BE'!$T$9*'TE BF'!$T$49</f>
        <v>0</v>
      </c>
      <c r="U9" s="20">
        <f>'TE BE'!$U$9*'TE BF'!$U$49</f>
        <v>0</v>
      </c>
      <c r="V9" s="20">
        <f>'TE BE'!$V$9*'TE BF'!$V$49</f>
        <v>0</v>
      </c>
      <c r="W9" s="20">
        <f>SUM($T$9:$V$9)</f>
        <v>0</v>
      </c>
      <c r="X9" s="20">
        <f>'TE BE'!$AB$9*'TE BF'!$X$49</f>
        <v>0</v>
      </c>
      <c r="Y9" s="20">
        <f>SUM($X$9:$X$9)</f>
        <v>0</v>
      </c>
      <c r="Z9" s="20">
        <f>'TE BE'!$Z$9*'TE BF'!$Z$49</f>
        <v>0</v>
      </c>
      <c r="AA9" s="20">
        <f>SUM($Z$9:$Z$9)</f>
        <v>0</v>
      </c>
      <c r="AB9" s="20">
        <f>SUMIF($L$4:$AA$4,"SUBTOTAL",$L$9:$AA$9)</f>
        <v>-2.8668313806723988</v>
      </c>
    </row>
    <row r="10" spans="1:28" ht="11.25" customHeight="1" x14ac:dyDescent="0.25">
      <c r="A10" s="150"/>
      <c r="B10" s="150"/>
      <c r="C10" s="150"/>
      <c r="D10" s="150"/>
      <c r="E10" s="150"/>
      <c r="F10" s="150"/>
      <c r="G10" s="23" t="s">
        <v>70</v>
      </c>
      <c r="H10" s="23" t="s">
        <v>68</v>
      </c>
      <c r="I10" s="23">
        <f>'MERCADO TE'!$U$7</f>
        <v>0</v>
      </c>
      <c r="J10" s="15"/>
      <c r="L10" s="20">
        <f>'TE BE'!$L$10*'TE BF'!$L$49</f>
        <v>0</v>
      </c>
      <c r="M10" s="20">
        <f>'TE BE'!$M$10*'TE BF'!$M$49</f>
        <v>0</v>
      </c>
      <c r="N10" s="20">
        <f>'TE BE'!$N$10*'TE BF'!$N$49</f>
        <v>0</v>
      </c>
      <c r="O10" s="20">
        <f>'TE BE'!$O$10*'TE BF'!$O$49</f>
        <v>0</v>
      </c>
      <c r="P10" s="20">
        <f>'TE BE'!$P$10*'TE BF'!$P$49</f>
        <v>0</v>
      </c>
      <c r="Q10" s="20">
        <f>SUM($L$10:$P$10)</f>
        <v>0</v>
      </c>
      <c r="R10" s="20">
        <f>'TE BE'!$R$10*'TE BF'!$R$49</f>
        <v>-2.8668313806723988</v>
      </c>
      <c r="S10" s="20">
        <f>SUM($R$10:$R$10)</f>
        <v>-2.8668313806723988</v>
      </c>
      <c r="T10" s="20">
        <f>'TE BE'!$T$10*'TE BF'!$T$49</f>
        <v>0</v>
      </c>
      <c r="U10" s="20">
        <f>'TE BE'!$U$10*'TE BF'!$U$49</f>
        <v>0</v>
      </c>
      <c r="V10" s="20">
        <f>'TE BE'!$V$10*'TE BF'!$V$49</f>
        <v>0</v>
      </c>
      <c r="W10" s="20">
        <f>SUM($T$10:$V$10)</f>
        <v>0</v>
      </c>
      <c r="X10" s="20">
        <f>'TE BE'!$AB$10*'TE BF'!$X$49</f>
        <v>0</v>
      </c>
      <c r="Y10" s="20">
        <f>SUM($X$10:$X$10)</f>
        <v>0</v>
      </c>
      <c r="Z10" s="20">
        <f>'TE BE'!$Z$10*'TE BF'!$Z$49</f>
        <v>0</v>
      </c>
      <c r="AA10" s="20">
        <f>SUM($Z$10:$Z$10)</f>
        <v>0</v>
      </c>
      <c r="AB10" s="20">
        <f>SUMIF($L$4:$AA$4,"SUBTOTAL",$L$10:$AA$10)</f>
        <v>-2.8668313806723988</v>
      </c>
    </row>
    <row r="11" spans="1:28" ht="11.25" customHeight="1" x14ac:dyDescent="0.25">
      <c r="A11" s="150"/>
      <c r="B11" s="150" t="s">
        <v>71</v>
      </c>
      <c r="C11" s="150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6670.0239999999994</v>
      </c>
      <c r="J11" s="15"/>
      <c r="L11" s="20">
        <f>'TE BE'!$L$11*'TE BF'!$L$49</f>
        <v>0</v>
      </c>
      <c r="M11" s="20">
        <f>'TE BE'!$M$11*'TE BF'!$M$49</f>
        <v>0</v>
      </c>
      <c r="N11" s="20">
        <f>'TE BE'!$N$11*'TE BF'!$N$49</f>
        <v>0</v>
      </c>
      <c r="O11" s="20">
        <f>'TE BE'!$O$11*'TE BF'!$O$49</f>
        <v>0</v>
      </c>
      <c r="P11" s="20">
        <f>'TE BE'!$P$11*'TE BF'!$P$49</f>
        <v>0</v>
      </c>
      <c r="Q11" s="20">
        <f>SUM($L$11:$P$11)</f>
        <v>0</v>
      </c>
      <c r="R11" s="20">
        <f>'TE BE'!$R$11*'TE BF'!$R$49</f>
        <v>-3.0388412635127429</v>
      </c>
      <c r="S11" s="20">
        <f>SUM($R$11:$R$11)</f>
        <v>-3.0388412635127429</v>
      </c>
      <c r="T11" s="20">
        <f>'TE BE'!$T$11*'TE BF'!$T$49</f>
        <v>0</v>
      </c>
      <c r="U11" s="20">
        <f>'TE BE'!$U$11*'TE BF'!$U$49</f>
        <v>0</v>
      </c>
      <c r="V11" s="20">
        <f>'TE BE'!$V$11*'TE BF'!$V$49</f>
        <v>0</v>
      </c>
      <c r="W11" s="20">
        <f>SUM($T$11:$V$11)</f>
        <v>0</v>
      </c>
      <c r="X11" s="20">
        <f>'TE BE'!$AB$11*'TE BF'!$X$49</f>
        <v>0</v>
      </c>
      <c r="Y11" s="20">
        <f>SUM($X$11:$X$11)</f>
        <v>0</v>
      </c>
      <c r="Z11" s="20">
        <f>'TE BE'!$Z$11*'TE BF'!$Z$49</f>
        <v>0</v>
      </c>
      <c r="AA11" s="20">
        <f>SUM($Z$11:$Z$11)</f>
        <v>0</v>
      </c>
      <c r="AB11" s="20">
        <f>SUMIF($L$4:$AA$4,"SUBTOTAL",$L$11:$AA$11)</f>
        <v>-3.0388412635127429</v>
      </c>
    </row>
    <row r="12" spans="1:28" ht="11.25" customHeight="1" x14ac:dyDescent="0.25">
      <c r="A12" s="150"/>
      <c r="B12" s="150"/>
      <c r="C12" s="150"/>
      <c r="D12" s="22" t="s">
        <v>28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127.41000000000001</v>
      </c>
      <c r="J12" s="15"/>
      <c r="L12" s="20">
        <f>'TE BE'!$L$12*'TE BF'!$L$49</f>
        <v>0</v>
      </c>
      <c r="M12" s="20">
        <f>'TE BE'!$M$12*'TE BF'!$M$49</f>
        <v>0</v>
      </c>
      <c r="N12" s="20">
        <f>'TE BE'!$N$12*'TE BF'!$N$49</f>
        <v>0</v>
      </c>
      <c r="O12" s="20">
        <f>'TE BE'!$O$12*'TE BF'!$O$49</f>
        <v>0</v>
      </c>
      <c r="P12" s="20">
        <f>'TE BE'!$P$12*'TE BF'!$P$49</f>
        <v>0</v>
      </c>
      <c r="Q12" s="20">
        <f>SUM($L$12:$P$12)</f>
        <v>0</v>
      </c>
      <c r="R12" s="20">
        <f>'TE BE'!$R$12*'TE BF'!$R$49</f>
        <v>-3.0388412635127429</v>
      </c>
      <c r="S12" s="20">
        <f>SUM($R$12:$R$12)</f>
        <v>-3.0388412635127429</v>
      </c>
      <c r="T12" s="20">
        <f>'TE BE'!$T$12*'TE BF'!$T$49</f>
        <v>0</v>
      </c>
      <c r="U12" s="20">
        <f>'TE BE'!$U$12*'TE BF'!$U$49</f>
        <v>0</v>
      </c>
      <c r="V12" s="20">
        <f>'TE BE'!$V$12*'TE BF'!$V$49</f>
        <v>0</v>
      </c>
      <c r="W12" s="20">
        <f>SUM($T$12:$V$12)</f>
        <v>0</v>
      </c>
      <c r="X12" s="20">
        <f>'TE BE'!$AB$12*'TE BF'!$X$49</f>
        <v>0</v>
      </c>
      <c r="Y12" s="20">
        <f>SUM($X$12:$X$12)</f>
        <v>0</v>
      </c>
      <c r="Z12" s="20">
        <f>'TE BE'!$Z$12*'TE BF'!$Z$49</f>
        <v>0</v>
      </c>
      <c r="AA12" s="20">
        <f>SUM($Z$12:$Z$12)</f>
        <v>0</v>
      </c>
      <c r="AB12" s="20">
        <f>SUMIF($L$4:$AA$4,"SUBTOTAL",$L$12:$AA$12)</f>
        <v>-3.0388412635127429</v>
      </c>
    </row>
    <row r="13" spans="1:28" ht="11.25" customHeight="1" x14ac:dyDescent="0.25">
      <c r="A13" s="150"/>
      <c r="B13" s="150"/>
      <c r="C13" s="150"/>
      <c r="D13" s="22" t="s">
        <v>29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275.43099999999998</v>
      </c>
      <c r="J13" s="15"/>
      <c r="L13" s="20">
        <f>'TE BE'!$L$13*'TE BF'!$L$49</f>
        <v>0</v>
      </c>
      <c r="M13" s="20">
        <f>'TE BE'!$M$13*'TE BF'!$M$49</f>
        <v>0</v>
      </c>
      <c r="N13" s="20">
        <f>'TE BE'!$N$13*'TE BF'!$N$49</f>
        <v>0</v>
      </c>
      <c r="O13" s="20">
        <f>'TE BE'!$O$13*'TE BF'!$O$49</f>
        <v>0</v>
      </c>
      <c r="P13" s="20">
        <f>'TE BE'!$P$13*'TE BF'!$P$49</f>
        <v>0</v>
      </c>
      <c r="Q13" s="20">
        <f>SUM($L$13:$P$13)</f>
        <v>0</v>
      </c>
      <c r="R13" s="20">
        <f>'TE BE'!$R$13*'TE BF'!$R$49</f>
        <v>-3.0388412635127429</v>
      </c>
      <c r="S13" s="20">
        <f>SUM($R$13:$R$13)</f>
        <v>-3.0388412635127429</v>
      </c>
      <c r="T13" s="20">
        <f>'TE BE'!$T$13*'TE BF'!$T$49</f>
        <v>0</v>
      </c>
      <c r="U13" s="20">
        <f>'TE BE'!$U$13*'TE BF'!$U$49</f>
        <v>0</v>
      </c>
      <c r="V13" s="20">
        <f>'TE BE'!$V$13*'TE BF'!$V$49</f>
        <v>0</v>
      </c>
      <c r="W13" s="20">
        <f>SUM($T$13:$V$13)</f>
        <v>0</v>
      </c>
      <c r="X13" s="20">
        <f>'TE BE'!$AB$13*'TE BF'!$X$49</f>
        <v>0</v>
      </c>
      <c r="Y13" s="20">
        <f>SUM($X$13:$X$13)</f>
        <v>0</v>
      </c>
      <c r="Z13" s="20">
        <f>'TE BE'!$Z$13*'TE BF'!$Z$49</f>
        <v>0</v>
      </c>
      <c r="AA13" s="20">
        <f>SUM($Z$13:$Z$13)</f>
        <v>0</v>
      </c>
      <c r="AB13" s="20">
        <f>SUMIF($L$4:$AA$4,"SUBTOTAL",$L$13:$AA$13)</f>
        <v>-3.0388412635127429</v>
      </c>
    </row>
    <row r="14" spans="1:28" ht="11.25" customHeight="1" x14ac:dyDescent="0.25">
      <c r="A14" s="150"/>
      <c r="B14" s="150"/>
      <c r="C14" s="150"/>
      <c r="D14" s="22" t="s">
        <v>30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305.03699999999998</v>
      </c>
      <c r="J14" s="15"/>
      <c r="L14" s="20">
        <f>'TE BE'!$L$14*'TE BF'!$L$49</f>
        <v>0</v>
      </c>
      <c r="M14" s="20">
        <f>'TE BE'!$M$14*'TE BF'!$M$49</f>
        <v>0</v>
      </c>
      <c r="N14" s="20">
        <f>'TE BE'!$N$14*'TE BF'!$N$49</f>
        <v>0</v>
      </c>
      <c r="O14" s="20">
        <f>'TE BE'!$O$14*'TE BF'!$O$49</f>
        <v>0</v>
      </c>
      <c r="P14" s="20">
        <f>'TE BE'!$P$14*'TE BF'!$P$49</f>
        <v>0</v>
      </c>
      <c r="Q14" s="20">
        <f>SUM($L$14:$P$14)</f>
        <v>0</v>
      </c>
      <c r="R14" s="20">
        <f>'TE BE'!$R$14*'TE BF'!$R$49</f>
        <v>-3.0388412635127429</v>
      </c>
      <c r="S14" s="20">
        <f>SUM($R$14:$R$14)</f>
        <v>-3.0388412635127429</v>
      </c>
      <c r="T14" s="20">
        <f>'TE BE'!$T$14*'TE BF'!$T$49</f>
        <v>0</v>
      </c>
      <c r="U14" s="20">
        <f>'TE BE'!$U$14*'TE BF'!$U$49</f>
        <v>0</v>
      </c>
      <c r="V14" s="20">
        <f>'TE BE'!$V$14*'TE BF'!$V$49</f>
        <v>0</v>
      </c>
      <c r="W14" s="20">
        <f>SUM($T$14:$V$14)</f>
        <v>0</v>
      </c>
      <c r="X14" s="20">
        <f>'TE BE'!$AB$14*'TE BF'!$X$49</f>
        <v>0</v>
      </c>
      <c r="Y14" s="20">
        <f>SUM($X$14:$X$14)</f>
        <v>0</v>
      </c>
      <c r="Z14" s="20">
        <f>'TE BE'!$Z$14*'TE BF'!$Z$49</f>
        <v>0</v>
      </c>
      <c r="AA14" s="20">
        <f>SUM($Z$14:$Z$14)</f>
        <v>0</v>
      </c>
      <c r="AB14" s="20">
        <f>SUMIF($L$4:$AA$4,"SUBTOTAL",$L$14:$AA$14)</f>
        <v>-3.0388412635127429</v>
      </c>
    </row>
    <row r="15" spans="1:28" ht="11.25" customHeight="1" x14ac:dyDescent="0.25">
      <c r="A15" s="150"/>
      <c r="B15" s="150"/>
      <c r="C15" s="150"/>
      <c r="D15" s="22" t="s">
        <v>31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109.482</v>
      </c>
      <c r="J15" s="15"/>
      <c r="L15" s="20">
        <f>'TE BE'!$L$15*'TE BF'!$L$49</f>
        <v>0</v>
      </c>
      <c r="M15" s="20">
        <f>'TE BE'!$M$15*'TE BF'!$M$49</f>
        <v>0</v>
      </c>
      <c r="N15" s="20">
        <f>'TE BE'!$N$15*'TE BF'!$N$49</f>
        <v>0</v>
      </c>
      <c r="O15" s="20">
        <f>'TE BE'!$O$15*'TE BF'!$O$49</f>
        <v>0</v>
      </c>
      <c r="P15" s="20">
        <f>'TE BE'!$P$15*'TE BF'!$P$49</f>
        <v>0</v>
      </c>
      <c r="Q15" s="20">
        <f>SUM($L$15:$P$15)</f>
        <v>0</v>
      </c>
      <c r="R15" s="20">
        <f>'TE BE'!$R$15*'TE BF'!$R$49</f>
        <v>-3.0388412635127429</v>
      </c>
      <c r="S15" s="20">
        <f>SUM($R$15:$R$15)</f>
        <v>-3.0388412635127429</v>
      </c>
      <c r="T15" s="20">
        <f>'TE BE'!$T$15*'TE BF'!$T$49</f>
        <v>0</v>
      </c>
      <c r="U15" s="20">
        <f>'TE BE'!$U$15*'TE BF'!$U$49</f>
        <v>0</v>
      </c>
      <c r="V15" s="20">
        <f>'TE BE'!$V$15*'TE BF'!$V$49</f>
        <v>0</v>
      </c>
      <c r="W15" s="20">
        <f>SUM($T$15:$V$15)</f>
        <v>0</v>
      </c>
      <c r="X15" s="20">
        <f>'TE BE'!$AB$15*'TE BF'!$X$49</f>
        <v>0</v>
      </c>
      <c r="Y15" s="20">
        <f>SUM($X$15:$X$15)</f>
        <v>0</v>
      </c>
      <c r="Z15" s="20">
        <f>'TE BE'!$Z$15*'TE BF'!$Z$49</f>
        <v>0</v>
      </c>
      <c r="AA15" s="20">
        <f>SUM($Z$15:$Z$15)</f>
        <v>0</v>
      </c>
      <c r="AB15" s="20">
        <f>SUMIF($L$4:$AA$4,"SUBTOTAL",$L$15:$AA$15)</f>
        <v>-3.0388412635127429</v>
      </c>
    </row>
    <row r="16" spans="1:28" ht="11.25" customHeight="1" x14ac:dyDescent="0.25">
      <c r="A16" s="150"/>
      <c r="B16" s="150" t="s">
        <v>83</v>
      </c>
      <c r="C16" s="150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'TE BE'!$L$16*'TE BF'!$L$49</f>
        <v>0</v>
      </c>
      <c r="M16" s="20">
        <f>'TE BE'!$M$16*'TE BF'!$M$49</f>
        <v>0</v>
      </c>
      <c r="N16" s="20">
        <f>'TE BE'!$N$16*'TE BF'!$N$49</f>
        <v>0</v>
      </c>
      <c r="O16" s="20">
        <f>'TE BE'!$O$16*'TE BF'!$O$49</f>
        <v>0</v>
      </c>
      <c r="P16" s="20">
        <f>'TE BE'!$P$16*'TE BF'!$P$49</f>
        <v>0</v>
      </c>
      <c r="Q16" s="20">
        <f>SUM($L$16:$P$16)</f>
        <v>0</v>
      </c>
      <c r="R16" s="20">
        <f>'TE BE'!$R$16*'TE BF'!$R$49</f>
        <v>-3.0388412635127429</v>
      </c>
      <c r="S16" s="20">
        <f>SUM($R$16:$R$16)</f>
        <v>-3.0388412635127429</v>
      </c>
      <c r="T16" s="20">
        <f>'TE BE'!$T$16*'TE BF'!$T$49</f>
        <v>0</v>
      </c>
      <c r="U16" s="20">
        <f>'TE BE'!$U$16*'TE BF'!$U$49</f>
        <v>0</v>
      </c>
      <c r="V16" s="20">
        <f>'TE BE'!$V$16*'TE BF'!$V$49</f>
        <v>0</v>
      </c>
      <c r="W16" s="20">
        <f>SUM($T$16:$V$16)</f>
        <v>0</v>
      </c>
      <c r="X16" s="20">
        <f>'TE BE'!$AB$16*'TE BF'!$X$49</f>
        <v>0</v>
      </c>
      <c r="Y16" s="20">
        <f>SUM($X$16:$X$16)</f>
        <v>0</v>
      </c>
      <c r="Z16" s="20">
        <f>'TE BE'!$Z$16*'TE BF'!$Z$49</f>
        <v>0</v>
      </c>
      <c r="AA16" s="20">
        <f>SUM($Z$16:$Z$16)</f>
        <v>0</v>
      </c>
      <c r="AB16" s="20">
        <f>SUMIF($L$4:$AA$4,"SUBTOTAL",$L$16:$AA$16)</f>
        <v>-3.0388412635127429</v>
      </c>
    </row>
    <row r="17" spans="1:28" ht="11.25" customHeight="1" x14ac:dyDescent="0.25">
      <c r="A17" s="150"/>
      <c r="B17" s="150"/>
      <c r="C17" s="150"/>
      <c r="D17" s="22" t="s">
        <v>28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'TE BE'!$L$17*'TE BF'!$L$49</f>
        <v>0</v>
      </c>
      <c r="M17" s="20">
        <f>'TE BE'!$M$17*'TE BF'!$M$49</f>
        <v>0</v>
      </c>
      <c r="N17" s="20">
        <f>'TE BE'!$N$17*'TE BF'!$N$49</f>
        <v>0</v>
      </c>
      <c r="O17" s="20">
        <f>'TE BE'!$O$17*'TE BF'!$O$49</f>
        <v>0</v>
      </c>
      <c r="P17" s="20">
        <f>'TE BE'!$P$17*'TE BF'!$P$49</f>
        <v>0</v>
      </c>
      <c r="Q17" s="20">
        <f>SUM($L$17:$P$17)</f>
        <v>0</v>
      </c>
      <c r="R17" s="20">
        <f>'TE BE'!$R$17*'TE BF'!$R$49</f>
        <v>-3.0388412635127429</v>
      </c>
      <c r="S17" s="20">
        <f>SUM($R$17:$R$17)</f>
        <v>-3.0388412635127429</v>
      </c>
      <c r="T17" s="20">
        <f>'TE BE'!$T$17*'TE BF'!$T$49</f>
        <v>0</v>
      </c>
      <c r="U17" s="20">
        <f>'TE BE'!$U$17*'TE BF'!$U$49</f>
        <v>0</v>
      </c>
      <c r="V17" s="20">
        <f>'TE BE'!$V$17*'TE BF'!$V$49</f>
        <v>0</v>
      </c>
      <c r="W17" s="20">
        <f>SUM($T$17:$V$17)</f>
        <v>0</v>
      </c>
      <c r="X17" s="20">
        <f>'TE BE'!$AB$17*'TE BF'!$X$49</f>
        <v>0</v>
      </c>
      <c r="Y17" s="20">
        <f>SUM($X$17:$X$17)</f>
        <v>0</v>
      </c>
      <c r="Z17" s="20">
        <f>'TE BE'!$Z$17*'TE BF'!$Z$49</f>
        <v>0</v>
      </c>
      <c r="AA17" s="20">
        <f>SUM($Z$17:$Z$17)</f>
        <v>0</v>
      </c>
      <c r="AB17" s="20">
        <f>SUMIF($L$4:$AA$4,"SUBTOTAL",$L$17:$AA$17)</f>
        <v>-3.0388412635127429</v>
      </c>
    </row>
    <row r="18" spans="1:28" ht="11.25" customHeight="1" x14ac:dyDescent="0.25">
      <c r="A18" s="150"/>
      <c r="B18" s="150"/>
      <c r="C18" s="150"/>
      <c r="D18" s="22" t="s">
        <v>29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'TE BE'!$L$18*'TE BF'!$L$49</f>
        <v>0</v>
      </c>
      <c r="M18" s="20">
        <f>'TE BE'!$M$18*'TE BF'!$M$49</f>
        <v>0</v>
      </c>
      <c r="N18" s="20">
        <f>'TE BE'!$N$18*'TE BF'!$N$49</f>
        <v>0</v>
      </c>
      <c r="O18" s="20">
        <f>'TE BE'!$O$18*'TE BF'!$O$49</f>
        <v>0</v>
      </c>
      <c r="P18" s="20">
        <f>'TE BE'!$P$18*'TE BF'!$P$49</f>
        <v>0</v>
      </c>
      <c r="Q18" s="20">
        <f>SUM($L$18:$P$18)</f>
        <v>0</v>
      </c>
      <c r="R18" s="20">
        <f>'TE BE'!$R$18*'TE BF'!$R$49</f>
        <v>-3.0388412635127429</v>
      </c>
      <c r="S18" s="20">
        <f>SUM($R$18:$R$18)</f>
        <v>-3.0388412635127429</v>
      </c>
      <c r="T18" s="20">
        <f>'TE BE'!$T$18*'TE BF'!$T$49</f>
        <v>0</v>
      </c>
      <c r="U18" s="20">
        <f>'TE BE'!$U$18*'TE BF'!$U$49</f>
        <v>0</v>
      </c>
      <c r="V18" s="20">
        <f>'TE BE'!$V$18*'TE BF'!$V$49</f>
        <v>0</v>
      </c>
      <c r="W18" s="20">
        <f>SUM($T$18:$V$18)</f>
        <v>0</v>
      </c>
      <c r="X18" s="20">
        <f>'TE BE'!$AB$18*'TE BF'!$X$49</f>
        <v>0</v>
      </c>
      <c r="Y18" s="20">
        <f>SUM($X$18:$X$18)</f>
        <v>0</v>
      </c>
      <c r="Z18" s="20">
        <f>'TE BE'!$Z$18*'TE BF'!$Z$49</f>
        <v>0</v>
      </c>
      <c r="AA18" s="20">
        <f>SUM($Z$18:$Z$18)</f>
        <v>0</v>
      </c>
      <c r="AB18" s="20">
        <f>SUMIF($L$4:$AA$4,"SUBTOTAL",$L$18:$AA$18)</f>
        <v>-3.0388412635127429</v>
      </c>
    </row>
    <row r="19" spans="1:28" ht="11.25" customHeight="1" x14ac:dyDescent="0.25">
      <c r="A19" s="150"/>
      <c r="B19" s="150"/>
      <c r="C19" s="150"/>
      <c r="D19" s="22" t="s">
        <v>30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'TE BE'!$L$19*'TE BF'!$L$49</f>
        <v>0</v>
      </c>
      <c r="M19" s="20">
        <f>'TE BE'!$M$19*'TE BF'!$M$49</f>
        <v>0</v>
      </c>
      <c r="N19" s="20">
        <f>'TE BE'!$N$19*'TE BF'!$N$49</f>
        <v>0</v>
      </c>
      <c r="O19" s="20">
        <f>'TE BE'!$O$19*'TE BF'!$O$49</f>
        <v>0</v>
      </c>
      <c r="P19" s="20">
        <f>'TE BE'!$P$19*'TE BF'!$P$49</f>
        <v>0</v>
      </c>
      <c r="Q19" s="20">
        <f>SUM($L$19:$P$19)</f>
        <v>0</v>
      </c>
      <c r="R19" s="20">
        <f>'TE BE'!$R$19*'TE BF'!$R$49</f>
        <v>-3.0388412635127429</v>
      </c>
      <c r="S19" s="20">
        <f>SUM($R$19:$R$19)</f>
        <v>-3.0388412635127429</v>
      </c>
      <c r="T19" s="20">
        <f>'TE BE'!$T$19*'TE BF'!$T$49</f>
        <v>0</v>
      </c>
      <c r="U19" s="20">
        <f>'TE BE'!$U$19*'TE BF'!$U$49</f>
        <v>0</v>
      </c>
      <c r="V19" s="20">
        <f>'TE BE'!$V$19*'TE BF'!$V$49</f>
        <v>0</v>
      </c>
      <c r="W19" s="20">
        <f>SUM($T$19:$V$19)</f>
        <v>0</v>
      </c>
      <c r="X19" s="20">
        <f>'TE BE'!$AB$19*'TE BF'!$X$49</f>
        <v>0</v>
      </c>
      <c r="Y19" s="20">
        <f>SUM($X$19:$X$19)</f>
        <v>0</v>
      </c>
      <c r="Z19" s="20">
        <f>'TE BE'!$Z$19*'TE BF'!$Z$49</f>
        <v>0</v>
      </c>
      <c r="AA19" s="20">
        <f>SUM($Z$19:$Z$19)</f>
        <v>0</v>
      </c>
      <c r="AB19" s="20">
        <f>SUMIF($L$4:$AA$4,"SUBTOTAL",$L$19:$AA$19)</f>
        <v>-3.0388412635127429</v>
      </c>
    </row>
    <row r="20" spans="1:28" ht="11.25" customHeight="1" x14ac:dyDescent="0.25">
      <c r="A20" s="150"/>
      <c r="B20" s="150"/>
      <c r="C20" s="150"/>
      <c r="D20" s="22" t="s">
        <v>31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'TE BE'!$L$20*'TE BF'!$L$49</f>
        <v>0</v>
      </c>
      <c r="M20" s="20">
        <f>'TE BE'!$M$20*'TE BF'!$M$49</f>
        <v>0</v>
      </c>
      <c r="N20" s="20">
        <f>'TE BE'!$N$20*'TE BF'!$N$49</f>
        <v>0</v>
      </c>
      <c r="O20" s="20">
        <f>'TE BE'!$O$20*'TE BF'!$O$49</f>
        <v>0</v>
      </c>
      <c r="P20" s="20">
        <f>'TE BE'!$P$20*'TE BF'!$P$49</f>
        <v>0</v>
      </c>
      <c r="Q20" s="20">
        <f>SUM($L$20:$P$20)</f>
        <v>0</v>
      </c>
      <c r="R20" s="20">
        <f>'TE BE'!$R$20*'TE BF'!$R$49</f>
        <v>-3.0388412635127429</v>
      </c>
      <c r="S20" s="20">
        <f>SUM($R$20:$R$20)</f>
        <v>-3.0388412635127429</v>
      </c>
      <c r="T20" s="20">
        <f>'TE BE'!$T$20*'TE BF'!$T$49</f>
        <v>0</v>
      </c>
      <c r="U20" s="20">
        <f>'TE BE'!$U$20*'TE BF'!$U$49</f>
        <v>0</v>
      </c>
      <c r="V20" s="20">
        <f>'TE BE'!$V$20*'TE BF'!$V$49</f>
        <v>0</v>
      </c>
      <c r="W20" s="20">
        <f>SUM($T$20:$V$20)</f>
        <v>0</v>
      </c>
      <c r="X20" s="20">
        <f>'TE BE'!$AB$20*'TE BF'!$X$49</f>
        <v>0</v>
      </c>
      <c r="Y20" s="20">
        <f>SUM($X$20:$X$20)</f>
        <v>0</v>
      </c>
      <c r="Z20" s="20">
        <f>'TE BE'!$Z$20*'TE BF'!$Z$49</f>
        <v>0</v>
      </c>
      <c r="AA20" s="20">
        <f>SUM($Z$20:$Z$20)</f>
        <v>0</v>
      </c>
      <c r="AB20" s="20">
        <f>SUMIF($L$4:$AA$4,"SUBTOTAL",$L$20:$AA$20)</f>
        <v>-3.0388412635127429</v>
      </c>
    </row>
    <row r="21" spans="1:28" ht="11.25" customHeight="1" x14ac:dyDescent="0.25">
      <c r="A21" s="150" t="s">
        <v>41</v>
      </c>
      <c r="B21" s="150" t="s">
        <v>67</v>
      </c>
      <c r="C21" s="150" t="s">
        <v>42</v>
      </c>
      <c r="D21" s="150" t="s">
        <v>25</v>
      </c>
      <c r="E21" s="150" t="s">
        <v>25</v>
      </c>
      <c r="F21" s="150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'TE BE'!$L$21*'TE BF'!$L$49</f>
        <v>0</v>
      </c>
      <c r="M21" s="20">
        <f>'TE BE'!$M$21*'TE BF'!$M$49</f>
        <v>0</v>
      </c>
      <c r="N21" s="20">
        <f>'TE BE'!$N$21*'TE BF'!$N$49</f>
        <v>0</v>
      </c>
      <c r="O21" s="20">
        <f>'TE BE'!$O$21*'TE BF'!$O$49</f>
        <v>0</v>
      </c>
      <c r="P21" s="20">
        <f>'TE BE'!$P$21*'TE BF'!$P$49</f>
        <v>0</v>
      </c>
      <c r="Q21" s="20">
        <f>SUM($L$21:$P$21)</f>
        <v>0</v>
      </c>
      <c r="R21" s="20">
        <f>'TE BE'!$R$21*'TE BF'!$R$49</f>
        <v>-4.9309499747565262</v>
      </c>
      <c r="S21" s="20">
        <f>SUM($R$21:$R$21)</f>
        <v>-4.9309499747565262</v>
      </c>
      <c r="T21" s="20">
        <f>'TE BE'!$T$21*'TE BF'!$T$49</f>
        <v>0</v>
      </c>
      <c r="U21" s="20">
        <f>'TE BE'!$U$21*'TE BF'!$U$49</f>
        <v>0</v>
      </c>
      <c r="V21" s="20">
        <f>'TE BE'!$V$21*'TE BF'!$V$49</f>
        <v>0</v>
      </c>
      <c r="W21" s="20">
        <f>SUM($T$21:$V$21)</f>
        <v>0</v>
      </c>
      <c r="X21" s="20">
        <f>'TE BE'!$AB$21*'TE BF'!$X$49</f>
        <v>0</v>
      </c>
      <c r="Y21" s="20">
        <f>SUM($X$21:$X$21)</f>
        <v>0</v>
      </c>
      <c r="Z21" s="20">
        <f>'TE BE'!$Z$21*'TE BF'!$Z$49</f>
        <v>0</v>
      </c>
      <c r="AA21" s="20">
        <f>SUM($Z$21:$Z$21)</f>
        <v>0</v>
      </c>
      <c r="AB21" s="20">
        <f>SUMIF($L$4:$AA$4,"SUBTOTAL",$L$21:$AA$21)</f>
        <v>-4.9309499747565262</v>
      </c>
    </row>
    <row r="22" spans="1:28" ht="11.25" customHeight="1" x14ac:dyDescent="0.25">
      <c r="A22" s="150"/>
      <c r="B22" s="150"/>
      <c r="C22" s="150"/>
      <c r="D22" s="150"/>
      <c r="E22" s="150"/>
      <c r="F22" s="150"/>
      <c r="G22" s="23" t="s">
        <v>82</v>
      </c>
      <c r="H22" s="23" t="s">
        <v>68</v>
      </c>
      <c r="I22" s="23">
        <f>'MERCADO TE'!$U$19</f>
        <v>0</v>
      </c>
      <c r="J22" s="15"/>
      <c r="L22" s="20">
        <f>'TE BE'!$L$22*'TE BF'!$L$49</f>
        <v>0</v>
      </c>
      <c r="M22" s="20">
        <f>'TE BE'!$M$22*'TE BF'!$M$49</f>
        <v>0</v>
      </c>
      <c r="N22" s="20">
        <f>'TE BE'!$N$22*'TE BF'!$N$49</f>
        <v>0</v>
      </c>
      <c r="O22" s="20">
        <f>'TE BE'!$O$22*'TE BF'!$O$49</f>
        <v>0</v>
      </c>
      <c r="P22" s="20">
        <f>'TE BE'!$P$22*'TE BF'!$P$49</f>
        <v>0</v>
      </c>
      <c r="Q22" s="20">
        <f>SUM($L$22:$P$22)</f>
        <v>0</v>
      </c>
      <c r="R22" s="20">
        <f>'TE BE'!$R$22*'TE BF'!$R$49</f>
        <v>-2.8668313806723988</v>
      </c>
      <c r="S22" s="20">
        <f>SUM($R$22:$R$22)</f>
        <v>-2.8668313806723988</v>
      </c>
      <c r="T22" s="20">
        <f>'TE BE'!$T$22*'TE BF'!$T$49</f>
        <v>0</v>
      </c>
      <c r="U22" s="20">
        <f>'TE BE'!$U$22*'TE BF'!$U$49</f>
        <v>0</v>
      </c>
      <c r="V22" s="20">
        <f>'TE BE'!$V$22*'TE BF'!$V$49</f>
        <v>0</v>
      </c>
      <c r="W22" s="20">
        <f>SUM($T$22:$V$22)</f>
        <v>0</v>
      </c>
      <c r="X22" s="20">
        <f>'TE BE'!$AB$22*'TE BF'!$X$49</f>
        <v>0</v>
      </c>
      <c r="Y22" s="20">
        <f>SUM($X$22:$X$22)</f>
        <v>0</v>
      </c>
      <c r="Z22" s="20">
        <f>'TE BE'!$Z$22*'TE BF'!$Z$49</f>
        <v>0</v>
      </c>
      <c r="AA22" s="20">
        <f>SUM($Z$22:$Z$22)</f>
        <v>0</v>
      </c>
      <c r="AB22" s="20">
        <f>SUMIF($L$4:$AA$4,"SUBTOTAL",$L$22:$AA$22)</f>
        <v>-2.8668313806723988</v>
      </c>
    </row>
    <row r="23" spans="1:28" ht="11.25" customHeight="1" x14ac:dyDescent="0.25">
      <c r="A23" s="150"/>
      <c r="B23" s="150"/>
      <c r="C23" s="150"/>
      <c r="D23" s="150"/>
      <c r="E23" s="150"/>
      <c r="F23" s="150"/>
      <c r="G23" s="23" t="s">
        <v>70</v>
      </c>
      <c r="H23" s="23" t="s">
        <v>68</v>
      </c>
      <c r="I23" s="23">
        <f>'MERCADO TE'!$U$20</f>
        <v>0</v>
      </c>
      <c r="J23" s="15"/>
      <c r="L23" s="20">
        <f>'TE BE'!$L$23*'TE BF'!$L$49</f>
        <v>0</v>
      </c>
      <c r="M23" s="20">
        <f>'TE BE'!$M$23*'TE BF'!$M$49</f>
        <v>0</v>
      </c>
      <c r="N23" s="20">
        <f>'TE BE'!$N$23*'TE BF'!$N$49</f>
        <v>0</v>
      </c>
      <c r="O23" s="20">
        <f>'TE BE'!$O$23*'TE BF'!$O$49</f>
        <v>0</v>
      </c>
      <c r="P23" s="20">
        <f>'TE BE'!$P$23*'TE BF'!$P$49</f>
        <v>0</v>
      </c>
      <c r="Q23" s="20">
        <f>SUM($L$23:$P$23)</f>
        <v>0</v>
      </c>
      <c r="R23" s="20">
        <f>'TE BE'!$R$23*'TE BF'!$R$49</f>
        <v>-2.8668313806723988</v>
      </c>
      <c r="S23" s="20">
        <f>SUM($R$23:$R$23)</f>
        <v>-2.8668313806723988</v>
      </c>
      <c r="T23" s="20">
        <f>'TE BE'!$T$23*'TE BF'!$T$49</f>
        <v>0</v>
      </c>
      <c r="U23" s="20">
        <f>'TE BE'!$U$23*'TE BF'!$U$49</f>
        <v>0</v>
      </c>
      <c r="V23" s="20">
        <f>'TE BE'!$V$23*'TE BF'!$V$49</f>
        <v>0</v>
      </c>
      <c r="W23" s="20">
        <f>SUM($T$23:$V$23)</f>
        <v>0</v>
      </c>
      <c r="X23" s="20">
        <f>'TE BE'!$AB$23*'TE BF'!$X$49</f>
        <v>0</v>
      </c>
      <c r="Y23" s="20">
        <f>SUM($X$23:$X$23)</f>
        <v>0</v>
      </c>
      <c r="Z23" s="20">
        <f>'TE BE'!$Z$23*'TE BF'!$Z$49</f>
        <v>0</v>
      </c>
      <c r="AA23" s="20">
        <f>SUM($Z$23:$Z$23)</f>
        <v>0</v>
      </c>
      <c r="AB23" s="20">
        <f>SUMIF($L$4:$AA$4,"SUBTOTAL",$L$23:$AA$23)</f>
        <v>-2.8668313806723988</v>
      </c>
    </row>
    <row r="24" spans="1:28" ht="11.25" customHeight="1" x14ac:dyDescent="0.25">
      <c r="A24" s="150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11.840000000000002</v>
      </c>
      <c r="J24" s="15"/>
      <c r="L24" s="20">
        <f>'TE BE'!$L$24*'TE BF'!$L$49</f>
        <v>0</v>
      </c>
      <c r="M24" s="20">
        <f>'TE BE'!$M$24*'TE BF'!$M$49</f>
        <v>0</v>
      </c>
      <c r="N24" s="20">
        <f>'TE BE'!$N$24*'TE BF'!$N$49</f>
        <v>0</v>
      </c>
      <c r="O24" s="20">
        <f>'TE BE'!$O$24*'TE BF'!$O$49</f>
        <v>0</v>
      </c>
      <c r="P24" s="20">
        <f>'TE BE'!$P$24*'TE BF'!$P$49</f>
        <v>0</v>
      </c>
      <c r="Q24" s="20">
        <f>SUM($L$24:$P$24)</f>
        <v>0</v>
      </c>
      <c r="R24" s="20">
        <f>'TE BE'!$R$24*'TE BF'!$R$49</f>
        <v>-3.0388412635127429</v>
      </c>
      <c r="S24" s="20">
        <f>SUM($R$24:$R$24)</f>
        <v>-3.0388412635127429</v>
      </c>
      <c r="T24" s="20">
        <f>'TE BE'!$T$24*'TE BF'!$T$49</f>
        <v>0</v>
      </c>
      <c r="U24" s="20">
        <f>'TE BE'!$U$24*'TE BF'!$U$49</f>
        <v>0</v>
      </c>
      <c r="V24" s="20">
        <f>'TE BE'!$V$24*'TE BF'!$V$49</f>
        <v>0</v>
      </c>
      <c r="W24" s="20">
        <f>SUM($T$24:$V$24)</f>
        <v>0</v>
      </c>
      <c r="X24" s="20">
        <f>'TE BE'!$AB$24*'TE BF'!$X$49</f>
        <v>0</v>
      </c>
      <c r="Y24" s="20">
        <f>SUM($X$24:$X$24)</f>
        <v>0</v>
      </c>
      <c r="Z24" s="20">
        <f>'TE BE'!$Z$24*'TE BF'!$Z$49</f>
        <v>0</v>
      </c>
      <c r="AA24" s="20">
        <f>SUM($Z$24:$Z$24)</f>
        <v>0</v>
      </c>
      <c r="AB24" s="20">
        <f>SUMIF($L$4:$AA$4,"SUBTOTAL",$L$24:$AA$24)</f>
        <v>-3.0388412635127429</v>
      </c>
    </row>
    <row r="25" spans="1:28" ht="11.25" customHeight="1" x14ac:dyDescent="0.25">
      <c r="A25" s="150"/>
      <c r="B25" s="150" t="s">
        <v>67</v>
      </c>
      <c r="C25" s="150" t="s">
        <v>42</v>
      </c>
      <c r="D25" s="150" t="s">
        <v>85</v>
      </c>
      <c r="E25" s="150" t="s">
        <v>25</v>
      </c>
      <c r="F25" s="150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'TE BE'!$L$25*'TE BF'!$L$49</f>
        <v>0</v>
      </c>
      <c r="M25" s="20">
        <f>'TE BE'!$M$25*'TE BF'!$M$49</f>
        <v>0</v>
      </c>
      <c r="N25" s="20">
        <f>'TE BE'!$N$25*'TE BF'!$N$49</f>
        <v>0</v>
      </c>
      <c r="O25" s="20">
        <f>'TE BE'!$O$25*'TE BF'!$O$49</f>
        <v>0</v>
      </c>
      <c r="P25" s="20">
        <f>'TE BE'!$P$25*'TE BF'!$P$49</f>
        <v>0</v>
      </c>
      <c r="Q25" s="20">
        <f>SUM($L$25:$P$25)</f>
        <v>0</v>
      </c>
      <c r="R25" s="20">
        <f>'TE BE'!$R$25*'TE BF'!$R$49</f>
        <v>-4.9309499747565262</v>
      </c>
      <c r="S25" s="20">
        <f>SUM($R$25:$R$25)</f>
        <v>-4.9309499747565262</v>
      </c>
      <c r="T25" s="20">
        <f>'TE BE'!$T$25*'TE BF'!$T$49</f>
        <v>0</v>
      </c>
      <c r="U25" s="20">
        <f>'TE BE'!$U$25*'TE BF'!$U$49</f>
        <v>0</v>
      </c>
      <c r="V25" s="20">
        <f>'TE BE'!$V$25*'TE BF'!$V$49</f>
        <v>0</v>
      </c>
      <c r="W25" s="20">
        <f>SUM($T$25:$V$25)</f>
        <v>0</v>
      </c>
      <c r="X25" s="20">
        <f>'TE BE'!$AB$25*'TE BF'!$X$49</f>
        <v>0</v>
      </c>
      <c r="Y25" s="20">
        <f>SUM($X$25:$X$25)</f>
        <v>0</v>
      </c>
      <c r="Z25" s="20">
        <f>'TE BE'!$Z$25*'TE BF'!$Z$49</f>
        <v>0</v>
      </c>
      <c r="AA25" s="20">
        <f>SUM($Z$25:$Z$25)</f>
        <v>0</v>
      </c>
      <c r="AB25" s="20">
        <f>SUMIF($L$4:$AA$4,"SUBTOTAL",$L$25:$AA$25)</f>
        <v>-4.9309499747565262</v>
      </c>
    </row>
    <row r="26" spans="1:28" ht="11.25" customHeight="1" x14ac:dyDescent="0.25">
      <c r="A26" s="150"/>
      <c r="B26" s="150"/>
      <c r="C26" s="150"/>
      <c r="D26" s="150"/>
      <c r="E26" s="150"/>
      <c r="F26" s="150"/>
      <c r="G26" s="23" t="s">
        <v>82</v>
      </c>
      <c r="H26" s="23" t="s">
        <v>68</v>
      </c>
      <c r="I26" s="23">
        <f>'MERCADO TE'!$U$23</f>
        <v>0</v>
      </c>
      <c r="J26" s="15"/>
      <c r="L26" s="20">
        <f>'TE BE'!$L$26*'TE BF'!$L$49</f>
        <v>0</v>
      </c>
      <c r="M26" s="20">
        <f>'TE BE'!$M$26*'TE BF'!$M$49</f>
        <v>0</v>
      </c>
      <c r="N26" s="20">
        <f>'TE BE'!$N$26*'TE BF'!$N$49</f>
        <v>0</v>
      </c>
      <c r="O26" s="20">
        <f>'TE BE'!$O$26*'TE BF'!$O$49</f>
        <v>0</v>
      </c>
      <c r="P26" s="20">
        <f>'TE BE'!$P$26*'TE BF'!$P$49</f>
        <v>0</v>
      </c>
      <c r="Q26" s="20">
        <f>SUM($L$26:$P$26)</f>
        <v>0</v>
      </c>
      <c r="R26" s="20">
        <f>'TE BE'!$R$26*'TE BF'!$R$49</f>
        <v>-2.8668313806723988</v>
      </c>
      <c r="S26" s="20">
        <f>SUM($R$26:$R$26)</f>
        <v>-2.8668313806723988</v>
      </c>
      <c r="T26" s="20">
        <f>'TE BE'!$T$26*'TE BF'!$T$49</f>
        <v>0</v>
      </c>
      <c r="U26" s="20">
        <f>'TE BE'!$U$26*'TE BF'!$U$49</f>
        <v>0</v>
      </c>
      <c r="V26" s="20">
        <f>'TE BE'!$V$26*'TE BF'!$V$49</f>
        <v>0</v>
      </c>
      <c r="W26" s="20">
        <f>SUM($T$26:$V$26)</f>
        <v>0</v>
      </c>
      <c r="X26" s="20">
        <f>'TE BE'!$AB$26*'TE BF'!$X$49</f>
        <v>0</v>
      </c>
      <c r="Y26" s="20">
        <f>SUM($X$26:$X$26)</f>
        <v>0</v>
      </c>
      <c r="Z26" s="20">
        <f>'TE BE'!$Z$26*'TE BF'!$Z$49</f>
        <v>0</v>
      </c>
      <c r="AA26" s="20">
        <f>SUM($Z$26:$Z$26)</f>
        <v>0</v>
      </c>
      <c r="AB26" s="20">
        <f>SUMIF($L$4:$AA$4,"SUBTOTAL",$L$26:$AA$26)</f>
        <v>-2.8668313806723988</v>
      </c>
    </row>
    <row r="27" spans="1:28" ht="11.25" customHeight="1" x14ac:dyDescent="0.25">
      <c r="A27" s="150"/>
      <c r="B27" s="150"/>
      <c r="C27" s="150"/>
      <c r="D27" s="150"/>
      <c r="E27" s="150"/>
      <c r="F27" s="150"/>
      <c r="G27" s="23" t="s">
        <v>70</v>
      </c>
      <c r="H27" s="23" t="s">
        <v>68</v>
      </c>
      <c r="I27" s="23">
        <f>'MERCADO TE'!$U$24</f>
        <v>0</v>
      </c>
      <c r="J27" s="15"/>
      <c r="L27" s="20">
        <f>'TE BE'!$L$27*'TE BF'!$L$49</f>
        <v>0</v>
      </c>
      <c r="M27" s="20">
        <f>'TE BE'!$M$27*'TE BF'!$M$49</f>
        <v>0</v>
      </c>
      <c r="N27" s="20">
        <f>'TE BE'!$N$27*'TE BF'!$N$49</f>
        <v>0</v>
      </c>
      <c r="O27" s="20">
        <f>'TE BE'!$O$27*'TE BF'!$O$49</f>
        <v>0</v>
      </c>
      <c r="P27" s="20">
        <f>'TE BE'!$P$27*'TE BF'!$P$49</f>
        <v>0</v>
      </c>
      <c r="Q27" s="20">
        <f>SUM($L$27:$P$27)</f>
        <v>0</v>
      </c>
      <c r="R27" s="20">
        <f>'TE BE'!$R$27*'TE BF'!$R$49</f>
        <v>-2.8668313806723988</v>
      </c>
      <c r="S27" s="20">
        <f>SUM($R$27:$R$27)</f>
        <v>-2.8668313806723988</v>
      </c>
      <c r="T27" s="20">
        <f>'TE BE'!$T$27*'TE BF'!$T$49</f>
        <v>0</v>
      </c>
      <c r="U27" s="20">
        <f>'TE BE'!$U$27*'TE BF'!$U$49</f>
        <v>0</v>
      </c>
      <c r="V27" s="20">
        <f>'TE BE'!$V$27*'TE BF'!$V$49</f>
        <v>0</v>
      </c>
      <c r="W27" s="20">
        <f>SUM($T$27:$V$27)</f>
        <v>0</v>
      </c>
      <c r="X27" s="20">
        <f>'TE BE'!$AB$27*'TE BF'!$X$49</f>
        <v>0</v>
      </c>
      <c r="Y27" s="20">
        <f>SUM($X$27:$X$27)</f>
        <v>0</v>
      </c>
      <c r="Z27" s="20">
        <f>'TE BE'!$Z$27*'TE BF'!$Z$49</f>
        <v>0</v>
      </c>
      <c r="AA27" s="20">
        <f>SUM($Z$27:$Z$27)</f>
        <v>0</v>
      </c>
      <c r="AB27" s="20">
        <f>SUMIF($L$4:$AA$4,"SUBTOTAL",$L$27:$AA$27)</f>
        <v>-2.8668313806723988</v>
      </c>
    </row>
    <row r="28" spans="1:28" ht="11.25" customHeight="1" x14ac:dyDescent="0.25">
      <c r="A28" s="150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'TE BE'!$L$28*'TE BF'!$L$49</f>
        <v>0</v>
      </c>
      <c r="M28" s="20">
        <f>'TE BE'!$M$28*'TE BF'!$M$49</f>
        <v>0</v>
      </c>
      <c r="N28" s="20">
        <f>'TE BE'!$N$28*'TE BF'!$N$49</f>
        <v>0</v>
      </c>
      <c r="O28" s="20">
        <f>'TE BE'!$O$28*'TE BF'!$O$49</f>
        <v>0</v>
      </c>
      <c r="P28" s="20">
        <f>'TE BE'!$P$28*'TE BF'!$P$49</f>
        <v>0</v>
      </c>
      <c r="Q28" s="20">
        <f>SUM($L$28:$P$28)</f>
        <v>0</v>
      </c>
      <c r="R28" s="20">
        <f>'TE BE'!$R$28*'TE BF'!$R$49</f>
        <v>-3.0388412635127429</v>
      </c>
      <c r="S28" s="20">
        <f>SUM($R$28:$R$28)</f>
        <v>-3.0388412635127429</v>
      </c>
      <c r="T28" s="20">
        <f>'TE BE'!$T$28*'TE BF'!$T$49</f>
        <v>0</v>
      </c>
      <c r="U28" s="20">
        <f>'TE BE'!$U$28*'TE BF'!$U$49</f>
        <v>0</v>
      </c>
      <c r="V28" s="20">
        <f>'TE BE'!$V$28*'TE BF'!$V$49</f>
        <v>0</v>
      </c>
      <c r="W28" s="20">
        <f>SUM($T$28:$V$28)</f>
        <v>0</v>
      </c>
      <c r="X28" s="20">
        <f>'TE BE'!$AB$28*'TE BF'!$X$49</f>
        <v>0</v>
      </c>
      <c r="Y28" s="20">
        <f>SUM($X$28:$X$28)</f>
        <v>0</v>
      </c>
      <c r="Z28" s="20">
        <f>'TE BE'!$Z$28*'TE BF'!$Z$49</f>
        <v>0</v>
      </c>
      <c r="AA28" s="20">
        <f>SUM($Z$28:$Z$28)</f>
        <v>0</v>
      </c>
      <c r="AB28" s="20">
        <f>SUMIF($L$4:$AA$4,"SUBTOTAL",$L$28:$AA$28)</f>
        <v>-3.0388412635127429</v>
      </c>
    </row>
    <row r="29" spans="1:28" ht="11.25" customHeight="1" x14ac:dyDescent="0.25">
      <c r="A29" s="150"/>
      <c r="B29" s="150" t="s">
        <v>67</v>
      </c>
      <c r="C29" s="150" t="s">
        <v>42</v>
      </c>
      <c r="D29" s="150" t="s">
        <v>86</v>
      </c>
      <c r="E29" s="150" t="s">
        <v>25</v>
      </c>
      <c r="F29" s="150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'TE BE'!$L$29*'TE BF'!$L$49</f>
        <v>0</v>
      </c>
      <c r="M29" s="20">
        <f>'TE BE'!$M$29*'TE BF'!$M$49</f>
        <v>0</v>
      </c>
      <c r="N29" s="20">
        <f>'TE BE'!$N$29*'TE BF'!$N$49</f>
        <v>0</v>
      </c>
      <c r="O29" s="20">
        <f>'TE BE'!$O$29*'TE BF'!$O$49</f>
        <v>0</v>
      </c>
      <c r="P29" s="20">
        <f>'TE BE'!$P$29*'TE BF'!$P$49</f>
        <v>0</v>
      </c>
      <c r="Q29" s="20">
        <f>SUM($L$29:$P$29)</f>
        <v>0</v>
      </c>
      <c r="R29" s="20">
        <f>'TE BE'!$R$29*'TE BF'!$R$49</f>
        <v>-4.9309499747565262</v>
      </c>
      <c r="S29" s="20">
        <f>SUM($R$29:$R$29)</f>
        <v>-4.9309499747565262</v>
      </c>
      <c r="T29" s="20">
        <f>'TE BE'!$T$29*'TE BF'!$T$49</f>
        <v>0</v>
      </c>
      <c r="U29" s="20">
        <f>'TE BE'!$U$29*'TE BF'!$U$49</f>
        <v>0</v>
      </c>
      <c r="V29" s="20">
        <f>'TE BE'!$V$29*'TE BF'!$V$49</f>
        <v>0</v>
      </c>
      <c r="W29" s="20">
        <f>SUM($T$29:$V$29)</f>
        <v>0</v>
      </c>
      <c r="X29" s="20">
        <f>'TE BE'!$AB$29*'TE BF'!$X$49</f>
        <v>0</v>
      </c>
      <c r="Y29" s="20">
        <f>SUM($X$29:$X$29)</f>
        <v>0</v>
      </c>
      <c r="Z29" s="20">
        <f>'TE BE'!$Z$29*'TE BF'!$Z$49</f>
        <v>0</v>
      </c>
      <c r="AA29" s="20">
        <f>SUM($Z$29:$Z$29)</f>
        <v>0</v>
      </c>
      <c r="AB29" s="20">
        <f>SUMIF($L$4:$AA$4,"SUBTOTAL",$L$29:$AA$29)</f>
        <v>-4.9309499747565262</v>
      </c>
    </row>
    <row r="30" spans="1:28" ht="11.25" customHeight="1" x14ac:dyDescent="0.25">
      <c r="A30" s="150"/>
      <c r="B30" s="150"/>
      <c r="C30" s="150"/>
      <c r="D30" s="150"/>
      <c r="E30" s="150"/>
      <c r="F30" s="150"/>
      <c r="G30" s="23" t="s">
        <v>82</v>
      </c>
      <c r="H30" s="23" t="s">
        <v>68</v>
      </c>
      <c r="I30" s="23">
        <f>'MERCADO TE'!$U$27</f>
        <v>0</v>
      </c>
      <c r="J30" s="15"/>
      <c r="L30" s="20">
        <f>'TE BE'!$L$30*'TE BF'!$L$49</f>
        <v>0</v>
      </c>
      <c r="M30" s="20">
        <f>'TE BE'!$M$30*'TE BF'!$M$49</f>
        <v>0</v>
      </c>
      <c r="N30" s="20">
        <f>'TE BE'!$N$30*'TE BF'!$N$49</f>
        <v>0</v>
      </c>
      <c r="O30" s="20">
        <f>'TE BE'!$O$30*'TE BF'!$O$49</f>
        <v>0</v>
      </c>
      <c r="P30" s="20">
        <f>'TE BE'!$P$30*'TE BF'!$P$49</f>
        <v>0</v>
      </c>
      <c r="Q30" s="20">
        <f>SUM($L$30:$P$30)</f>
        <v>0</v>
      </c>
      <c r="R30" s="20">
        <f>'TE BE'!$R$30*'TE BF'!$R$49</f>
        <v>-2.8668313806723988</v>
      </c>
      <c r="S30" s="20">
        <f>SUM($R$30:$R$30)</f>
        <v>-2.8668313806723988</v>
      </c>
      <c r="T30" s="20">
        <f>'TE BE'!$T$30*'TE BF'!$T$49</f>
        <v>0</v>
      </c>
      <c r="U30" s="20">
        <f>'TE BE'!$U$30*'TE BF'!$U$49</f>
        <v>0</v>
      </c>
      <c r="V30" s="20">
        <f>'TE BE'!$V$30*'TE BF'!$V$49</f>
        <v>0</v>
      </c>
      <c r="W30" s="20">
        <f>SUM($T$30:$V$30)</f>
        <v>0</v>
      </c>
      <c r="X30" s="20">
        <f>'TE BE'!$AB$30*'TE BF'!$X$49</f>
        <v>0</v>
      </c>
      <c r="Y30" s="20">
        <f>SUM($X$30:$X$30)</f>
        <v>0</v>
      </c>
      <c r="Z30" s="20">
        <f>'TE BE'!$Z$30*'TE BF'!$Z$49</f>
        <v>0</v>
      </c>
      <c r="AA30" s="20">
        <f>SUM($Z$30:$Z$30)</f>
        <v>0</v>
      </c>
      <c r="AB30" s="20">
        <f>SUMIF($L$4:$AA$4,"SUBTOTAL",$L$30:$AA$30)</f>
        <v>-2.8668313806723988</v>
      </c>
    </row>
    <row r="31" spans="1:28" ht="11.25" customHeight="1" x14ac:dyDescent="0.25">
      <c r="A31" s="150"/>
      <c r="B31" s="150"/>
      <c r="C31" s="150"/>
      <c r="D31" s="150"/>
      <c r="E31" s="150"/>
      <c r="F31" s="150"/>
      <c r="G31" s="23" t="s">
        <v>70</v>
      </c>
      <c r="H31" s="23" t="s">
        <v>68</v>
      </c>
      <c r="I31" s="23">
        <f>'MERCADO TE'!$U$28</f>
        <v>0</v>
      </c>
      <c r="J31" s="15"/>
      <c r="L31" s="20">
        <f>'TE BE'!$L$31*'TE BF'!$L$49</f>
        <v>0</v>
      </c>
      <c r="M31" s="20">
        <f>'TE BE'!$M$31*'TE BF'!$M$49</f>
        <v>0</v>
      </c>
      <c r="N31" s="20">
        <f>'TE BE'!$N$31*'TE BF'!$N$49</f>
        <v>0</v>
      </c>
      <c r="O31" s="20">
        <f>'TE BE'!$O$31*'TE BF'!$O$49</f>
        <v>0</v>
      </c>
      <c r="P31" s="20">
        <f>'TE BE'!$P$31*'TE BF'!$P$49</f>
        <v>0</v>
      </c>
      <c r="Q31" s="20">
        <f>SUM($L$31:$P$31)</f>
        <v>0</v>
      </c>
      <c r="R31" s="20">
        <f>'TE BE'!$R$31*'TE BF'!$R$49</f>
        <v>-2.8668313806723988</v>
      </c>
      <c r="S31" s="20">
        <f>SUM($R$31:$R$31)</f>
        <v>-2.8668313806723988</v>
      </c>
      <c r="T31" s="20">
        <f>'TE BE'!$T$31*'TE BF'!$T$49</f>
        <v>0</v>
      </c>
      <c r="U31" s="20">
        <f>'TE BE'!$U$31*'TE BF'!$U$49</f>
        <v>0</v>
      </c>
      <c r="V31" s="20">
        <f>'TE BE'!$V$31*'TE BF'!$V$49</f>
        <v>0</v>
      </c>
      <c r="W31" s="20">
        <f>SUM($T$31:$V$31)</f>
        <v>0</v>
      </c>
      <c r="X31" s="20">
        <f>'TE BE'!$AB$31*'TE BF'!$X$49</f>
        <v>0</v>
      </c>
      <c r="Y31" s="20">
        <f>SUM($X$31:$X$31)</f>
        <v>0</v>
      </c>
      <c r="Z31" s="20">
        <f>'TE BE'!$Z$31*'TE BF'!$Z$49</f>
        <v>0</v>
      </c>
      <c r="AA31" s="20">
        <f>SUM($Z$31:$Z$31)</f>
        <v>0</v>
      </c>
      <c r="AB31" s="20">
        <f>SUMIF($L$4:$AA$4,"SUBTOTAL",$L$31:$AA$31)</f>
        <v>-2.8668313806723988</v>
      </c>
    </row>
    <row r="32" spans="1:28" ht="11.25" customHeight="1" x14ac:dyDescent="0.25">
      <c r="A32" s="150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'TE BE'!$L$32*'TE BF'!$L$49</f>
        <v>0</v>
      </c>
      <c r="M32" s="20">
        <f>'TE BE'!$M$32*'TE BF'!$M$49</f>
        <v>0</v>
      </c>
      <c r="N32" s="20">
        <f>'TE BE'!$N$32*'TE BF'!$N$49</f>
        <v>0</v>
      </c>
      <c r="O32" s="20">
        <f>'TE BE'!$O$32*'TE BF'!$O$49</f>
        <v>0</v>
      </c>
      <c r="P32" s="20">
        <f>'TE BE'!$P$32*'TE BF'!$P$49</f>
        <v>0</v>
      </c>
      <c r="Q32" s="20">
        <f>SUM($L$32:$P$32)</f>
        <v>0</v>
      </c>
      <c r="R32" s="20">
        <f>'TE BE'!$R$32*'TE BF'!$R$49</f>
        <v>-3.0388412635127429</v>
      </c>
      <c r="S32" s="20">
        <f>SUM($R$32:$R$32)</f>
        <v>-3.0388412635127429</v>
      </c>
      <c r="T32" s="20">
        <f>'TE BE'!$T$32*'TE BF'!$T$49</f>
        <v>0</v>
      </c>
      <c r="U32" s="20">
        <f>'TE BE'!$U$32*'TE BF'!$U$49</f>
        <v>0</v>
      </c>
      <c r="V32" s="20">
        <f>'TE BE'!$V$32*'TE BF'!$V$49</f>
        <v>0</v>
      </c>
      <c r="W32" s="20">
        <f>SUM($T$32:$V$32)</f>
        <v>0</v>
      </c>
      <c r="X32" s="20">
        <f>'TE BE'!$AB$32*'TE BF'!$X$49</f>
        <v>0</v>
      </c>
      <c r="Y32" s="20">
        <f>SUM($X$32:$X$32)</f>
        <v>0</v>
      </c>
      <c r="Z32" s="20">
        <f>'TE BE'!$Z$32*'TE BF'!$Z$49</f>
        <v>0</v>
      </c>
      <c r="AA32" s="20">
        <f>SUM($Z$32:$Z$32)</f>
        <v>0</v>
      </c>
      <c r="AB32" s="20">
        <f>SUMIF($L$4:$AA$4,"SUBTOTAL",$L$32:$AA$32)</f>
        <v>-3.0388412635127429</v>
      </c>
    </row>
    <row r="33" spans="1:28" ht="11.25" customHeight="1" x14ac:dyDescent="0.25">
      <c r="A33" s="150"/>
      <c r="B33" s="150" t="s">
        <v>83</v>
      </c>
      <c r="C33" s="150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'TE BE'!$L$33*'TE BF'!$L$49</f>
        <v>0</v>
      </c>
      <c r="M33" s="20">
        <f>'TE BE'!$M$33*'TE BF'!$M$49</f>
        <v>0</v>
      </c>
      <c r="N33" s="20">
        <f>'TE BE'!$N$33*'TE BF'!$N$49</f>
        <v>0</v>
      </c>
      <c r="O33" s="20">
        <f>'TE BE'!$O$33*'TE BF'!$O$49</f>
        <v>0</v>
      </c>
      <c r="P33" s="20">
        <f>'TE BE'!$P$33*'TE BF'!$P$49</f>
        <v>0</v>
      </c>
      <c r="Q33" s="20">
        <f>SUM($L$33:$P$33)</f>
        <v>0</v>
      </c>
      <c r="R33" s="20">
        <f>'TE BE'!$R$33*'TE BF'!$R$49</f>
        <v>-3.0388412635127429</v>
      </c>
      <c r="S33" s="20">
        <f>SUM($R$33:$R$33)</f>
        <v>-3.0388412635127429</v>
      </c>
      <c r="T33" s="20">
        <f>'TE BE'!$T$33*'TE BF'!$T$49</f>
        <v>0</v>
      </c>
      <c r="U33" s="20">
        <f>'TE BE'!$U$33*'TE BF'!$U$49</f>
        <v>0</v>
      </c>
      <c r="V33" s="20">
        <f>'TE BE'!$V$33*'TE BF'!$V$49</f>
        <v>0</v>
      </c>
      <c r="W33" s="20">
        <f>SUM($T$33:$V$33)</f>
        <v>0</v>
      </c>
      <c r="X33" s="20">
        <f>'TE BE'!$AB$33*'TE BF'!$X$49</f>
        <v>0</v>
      </c>
      <c r="Y33" s="20">
        <f>SUM($X$33:$X$33)</f>
        <v>0</v>
      </c>
      <c r="Z33" s="20">
        <f>'TE BE'!$Z$33*'TE BF'!$Z$49</f>
        <v>0</v>
      </c>
      <c r="AA33" s="20">
        <f>SUM($Z$33:$Z$33)</f>
        <v>0</v>
      </c>
      <c r="AB33" s="20">
        <f>SUMIF($L$4:$AA$4,"SUBTOTAL",$L$33:$AA$33)</f>
        <v>-3.0388412635127429</v>
      </c>
    </row>
    <row r="34" spans="1:28" ht="11.25" customHeight="1" x14ac:dyDescent="0.25">
      <c r="A34" s="150"/>
      <c r="B34" s="150"/>
      <c r="C34" s="150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'TE BE'!$L$34*'TE BF'!$L$49</f>
        <v>0</v>
      </c>
      <c r="M34" s="20">
        <f>'TE BE'!$M$34*'TE BF'!$M$49</f>
        <v>0</v>
      </c>
      <c r="N34" s="20">
        <f>'TE BE'!$N$34*'TE BF'!$N$49</f>
        <v>0</v>
      </c>
      <c r="O34" s="20">
        <f>'TE BE'!$O$34*'TE BF'!$O$49</f>
        <v>0</v>
      </c>
      <c r="P34" s="20">
        <f>'TE BE'!$P$34*'TE BF'!$P$49</f>
        <v>0</v>
      </c>
      <c r="Q34" s="20">
        <f>SUM($L$34:$P$34)</f>
        <v>0</v>
      </c>
      <c r="R34" s="20">
        <f>'TE BE'!$R$34*'TE BF'!$R$49</f>
        <v>-3.0388412635127429</v>
      </c>
      <c r="S34" s="20">
        <f>SUM($R$34:$R$34)</f>
        <v>-3.0388412635127429</v>
      </c>
      <c r="T34" s="20">
        <f>'TE BE'!$T$34*'TE BF'!$T$49</f>
        <v>0</v>
      </c>
      <c r="U34" s="20">
        <f>'TE BE'!$U$34*'TE BF'!$U$49</f>
        <v>0</v>
      </c>
      <c r="V34" s="20">
        <f>'TE BE'!$V$34*'TE BF'!$V$49</f>
        <v>0</v>
      </c>
      <c r="W34" s="20">
        <f>SUM($T$34:$V$34)</f>
        <v>0</v>
      </c>
      <c r="X34" s="20">
        <f>'TE BE'!$AB$34*'TE BF'!$X$49</f>
        <v>0</v>
      </c>
      <c r="Y34" s="20">
        <f>SUM($X$34:$X$34)</f>
        <v>0</v>
      </c>
      <c r="Z34" s="20">
        <f>'TE BE'!$Z$34*'TE BF'!$Z$49</f>
        <v>0</v>
      </c>
      <c r="AA34" s="20">
        <f>SUM($Z$34:$Z$34)</f>
        <v>0</v>
      </c>
      <c r="AB34" s="20">
        <f>SUMIF($L$4:$AA$4,"SUBTOTAL",$L$34:$AA$34)</f>
        <v>-3.0388412635127429</v>
      </c>
    </row>
    <row r="35" spans="1:28" ht="11.25" customHeight="1" x14ac:dyDescent="0.25">
      <c r="A35" s="150"/>
      <c r="B35" s="150"/>
      <c r="C35" s="150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'TE BE'!$L$35*'TE BF'!$L$49</f>
        <v>0</v>
      </c>
      <c r="M35" s="20">
        <f>'TE BE'!$M$35*'TE BF'!$M$49</f>
        <v>0</v>
      </c>
      <c r="N35" s="20">
        <f>'TE BE'!$N$35*'TE BF'!$N$49</f>
        <v>0</v>
      </c>
      <c r="O35" s="20">
        <f>'TE BE'!$O$35*'TE BF'!$O$49</f>
        <v>0</v>
      </c>
      <c r="P35" s="20">
        <f>'TE BE'!$P$35*'TE BF'!$P$49</f>
        <v>0</v>
      </c>
      <c r="Q35" s="20">
        <f>SUM($L$35:$P$35)</f>
        <v>0</v>
      </c>
      <c r="R35" s="20">
        <f>'TE BE'!$R$35*'TE BF'!$R$49</f>
        <v>-3.0388412635127429</v>
      </c>
      <c r="S35" s="20">
        <f>SUM($R$35:$R$35)</f>
        <v>-3.0388412635127429</v>
      </c>
      <c r="T35" s="20">
        <f>'TE BE'!$T$35*'TE BF'!$T$49</f>
        <v>0</v>
      </c>
      <c r="U35" s="20">
        <f>'TE BE'!$U$35*'TE BF'!$U$49</f>
        <v>0</v>
      </c>
      <c r="V35" s="20">
        <f>'TE BE'!$V$35*'TE BF'!$V$49</f>
        <v>0</v>
      </c>
      <c r="W35" s="20">
        <f>SUM($T$35:$V$35)</f>
        <v>0</v>
      </c>
      <c r="X35" s="20">
        <f>'TE BE'!$AB$35*'TE BF'!$X$49</f>
        <v>0</v>
      </c>
      <c r="Y35" s="20">
        <f>SUM($X$35:$X$35)</f>
        <v>0</v>
      </c>
      <c r="Z35" s="20">
        <f>'TE BE'!$Z$35*'TE BF'!$Z$49</f>
        <v>0</v>
      </c>
      <c r="AA35" s="20">
        <f>SUM($Z$35:$Z$35)</f>
        <v>0</v>
      </c>
      <c r="AB35" s="20">
        <f>SUMIF($L$4:$AA$4,"SUBTOTAL",$L$35:$AA$35)</f>
        <v>-3.0388412635127429</v>
      </c>
    </row>
    <row r="36" spans="1:28" ht="11.25" customHeight="1" x14ac:dyDescent="0.25">
      <c r="A36" s="150" t="s">
        <v>32</v>
      </c>
      <c r="B36" s="150" t="s">
        <v>67</v>
      </c>
      <c r="C36" s="150" t="s">
        <v>25</v>
      </c>
      <c r="D36" s="150" t="s">
        <v>25</v>
      </c>
      <c r="E36" s="150" t="s">
        <v>25</v>
      </c>
      <c r="F36" s="150" t="s">
        <v>25</v>
      </c>
      <c r="G36" s="23" t="s">
        <v>69</v>
      </c>
      <c r="H36" s="23" t="s">
        <v>68</v>
      </c>
      <c r="I36" s="23">
        <f>'MERCADO TE'!$U$33</f>
        <v>8.897000000000002</v>
      </c>
      <c r="J36" s="15"/>
      <c r="L36" s="20">
        <f>'TE BE'!$L$36*'TE BF'!$L$49</f>
        <v>0</v>
      </c>
      <c r="M36" s="20">
        <f>'TE BE'!$M$36*'TE BF'!$M$49</f>
        <v>0</v>
      </c>
      <c r="N36" s="20">
        <f>'TE BE'!$N$36*'TE BF'!$N$49</f>
        <v>0</v>
      </c>
      <c r="O36" s="20">
        <f>'TE BE'!$O$36*'TE BF'!$O$49</f>
        <v>0</v>
      </c>
      <c r="P36" s="20">
        <f>'TE BE'!$P$36*'TE BF'!$P$49</f>
        <v>0</v>
      </c>
      <c r="Q36" s="20">
        <f>SUM($L$36:$P$36)</f>
        <v>0</v>
      </c>
      <c r="R36" s="20">
        <f>'TE BE'!$R$36*'TE BF'!$R$49</f>
        <v>-4.9309499747565262</v>
      </c>
      <c r="S36" s="20">
        <f>SUM($R$36:$R$36)</f>
        <v>-4.9309499747565262</v>
      </c>
      <c r="T36" s="20">
        <f>'TE BE'!$T$36*'TE BF'!$T$49</f>
        <v>0</v>
      </c>
      <c r="U36" s="20">
        <f>'TE BE'!$U$36*'TE BF'!$U$49</f>
        <v>0</v>
      </c>
      <c r="V36" s="20">
        <f>'TE BE'!$V$36*'TE BF'!$V$49</f>
        <v>0</v>
      </c>
      <c r="W36" s="20">
        <f>SUM($T$36:$V$36)</f>
        <v>0</v>
      </c>
      <c r="X36" s="20">
        <f>'TE BE'!$AB$36*'TE BF'!$X$49</f>
        <v>0</v>
      </c>
      <c r="Y36" s="20">
        <f>SUM($X$36:$X$36)</f>
        <v>0</v>
      </c>
      <c r="Z36" s="20">
        <f>'TE BE'!$Z$36*'TE BF'!$Z$49</f>
        <v>0</v>
      </c>
      <c r="AA36" s="20">
        <f>SUM($Z$36:$Z$36)</f>
        <v>0</v>
      </c>
      <c r="AB36" s="20">
        <f>SUMIF($L$4:$AA$4,"SUBTOTAL",$L$36:$AA$36)</f>
        <v>-4.9309499747565262</v>
      </c>
    </row>
    <row r="37" spans="1:28" ht="11.25" customHeight="1" x14ac:dyDescent="0.25">
      <c r="A37" s="150"/>
      <c r="B37" s="150"/>
      <c r="C37" s="150"/>
      <c r="D37" s="150"/>
      <c r="E37" s="150"/>
      <c r="F37" s="150"/>
      <c r="G37" s="23" t="s">
        <v>82</v>
      </c>
      <c r="H37" s="23" t="s">
        <v>68</v>
      </c>
      <c r="I37" s="23">
        <f>'MERCADO TE'!$U$34</f>
        <v>7.0329999999999995</v>
      </c>
      <c r="J37" s="15"/>
      <c r="L37" s="20">
        <f>'TE BE'!$L$37*'TE BF'!$L$49</f>
        <v>0</v>
      </c>
      <c r="M37" s="20">
        <f>'TE BE'!$M$37*'TE BF'!$M$49</f>
        <v>0</v>
      </c>
      <c r="N37" s="20">
        <f>'TE BE'!$N$37*'TE BF'!$N$49</f>
        <v>0</v>
      </c>
      <c r="O37" s="20">
        <f>'TE BE'!$O$37*'TE BF'!$O$49</f>
        <v>0</v>
      </c>
      <c r="P37" s="20">
        <f>'TE BE'!$P$37*'TE BF'!$P$49</f>
        <v>0</v>
      </c>
      <c r="Q37" s="20">
        <f>SUM($L$37:$P$37)</f>
        <v>0</v>
      </c>
      <c r="R37" s="20">
        <f>'TE BE'!$R$37*'TE BF'!$R$49</f>
        <v>-2.8668313806723988</v>
      </c>
      <c r="S37" s="20">
        <f>SUM($R$37:$R$37)</f>
        <v>-2.8668313806723988</v>
      </c>
      <c r="T37" s="20">
        <f>'TE BE'!$T$37*'TE BF'!$T$49</f>
        <v>0</v>
      </c>
      <c r="U37" s="20">
        <f>'TE BE'!$U$37*'TE BF'!$U$49</f>
        <v>0</v>
      </c>
      <c r="V37" s="20">
        <f>'TE BE'!$V$37*'TE BF'!$V$49</f>
        <v>0</v>
      </c>
      <c r="W37" s="20">
        <f>SUM($T$37:$V$37)</f>
        <v>0</v>
      </c>
      <c r="X37" s="20">
        <f>'TE BE'!$AB$37*'TE BF'!$X$49</f>
        <v>0</v>
      </c>
      <c r="Y37" s="20">
        <f>SUM($X$37:$X$37)</f>
        <v>0</v>
      </c>
      <c r="Z37" s="20">
        <f>'TE BE'!$Z$37*'TE BF'!$Z$49</f>
        <v>0</v>
      </c>
      <c r="AA37" s="20">
        <f>SUM($Z$37:$Z$37)</f>
        <v>0</v>
      </c>
      <c r="AB37" s="20">
        <f>SUMIF($L$4:$AA$4,"SUBTOTAL",$L$37:$AA$37)</f>
        <v>-2.8668313806723988</v>
      </c>
    </row>
    <row r="38" spans="1:28" ht="11.25" customHeight="1" x14ac:dyDescent="0.25">
      <c r="A38" s="150"/>
      <c r="B38" s="150"/>
      <c r="C38" s="150"/>
      <c r="D38" s="150"/>
      <c r="E38" s="150"/>
      <c r="F38" s="150"/>
      <c r="G38" s="23" t="s">
        <v>70</v>
      </c>
      <c r="H38" s="23" t="s">
        <v>68</v>
      </c>
      <c r="I38" s="23">
        <f>'MERCADO TE'!$U$35</f>
        <v>183.905</v>
      </c>
      <c r="J38" s="15"/>
      <c r="L38" s="20">
        <f>'TE BE'!$L$38*'TE BF'!$L$49</f>
        <v>0</v>
      </c>
      <c r="M38" s="20">
        <f>'TE BE'!$M$38*'TE BF'!$M$49</f>
        <v>0</v>
      </c>
      <c r="N38" s="20">
        <f>'TE BE'!$N$38*'TE BF'!$N$49</f>
        <v>0</v>
      </c>
      <c r="O38" s="20">
        <f>'TE BE'!$O$38*'TE BF'!$O$49</f>
        <v>0</v>
      </c>
      <c r="P38" s="20">
        <f>'TE BE'!$P$38*'TE BF'!$P$49</f>
        <v>0</v>
      </c>
      <c r="Q38" s="20">
        <f>SUM($L$38:$P$38)</f>
        <v>0</v>
      </c>
      <c r="R38" s="20">
        <f>'TE BE'!$R$38*'TE BF'!$R$49</f>
        <v>-2.8668313806723988</v>
      </c>
      <c r="S38" s="20">
        <f>SUM($R$38:$R$38)</f>
        <v>-2.8668313806723988</v>
      </c>
      <c r="T38" s="20">
        <f>'TE BE'!$T$38*'TE BF'!$T$49</f>
        <v>0</v>
      </c>
      <c r="U38" s="20">
        <f>'TE BE'!$U$38*'TE BF'!$U$49</f>
        <v>0</v>
      </c>
      <c r="V38" s="20">
        <f>'TE BE'!$V$38*'TE BF'!$V$49</f>
        <v>0</v>
      </c>
      <c r="W38" s="20">
        <f>SUM($T$38:$V$38)</f>
        <v>0</v>
      </c>
      <c r="X38" s="20">
        <f>'TE BE'!$AB$38*'TE BF'!$X$49</f>
        <v>0</v>
      </c>
      <c r="Y38" s="20">
        <f>SUM($X$38:$X$38)</f>
        <v>0</v>
      </c>
      <c r="Z38" s="20">
        <f>'TE BE'!$Z$38*'TE BF'!$Z$49</f>
        <v>0</v>
      </c>
      <c r="AA38" s="20">
        <f>SUM($Z$38:$Z$38)</f>
        <v>0</v>
      </c>
      <c r="AB38" s="20">
        <f>SUMIF($L$4:$AA$4,"SUBTOTAL",$L$38:$AA$38)</f>
        <v>-2.8668313806723988</v>
      </c>
    </row>
    <row r="39" spans="1:28" ht="11.25" customHeight="1" x14ac:dyDescent="0.25">
      <c r="A39" s="150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4632.741</v>
      </c>
      <c r="J39" s="15"/>
      <c r="L39" s="20">
        <f>'TE BE'!$L$39*'TE BF'!$L$49</f>
        <v>0</v>
      </c>
      <c r="M39" s="20">
        <f>'TE BE'!$M$39*'TE BF'!$M$49</f>
        <v>0</v>
      </c>
      <c r="N39" s="20">
        <f>'TE BE'!$N$39*'TE BF'!$N$49</f>
        <v>0</v>
      </c>
      <c r="O39" s="20">
        <f>'TE BE'!$O$39*'TE BF'!$O$49</f>
        <v>0</v>
      </c>
      <c r="P39" s="20">
        <f>'TE BE'!$P$39*'TE BF'!$P$49</f>
        <v>0</v>
      </c>
      <c r="Q39" s="20">
        <f>SUM($L$39:$P$39)</f>
        <v>0</v>
      </c>
      <c r="R39" s="20">
        <f>'TE BE'!$R$39*'TE BF'!$R$49</f>
        <v>-3.0388412635127429</v>
      </c>
      <c r="S39" s="20">
        <f>SUM($R$39:$R$39)</f>
        <v>-3.0388412635127429</v>
      </c>
      <c r="T39" s="20">
        <f>'TE BE'!$T$39*'TE BF'!$T$49</f>
        <v>0</v>
      </c>
      <c r="U39" s="20">
        <f>'TE BE'!$U$39*'TE BF'!$U$49</f>
        <v>0</v>
      </c>
      <c r="V39" s="20">
        <f>'TE BE'!$V$39*'TE BF'!$V$49</f>
        <v>0</v>
      </c>
      <c r="W39" s="20">
        <f>SUM($T$39:$V$39)</f>
        <v>0</v>
      </c>
      <c r="X39" s="20">
        <f>'TE BE'!$AB$39*'TE BF'!$X$49</f>
        <v>0</v>
      </c>
      <c r="Y39" s="20">
        <f>SUM($X$39:$X$39)</f>
        <v>0</v>
      </c>
      <c r="Z39" s="20">
        <f>'TE BE'!$Z$39*'TE BF'!$Z$49</f>
        <v>0</v>
      </c>
      <c r="AA39" s="20">
        <f>SUM($Z$39:$Z$39)</f>
        <v>0</v>
      </c>
      <c r="AB39" s="20">
        <f>SUMIF($L$4:$AA$4,"SUBTOTAL",$L$39:$AA$39)</f>
        <v>-3.0388412635127429</v>
      </c>
    </row>
    <row r="40" spans="1:28" ht="11.25" customHeight="1" x14ac:dyDescent="0.25">
      <c r="A40" s="150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'TE BE'!$L$40*'TE BF'!$L$49</f>
        <v>0</v>
      </c>
      <c r="M40" s="20">
        <f>'TE BE'!$M$40*'TE BF'!$M$49</f>
        <v>0</v>
      </c>
      <c r="N40" s="20">
        <f>'TE BE'!$N$40*'TE BF'!$N$49</f>
        <v>0</v>
      </c>
      <c r="O40" s="20">
        <f>'TE BE'!$O$40*'TE BF'!$O$49</f>
        <v>0</v>
      </c>
      <c r="P40" s="20">
        <f>'TE BE'!$P$40*'TE BF'!$P$49</f>
        <v>0</v>
      </c>
      <c r="Q40" s="20">
        <f>SUM($L$40:$P$40)</f>
        <v>0</v>
      </c>
      <c r="R40" s="20">
        <f>'TE BE'!$R$40*'TE BF'!$R$49</f>
        <v>-3.0388412635127429</v>
      </c>
      <c r="S40" s="20">
        <f>SUM($R$40:$R$40)</f>
        <v>-3.0388412635127429</v>
      </c>
      <c r="T40" s="20">
        <f>'TE BE'!$T$40*'TE BF'!$T$49</f>
        <v>0</v>
      </c>
      <c r="U40" s="20">
        <f>'TE BE'!$U$40*'TE BF'!$U$49</f>
        <v>0</v>
      </c>
      <c r="V40" s="20">
        <f>'TE BE'!$V$40*'TE BF'!$V$49</f>
        <v>0</v>
      </c>
      <c r="W40" s="20">
        <f>SUM($T$40:$V$40)</f>
        <v>0</v>
      </c>
      <c r="X40" s="20">
        <f>'TE BE'!$AB$40*'TE BF'!$X$49</f>
        <v>0</v>
      </c>
      <c r="Y40" s="20">
        <f>SUM($X$40:$X$40)</f>
        <v>0</v>
      </c>
      <c r="Z40" s="20">
        <f>'TE BE'!$Z$40*'TE BF'!$Z$49</f>
        <v>0</v>
      </c>
      <c r="AA40" s="20">
        <f>SUM($Z$40:$Z$40)</f>
        <v>0</v>
      </c>
      <c r="AB40" s="20">
        <f>SUMIF($L$4:$AA$4,"SUBTOTAL",$L$40:$AA$40)</f>
        <v>-3.0388412635127429</v>
      </c>
    </row>
    <row r="41" spans="1:28" ht="11.25" customHeight="1" x14ac:dyDescent="0.25">
      <c r="A41" s="150" t="s">
        <v>44</v>
      </c>
      <c r="B41" s="150" t="s">
        <v>71</v>
      </c>
      <c r="C41" s="150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356.69600000000003</v>
      </c>
      <c r="J41" s="15"/>
      <c r="L41" s="20">
        <f>'TE BE'!$L$41*'TE BF'!$L$49</f>
        <v>0</v>
      </c>
      <c r="M41" s="20">
        <f>'TE BE'!$M$41*'TE BF'!$M$49</f>
        <v>0</v>
      </c>
      <c r="N41" s="20">
        <f>'TE BE'!$N$41*'TE BF'!$N$49</f>
        <v>0</v>
      </c>
      <c r="O41" s="20">
        <f>'TE BE'!$O$41*'TE BF'!$O$49</f>
        <v>0</v>
      </c>
      <c r="P41" s="20">
        <f>'TE BE'!$P$41*'TE BF'!$P$49</f>
        <v>0</v>
      </c>
      <c r="Q41" s="20">
        <f>SUM($L$41:$P$41)</f>
        <v>0</v>
      </c>
      <c r="R41" s="20">
        <f>'TE BE'!$R$41*'TE BF'!$R$49</f>
        <v>-1.6713626949320088</v>
      </c>
      <c r="S41" s="20">
        <f>SUM($R$41:$R$41)</f>
        <v>-1.6713626949320088</v>
      </c>
      <c r="T41" s="20">
        <f>'TE BE'!$T$41*'TE BF'!$T$49</f>
        <v>0</v>
      </c>
      <c r="U41" s="20">
        <f>'TE BE'!$U$41*'TE BF'!$U$49</f>
        <v>0</v>
      </c>
      <c r="V41" s="20">
        <f>'TE BE'!$V$41*'TE BF'!$V$49</f>
        <v>0</v>
      </c>
      <c r="W41" s="20">
        <f>SUM($T$41:$V$41)</f>
        <v>0</v>
      </c>
      <c r="X41" s="20">
        <f>'TE BE'!$AB$41*'TE BF'!$X$49</f>
        <v>0</v>
      </c>
      <c r="Y41" s="20">
        <f>SUM($X$41:$X$41)</f>
        <v>0</v>
      </c>
      <c r="Z41" s="20">
        <f>'TE BE'!$Z$41*'TE BF'!$Z$49</f>
        <v>0</v>
      </c>
      <c r="AA41" s="20">
        <f>SUM($Z$41:$Z$41)</f>
        <v>0</v>
      </c>
      <c r="AB41" s="20">
        <f>SUMIF($L$4:$AA$4,"SUBTOTAL",$L$41:$AA$41)</f>
        <v>-1.6713626949320088</v>
      </c>
    </row>
    <row r="42" spans="1:28" ht="11.25" customHeight="1" x14ac:dyDescent="0.25">
      <c r="A42" s="150"/>
      <c r="B42" s="150"/>
      <c r="C42" s="150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'TE BE'!$L$42*'TE BF'!$L$49</f>
        <v>0</v>
      </c>
      <c r="M42" s="20">
        <f>'TE BE'!$M$42*'TE BF'!$M$49</f>
        <v>0</v>
      </c>
      <c r="N42" s="20">
        <f>'TE BE'!$N$42*'TE BF'!$N$49</f>
        <v>0</v>
      </c>
      <c r="O42" s="20">
        <f>'TE BE'!$O$42*'TE BF'!$O$49</f>
        <v>0</v>
      </c>
      <c r="P42" s="20">
        <f>'TE BE'!$P$42*'TE BF'!$P$49</f>
        <v>0</v>
      </c>
      <c r="Q42" s="20">
        <f>SUM($L$42:$P$42)</f>
        <v>0</v>
      </c>
      <c r="R42" s="20">
        <f>'TE BE'!$R$42*'TE BF'!$R$49</f>
        <v>-1.8233047581076456</v>
      </c>
      <c r="S42" s="20">
        <f>SUM($R$42:$R$42)</f>
        <v>-1.8233047581076456</v>
      </c>
      <c r="T42" s="20">
        <f>'TE BE'!$T$42*'TE BF'!$T$49</f>
        <v>0</v>
      </c>
      <c r="U42" s="20">
        <f>'TE BE'!$U$42*'TE BF'!$U$49</f>
        <v>0</v>
      </c>
      <c r="V42" s="20">
        <f>'TE BE'!$V$42*'TE BF'!$V$49</f>
        <v>0</v>
      </c>
      <c r="W42" s="20">
        <f>SUM($T$42:$V$42)</f>
        <v>0</v>
      </c>
      <c r="X42" s="20">
        <f>'TE BE'!$AB$42*'TE BF'!$X$49</f>
        <v>0</v>
      </c>
      <c r="Y42" s="20">
        <f>SUM($X$42:$X$42)</f>
        <v>0</v>
      </c>
      <c r="Z42" s="20">
        <f>'TE BE'!$Z$42*'TE BF'!$Z$49</f>
        <v>0</v>
      </c>
      <c r="AA42" s="20">
        <f>SUM($Z$42:$Z$42)</f>
        <v>0</v>
      </c>
      <c r="AB42" s="20">
        <f>SUMIF($L$4:$AA$4,"SUBTOTAL",$L$42:$AA$42)</f>
        <v>-1.8233047581076456</v>
      </c>
    </row>
    <row r="44" spans="1:28" ht="11.25" customHeight="1" x14ac:dyDescent="0.25">
      <c r="K44" s="25" t="s">
        <v>542</v>
      </c>
      <c r="L44" s="20">
        <f t="shared" ref="L44:AB44" si="0">SUMPRODUCT($I$5:$I$42,L$5:L$42)</f>
        <v>0</v>
      </c>
      <c r="M44" s="20">
        <f t="shared" si="0"/>
        <v>0</v>
      </c>
      <c r="N44" s="20">
        <f t="shared" si="0"/>
        <v>0</v>
      </c>
      <c r="O44" s="20">
        <f t="shared" si="0"/>
        <v>0</v>
      </c>
      <c r="P44" s="20">
        <f t="shared" si="0"/>
        <v>0</v>
      </c>
      <c r="Q44" s="20">
        <f t="shared" si="0"/>
        <v>0</v>
      </c>
      <c r="R44" s="20">
        <f t="shared" si="0"/>
        <v>-44840.210847179376</v>
      </c>
      <c r="S44" s="20">
        <f t="shared" si="0"/>
        <v>-44840.210847179376</v>
      </c>
      <c r="T44" s="20">
        <f t="shared" si="0"/>
        <v>0</v>
      </c>
      <c r="U44" s="20">
        <f t="shared" si="0"/>
        <v>0</v>
      </c>
      <c r="V44" s="20">
        <f t="shared" si="0"/>
        <v>0</v>
      </c>
      <c r="W44" s="20">
        <f t="shared" si="0"/>
        <v>0</v>
      </c>
      <c r="X44" s="20">
        <f t="shared" si="0"/>
        <v>0</v>
      </c>
      <c r="Y44" s="20">
        <f t="shared" si="0"/>
        <v>0</v>
      </c>
      <c r="Z44" s="20">
        <f t="shared" si="0"/>
        <v>0</v>
      </c>
      <c r="AA44" s="20">
        <f t="shared" si="0"/>
        <v>0</v>
      </c>
      <c r="AB44" s="20">
        <f t="shared" si="0"/>
        <v>-44840.210847179376</v>
      </c>
    </row>
    <row r="45" spans="1:28" ht="11.25" customHeight="1" x14ac:dyDescent="0.25">
      <c r="K45" s="25" t="s">
        <v>461</v>
      </c>
      <c r="L45" s="20">
        <f>CUSTOS!$D$30</f>
        <v>42091.705015032829</v>
      </c>
      <c r="M45" s="20">
        <f>CUSTOS!$D$31</f>
        <v>0</v>
      </c>
      <c r="N45" s="20">
        <f>CUSTOS!$D$32</f>
        <v>0</v>
      </c>
      <c r="O45" s="20">
        <f>CUSTOS!$D$33</f>
        <v>1.0000000000000001E-9</v>
      </c>
      <c r="P45" s="20">
        <f>CUSTOS!$D$34</f>
        <v>0</v>
      </c>
      <c r="Q45" s="20">
        <f>CUSTOS!$D$35</f>
        <v>42091.705015033825</v>
      </c>
      <c r="R45" s="20">
        <f>CUSTOS!$D$36</f>
        <v>4175116.283213472</v>
      </c>
      <c r="S45" s="20">
        <f>CUSTOS!$D$37</f>
        <v>4175116.283213472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4217207.9882285055</v>
      </c>
    </row>
    <row r="46" spans="1:28" ht="11.25" customHeight="1" x14ac:dyDescent="0.25">
      <c r="K46" s="25" t="s">
        <v>462</v>
      </c>
      <c r="L46" s="20">
        <f>CUSTOS!$E$30</f>
        <v>2.2651100147363584E-2</v>
      </c>
      <c r="M46" s="20">
        <f>CUSTOS!$E$31</f>
        <v>0</v>
      </c>
      <c r="N46" s="20">
        <f>CUSTOS!$E$32</f>
        <v>0</v>
      </c>
      <c r="O46" s="20">
        <f>CUSTOS!$E$33</f>
        <v>-147.27501618570966</v>
      </c>
      <c r="P46" s="20">
        <f>CUSTOS!$E$34</f>
        <v>0</v>
      </c>
      <c r="Q46" s="20">
        <f>CUSTOS!$E$35</f>
        <v>-147.2523650855623</v>
      </c>
      <c r="R46" s="20">
        <f>CUSTOS!$E$36</f>
        <v>114967.26282738737</v>
      </c>
      <c r="S46" s="20">
        <f>CUSTOS!$E$37</f>
        <v>114967.26282738737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114820.01046230181</v>
      </c>
    </row>
    <row r="47" spans="1:28" ht="11.25" customHeight="1" x14ac:dyDescent="0.25">
      <c r="K47" s="25" t="s">
        <v>463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-44840.210847179369</v>
      </c>
      <c r="S47" s="20">
        <f>CUSTOS!$F$37</f>
        <v>-44840.210847179369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-44840.210847179369</v>
      </c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8:F10"/>
    <mergeCell ref="B11:B15"/>
    <mergeCell ref="C11:C15"/>
    <mergeCell ref="B16:B20"/>
    <mergeCell ref="C16:C20"/>
    <mergeCell ref="A8:A20"/>
    <mergeCell ref="B8:B10"/>
    <mergeCell ref="C8:C10"/>
    <mergeCell ref="D8:D10"/>
    <mergeCell ref="E8:E10"/>
    <mergeCell ref="D29:D31"/>
    <mergeCell ref="E29:E31"/>
    <mergeCell ref="F29:F31"/>
    <mergeCell ref="D21:D23"/>
    <mergeCell ref="E21:E23"/>
    <mergeCell ref="F21:F23"/>
    <mergeCell ref="D25:D27"/>
    <mergeCell ref="E25:E27"/>
    <mergeCell ref="F25:F27"/>
    <mergeCell ref="B33:B35"/>
    <mergeCell ref="C33:C35"/>
    <mergeCell ref="A36:A40"/>
    <mergeCell ref="B36:B38"/>
    <mergeCell ref="C36:C38"/>
    <mergeCell ref="A21:A35"/>
    <mergeCell ref="B21:B23"/>
    <mergeCell ref="C21:C23"/>
    <mergeCell ref="B29:B31"/>
    <mergeCell ref="C29:C31"/>
    <mergeCell ref="B25:B27"/>
    <mergeCell ref="C25:C27"/>
    <mergeCell ref="E36:E38"/>
    <mergeCell ref="F36:F38"/>
    <mergeCell ref="A41:A42"/>
    <mergeCell ref="B41:B42"/>
    <mergeCell ref="C41:C42"/>
    <mergeCell ref="D36:D38"/>
  </mergeCells>
  <conditionalFormatting sqref="L44">
    <cfRule type="cellIs" dxfId="741" priority="33" operator="notEqual">
      <formula>$L$47</formula>
    </cfRule>
    <cfRule type="cellIs" dxfId="740" priority="34" operator="equal">
      <formula>$L$47</formula>
    </cfRule>
  </conditionalFormatting>
  <conditionalFormatting sqref="M44">
    <cfRule type="cellIs" dxfId="739" priority="31" operator="notEqual">
      <formula>$M$47</formula>
    </cfRule>
    <cfRule type="cellIs" dxfId="738" priority="32" operator="equal">
      <formula>$M$47</formula>
    </cfRule>
  </conditionalFormatting>
  <conditionalFormatting sqref="N44">
    <cfRule type="cellIs" dxfId="737" priority="29" operator="notEqual">
      <formula>$N$47</formula>
    </cfRule>
    <cfRule type="cellIs" dxfId="736" priority="30" operator="equal">
      <formula>$N$47</formula>
    </cfRule>
  </conditionalFormatting>
  <conditionalFormatting sqref="O44">
    <cfRule type="cellIs" dxfId="735" priority="27" operator="notEqual">
      <formula>$O$47</formula>
    </cfRule>
    <cfRule type="cellIs" dxfId="734" priority="28" operator="equal">
      <formula>$O$47</formula>
    </cfRule>
  </conditionalFormatting>
  <conditionalFormatting sqref="P44">
    <cfRule type="cellIs" dxfId="733" priority="25" operator="notEqual">
      <formula>$P$47</formula>
    </cfRule>
    <cfRule type="cellIs" dxfId="732" priority="26" operator="equal">
      <formula>$P$47</formula>
    </cfRule>
  </conditionalFormatting>
  <conditionalFormatting sqref="Q44">
    <cfRule type="cellIs" dxfId="731" priority="23" operator="notEqual">
      <formula>$Q$47</formula>
    </cfRule>
    <cfRule type="cellIs" dxfId="730" priority="24" operator="equal">
      <formula>$Q$47</formula>
    </cfRule>
  </conditionalFormatting>
  <conditionalFormatting sqref="R44">
    <cfRule type="cellIs" dxfId="729" priority="21" operator="notEqual">
      <formula>$R$47</formula>
    </cfRule>
    <cfRule type="cellIs" dxfId="728" priority="22" operator="equal">
      <formula>$R$47</formula>
    </cfRule>
  </conditionalFormatting>
  <conditionalFormatting sqref="S44">
    <cfRule type="cellIs" dxfId="727" priority="19" operator="notEqual">
      <formula>$S$47</formula>
    </cfRule>
    <cfRule type="cellIs" dxfId="726" priority="20" operator="equal">
      <formula>$S$47</formula>
    </cfRule>
  </conditionalFormatting>
  <conditionalFormatting sqref="T44">
    <cfRule type="cellIs" dxfId="725" priority="17" operator="notEqual">
      <formula>$T$47</formula>
    </cfRule>
    <cfRule type="cellIs" dxfId="724" priority="18" operator="equal">
      <formula>$T$47</formula>
    </cfRule>
  </conditionalFormatting>
  <conditionalFormatting sqref="U44">
    <cfRule type="cellIs" dxfId="723" priority="15" operator="notEqual">
      <formula>$U$47</formula>
    </cfRule>
    <cfRule type="cellIs" dxfId="722" priority="16" operator="equal">
      <formula>$U$47</formula>
    </cfRule>
  </conditionalFormatting>
  <conditionalFormatting sqref="V44">
    <cfRule type="cellIs" dxfId="721" priority="13" operator="notEqual">
      <formula>$V$47</formula>
    </cfRule>
    <cfRule type="cellIs" dxfId="720" priority="14" operator="equal">
      <formula>$V$47</formula>
    </cfRule>
  </conditionalFormatting>
  <conditionalFormatting sqref="W44">
    <cfRule type="cellIs" dxfId="719" priority="11" operator="notEqual">
      <formula>$W$47</formula>
    </cfRule>
    <cfRule type="cellIs" dxfId="718" priority="12" operator="equal">
      <formula>$W$47</formula>
    </cfRule>
  </conditionalFormatting>
  <conditionalFormatting sqref="X44">
    <cfRule type="cellIs" dxfId="717" priority="9" operator="notEqual">
      <formula>$X$47</formula>
    </cfRule>
    <cfRule type="cellIs" dxfId="716" priority="10" operator="equal">
      <formula>$X$47</formula>
    </cfRule>
  </conditionalFormatting>
  <conditionalFormatting sqref="Y44">
    <cfRule type="cellIs" dxfId="715" priority="7" operator="notEqual">
      <formula>$Y$47</formula>
    </cfRule>
    <cfRule type="cellIs" dxfId="714" priority="8" operator="equal">
      <formula>$Y$47</formula>
    </cfRule>
  </conditionalFormatting>
  <conditionalFormatting sqref="Z44">
    <cfRule type="cellIs" dxfId="713" priority="5" operator="notEqual">
      <formula>$Z$47</formula>
    </cfRule>
    <cfRule type="cellIs" dxfId="712" priority="6" operator="equal">
      <formula>$Z$47</formula>
    </cfRule>
  </conditionalFormatting>
  <conditionalFormatting sqref="AA44">
    <cfRule type="cellIs" dxfId="711" priority="3" operator="notEqual">
      <formula>$AA$47</formula>
    </cfRule>
    <cfRule type="cellIs" dxfId="710" priority="4" operator="equal">
      <formula>$AA$47</formula>
    </cfRule>
  </conditionalFormatting>
  <conditionalFormatting sqref="AB44">
    <cfRule type="cellIs" dxfId="709" priority="1" operator="notEqual">
      <formula>$AB$47</formula>
    </cfRule>
    <cfRule type="cellIs" dxfId="708" priority="2" operator="equal">
      <formula>$AB$47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F6F4-924C-4255-A381-044DD1A60ACC}">
  <sheetPr codeName="Planilha17"/>
  <dimension ref="A1:AX379"/>
  <sheetViews>
    <sheetView showGridLines="0" topLeftCell="AL1" workbookViewId="0">
      <selection activeCell="W110" sqref="W110:X110"/>
    </sheetView>
  </sheetViews>
  <sheetFormatPr defaultColWidth="9.14062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50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I1" s="34" t="s">
        <v>58</v>
      </c>
      <c r="AJ1" s="34" t="s">
        <v>596</v>
      </c>
      <c r="AK1" s="34" t="s">
        <v>597</v>
      </c>
      <c r="AL1" s="34" t="s">
        <v>598</v>
      </c>
      <c r="AN1" s="34" t="s">
        <v>58</v>
      </c>
      <c r="AO1" s="34" t="s">
        <v>599</v>
      </c>
      <c r="AP1" s="34" t="s">
        <v>600</v>
      </c>
      <c r="AQ1" s="34" t="s">
        <v>598</v>
      </c>
      <c r="AS1" s="34" t="s">
        <v>58</v>
      </c>
      <c r="AT1" s="34" t="s">
        <v>601</v>
      </c>
      <c r="AU1" s="34" t="s">
        <v>602</v>
      </c>
      <c r="AV1" s="34" t="s">
        <v>598</v>
      </c>
    </row>
    <row r="2" spans="1:50" ht="11.25" customHeight="1" x14ac:dyDescent="0.25">
      <c r="A2" s="4" t="s">
        <v>21</v>
      </c>
      <c r="B2" s="4" t="s">
        <v>34</v>
      </c>
      <c r="C2" s="4" t="s">
        <v>35</v>
      </c>
      <c r="D2" s="4" t="s">
        <v>40</v>
      </c>
      <c r="E2" s="4" t="s">
        <v>25</v>
      </c>
      <c r="F2" s="4" t="s">
        <v>25</v>
      </c>
      <c r="G2" s="4" t="s">
        <v>25</v>
      </c>
      <c r="H2" s="4" t="s">
        <v>37</v>
      </c>
      <c r="I2" s="5">
        <v>44409</v>
      </c>
      <c r="J2" s="6">
        <v>0</v>
      </c>
      <c r="K2" s="6">
        <v>0</v>
      </c>
      <c r="L2" s="6">
        <v>42.155999999999999</v>
      </c>
      <c r="M2" s="6">
        <v>42.155999999999999</v>
      </c>
      <c r="N2" s="6">
        <v>42.155999999999999</v>
      </c>
      <c r="O2" s="6">
        <v>42.155999999999999</v>
      </c>
      <c r="P2" s="6">
        <v>0</v>
      </c>
      <c r="Q2" s="4" t="s">
        <v>26</v>
      </c>
      <c r="R2" s="4">
        <v>0</v>
      </c>
      <c r="S2" s="6">
        <v>0</v>
      </c>
      <c r="T2" s="6">
        <v>8</v>
      </c>
      <c r="U2" s="6">
        <v>51</v>
      </c>
      <c r="V2" s="6">
        <f>IF(ISERROR(VLOOKUP($S$2,'TAR FIN'!$A$1:$O$88,15,0)),0,VLOOKUP($S$2,'TAR FIN'!$A$1:$O$88,15,0))</f>
        <v>0</v>
      </c>
      <c r="W2" s="6">
        <f>IF(ISERROR(VLOOKUP($T$2,'TAR FIN'!$A$1:$O$88,15,0)),0,VLOOKUP($T$2,'TAR FIN'!$A$1:$O$88,15,0))</f>
        <v>70.19</v>
      </c>
      <c r="X2" s="6">
        <f>IF(ISERROR(VLOOKUP($U$2,'TAR FIN'!$A$1:$O$88,15,0)),0,VLOOKUP($U$2,'TAR FIN'!$A$1:$O$88,15,0))</f>
        <v>302.62</v>
      </c>
      <c r="Y2" s="6"/>
      <c r="Z2" s="6">
        <f ca="1">('TUSD BE'!$AM$12+'TUSD BF'!$AM$12+'TUSD CVA'!$AM$12)*1</f>
        <v>110.00224235361931</v>
      </c>
      <c r="AA2" s="6">
        <f>('TE BE'!$AB$6+'TE BF'!$AB$6+'TE CVA'!$AB$6)*1</f>
        <v>274.24484099236821</v>
      </c>
      <c r="AB2" s="6">
        <f>$K$2*$V$2</f>
        <v>0</v>
      </c>
      <c r="AC2" s="6">
        <f>$M$2*$W$2</f>
        <v>2958.9296399999998</v>
      </c>
      <c r="AD2" s="6">
        <f>$O$2*$X$2</f>
        <v>12757.24872</v>
      </c>
      <c r="AE2" s="6">
        <f>$K$2*$Y$2</f>
        <v>0</v>
      </c>
      <c r="AF2" s="6">
        <f ca="1">$M$2*$Z$2</f>
        <v>4637.2545286591758</v>
      </c>
      <c r="AG2" s="6">
        <f>$O$2*$AA$2</f>
        <v>11561.065516874274</v>
      </c>
      <c r="AI2" s="35" t="s">
        <v>34</v>
      </c>
      <c r="AJ2" s="36">
        <f>SUMIF($B$2:$B$379,AI2,$AB$2:$AB$379)+SUMIF($B$2:$B$379,AI2,$AC$2:$AC$379)</f>
        <v>1586294.6785364186</v>
      </c>
      <c r="AK2" s="36">
        <f ca="1">SUMIF($B$2:$B$379,AI2,$AE$2:$AE$379)+SUMIF($B$2:$B$379,AI2,$AF$2:$AF$379)</f>
        <v>1790842.2271963425</v>
      </c>
      <c r="AL2" s="37">
        <f t="shared" ref="AL2:AL9" ca="1" si="0">IF(AJ2&lt;&gt;0,AK2/AJ2-1,0)</f>
        <v>0.12894675335395323</v>
      </c>
      <c r="AN2" s="35" t="s">
        <v>34</v>
      </c>
      <c r="AO2" s="36">
        <f>SUMIF($B$2:$B$379,AN2,$AD$2:$AD$379)</f>
        <v>716110.51144000015</v>
      </c>
      <c r="AP2" s="36">
        <f>SUMIF($B$2:$B$379,AN2,$AG$2:$AG$379)</f>
        <v>648950.32783715788</v>
      </c>
      <c r="AQ2" s="37">
        <f t="shared" ref="AQ2:AQ9" si="1">IF(AO2&lt;&gt;0,AP2/AO2-1,0)</f>
        <v>-9.3784663861157913E-2</v>
      </c>
      <c r="AS2" s="35" t="s">
        <v>34</v>
      </c>
      <c r="AT2" s="36">
        <f>SUMIF($B$2:$B$379,AS2,$AB$2:$AB$379)+SUMIF($B$2:$B$379,AS2,$AC$2:$AC$379)+SUMIF($B$2:$B$379,AS2,$AD$2:$AD$379)</f>
        <v>2302405.1899764189</v>
      </c>
      <c r="AU2" s="36">
        <f ca="1">SUMIF($B$2:$B$379,AS2,$AE$2:$AE$379)+SUMIF($B$2:$B$379,AS2,$AF$2:$AF$379)+SUMIF($B$2:$B$379,AS2,$AG$2:$AG$379)</f>
        <v>2439792.5550335003</v>
      </c>
      <c r="AV2" s="37">
        <f t="shared" ref="AV2:AV9" ca="1" si="2">IF(AT2&lt;&gt;0,AU2/AT2-1,0)</f>
        <v>5.9671236694219143E-2</v>
      </c>
      <c r="AX2" s="97">
        <v>0.11987740117208623</v>
      </c>
    </row>
    <row r="3" spans="1:50" ht="11.25" customHeight="1" x14ac:dyDescent="0.25">
      <c r="A3" s="4" t="s">
        <v>21</v>
      </c>
      <c r="B3" s="4" t="s">
        <v>34</v>
      </c>
      <c r="C3" s="4" t="s">
        <v>35</v>
      </c>
      <c r="D3" s="4" t="s">
        <v>40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44440</v>
      </c>
      <c r="J3" s="6">
        <v>0</v>
      </c>
      <c r="K3" s="6">
        <v>0</v>
      </c>
      <c r="L3" s="6">
        <v>42.073</v>
      </c>
      <c r="M3" s="6">
        <v>42.073</v>
      </c>
      <c r="N3" s="6">
        <v>42.073</v>
      </c>
      <c r="O3" s="6">
        <v>42.073</v>
      </c>
      <c r="P3" s="6">
        <v>0</v>
      </c>
      <c r="Q3" s="4" t="s">
        <v>26</v>
      </c>
      <c r="R3" s="4">
        <v>0</v>
      </c>
      <c r="S3" s="6">
        <v>0</v>
      </c>
      <c r="T3" s="6">
        <v>8</v>
      </c>
      <c r="U3" s="6">
        <v>51</v>
      </c>
      <c r="V3" s="6">
        <f>IF(ISERROR(VLOOKUP($S$3,'TAR FIN'!$A$1:$O$88,15,0)),0,VLOOKUP($S$3,'TAR FIN'!$A$1:$O$88,15,0))</f>
        <v>0</v>
      </c>
      <c r="W3" s="6">
        <f>IF(ISERROR(VLOOKUP($T$3,'TAR FIN'!$A$1:$O$88,15,0)),0,VLOOKUP($T$3,'TAR FIN'!$A$1:$O$88,15,0))</f>
        <v>70.19</v>
      </c>
      <c r="X3" s="6">
        <f>IF(ISERROR(VLOOKUP($U$3,'TAR FIN'!$A$1:$O$88,15,0)),0,VLOOKUP($U$3,'TAR FIN'!$A$1:$O$88,15,0))</f>
        <v>302.62</v>
      </c>
      <c r="Y3" s="6"/>
      <c r="Z3" s="6">
        <f ca="1">('TUSD BE'!$AM$12+'TUSD BF'!$AM$12+'TUSD CVA'!$AM$12)*1</f>
        <v>110.00224235361931</v>
      </c>
      <c r="AA3" s="6">
        <f>('TE BE'!$AB$6+'TE BF'!$AB$6+'TE CVA'!$AB$6)*1</f>
        <v>274.24484099236821</v>
      </c>
      <c r="AB3" s="6">
        <f>$K$3*$V$3</f>
        <v>0</v>
      </c>
      <c r="AC3" s="6">
        <f>$M$3*$W$3</f>
        <v>2953.1038699999999</v>
      </c>
      <c r="AD3" s="6">
        <f>$O$3*$X$3</f>
        <v>12732.13126</v>
      </c>
      <c r="AE3" s="6">
        <f>$K$3*$Y$3</f>
        <v>0</v>
      </c>
      <c r="AF3" s="6">
        <f ca="1">$M$3*$Z$3</f>
        <v>4628.1243425438252</v>
      </c>
      <c r="AG3" s="6">
        <f>$O$3*$AA$3</f>
        <v>11538.303195071909</v>
      </c>
      <c r="AI3" s="35" t="s">
        <v>22</v>
      </c>
      <c r="AJ3" s="36">
        <f>SUMIF($B$2:$B$379,AI3,$AB$2:$AB$379)+SUMIF($B$2:$B$379,AI3,$AC$2:$AC$379)</f>
        <v>0</v>
      </c>
      <c r="AK3" s="36">
        <f ca="1">SUMIF($B$2:$B$379,AI3,$AE$2:$AE$379)+SUMIF($B$2:$B$379,AI3,$AF$2:$AF$379)</f>
        <v>3508275.0826148819</v>
      </c>
      <c r="AL3" s="37">
        <f t="shared" si="0"/>
        <v>0</v>
      </c>
      <c r="AN3" s="35" t="s">
        <v>22</v>
      </c>
      <c r="AO3" s="36">
        <f>SUMIF($B$2:$B$379,AN3,$AD$2:$AD$379)</f>
        <v>0</v>
      </c>
      <c r="AP3" s="36">
        <f>SUMIF($B$2:$B$379,AN3,$AG$2:$AG$379)</f>
        <v>2110377.3713841806</v>
      </c>
      <c r="AQ3" s="37">
        <f t="shared" si="1"/>
        <v>0</v>
      </c>
      <c r="AS3" s="35" t="s">
        <v>22</v>
      </c>
      <c r="AT3" s="36">
        <f>SUMIF($B$2:$B$379,AS3,$AB$2:$AB$379)+SUMIF($B$2:$B$379,AS3,$AC$2:$AC$379)+SUMIF($B$2:$B$379,AS3,$AD$2:$AD$379)</f>
        <v>0</v>
      </c>
      <c r="AU3" s="36">
        <f ca="1">SUMIF($B$2:$B$379,AS3,$AE$2:$AE$379)+SUMIF($B$2:$B$379,AS3,$AF$2:$AF$379)+SUMIF($B$2:$B$379,AS3,$AG$2:$AG$379)</f>
        <v>5618652.453999063</v>
      </c>
      <c r="AV3" s="37">
        <f t="shared" si="2"/>
        <v>0</v>
      </c>
      <c r="AX3" s="97">
        <v>0.43752536510442175</v>
      </c>
    </row>
    <row r="4" spans="1:50" ht="11.25" customHeight="1" x14ac:dyDescent="0.25">
      <c r="A4" s="4" t="s">
        <v>21</v>
      </c>
      <c r="B4" s="4" t="s">
        <v>34</v>
      </c>
      <c r="C4" s="4" t="s">
        <v>35</v>
      </c>
      <c r="D4" s="4" t="s">
        <v>40</v>
      </c>
      <c r="E4" s="4" t="s">
        <v>25</v>
      </c>
      <c r="F4" s="4" t="s">
        <v>25</v>
      </c>
      <c r="G4" s="4" t="s">
        <v>25</v>
      </c>
      <c r="H4" s="4" t="s">
        <v>37</v>
      </c>
      <c r="I4" s="5">
        <v>44470</v>
      </c>
      <c r="J4" s="6">
        <v>0</v>
      </c>
      <c r="K4" s="6">
        <v>0</v>
      </c>
      <c r="L4" s="6">
        <v>42.054000000000002</v>
      </c>
      <c r="M4" s="6">
        <v>42.054000000000002</v>
      </c>
      <c r="N4" s="6">
        <v>42.054000000000002</v>
      </c>
      <c r="O4" s="6">
        <v>42.054000000000002</v>
      </c>
      <c r="P4" s="6">
        <v>0</v>
      </c>
      <c r="Q4" s="4" t="s">
        <v>26</v>
      </c>
      <c r="R4" s="4">
        <v>0</v>
      </c>
      <c r="S4" s="6">
        <v>0</v>
      </c>
      <c r="T4" s="6">
        <v>8</v>
      </c>
      <c r="U4" s="6">
        <v>51</v>
      </c>
      <c r="V4" s="6">
        <f>IF(ISERROR(VLOOKUP($S$4,'TAR FIN'!$A$1:$O$88,15,0)),0,VLOOKUP($S$4,'TAR FIN'!$A$1:$O$88,15,0))</f>
        <v>0</v>
      </c>
      <c r="W4" s="6">
        <f>IF(ISERROR(VLOOKUP($T$4,'TAR FIN'!$A$1:$O$88,15,0)),0,VLOOKUP($T$4,'TAR FIN'!$A$1:$O$88,15,0))</f>
        <v>70.19</v>
      </c>
      <c r="X4" s="6">
        <f>IF(ISERROR(VLOOKUP($U$4,'TAR FIN'!$A$1:$O$88,15,0)),0,VLOOKUP($U$4,'TAR FIN'!$A$1:$O$88,15,0))</f>
        <v>302.62</v>
      </c>
      <c r="Y4" s="6"/>
      <c r="Z4" s="6">
        <f ca="1">('TUSD BE'!$AM$12+'TUSD BF'!$AM$12+'TUSD CVA'!$AM$12)*1</f>
        <v>110.00224235361931</v>
      </c>
      <c r="AA4" s="6">
        <f>('TE BE'!$AB$6+'TE BF'!$AB$6+'TE CVA'!$AB$6)*1</f>
        <v>274.24484099236821</v>
      </c>
      <c r="AB4" s="6">
        <f>$K$4*$V$4</f>
        <v>0</v>
      </c>
      <c r="AC4" s="6">
        <f>$M$4*$W$4</f>
        <v>2951.7702600000002</v>
      </c>
      <c r="AD4" s="6">
        <f>$O$4*$X$4</f>
        <v>12726.38148</v>
      </c>
      <c r="AE4" s="6">
        <f>$K$4*$Y$4</f>
        <v>0</v>
      </c>
      <c r="AF4" s="6">
        <f ca="1">$M$4*$Z$4</f>
        <v>4626.0342999391069</v>
      </c>
      <c r="AG4" s="6">
        <f>$O$4*$AA$4</f>
        <v>11533.092543093053</v>
      </c>
      <c r="AI4" s="35" t="s">
        <v>41</v>
      </c>
      <c r="AJ4" s="36">
        <f>SUMIF($B$2:$B$379,AI4,$AB$2:$AB$379)+SUMIF($B$2:$B$379,AI4,$AC$2:$AC$379)</f>
        <v>0</v>
      </c>
      <c r="AK4" s="36">
        <f ca="1">SUMIF($B$2:$B$379,AI4,$AE$2:$AE$379)+SUMIF($B$2:$B$379,AI4,$AF$2:$AF$379)</f>
        <v>5488.0136367484129</v>
      </c>
      <c r="AL4" s="37">
        <f t="shared" si="0"/>
        <v>0</v>
      </c>
      <c r="AN4" s="35" t="s">
        <v>41</v>
      </c>
      <c r="AO4" s="36">
        <f>SUMIF($B$2:$B$379,AN4,$AD$2:$AD$379)</f>
        <v>0</v>
      </c>
      <c r="AP4" s="36">
        <f>SUMIF($B$2:$B$379,AN4,$AG$2:$AG$379)</f>
        <v>3233.4811603264588</v>
      </c>
      <c r="AQ4" s="37">
        <f t="shared" si="1"/>
        <v>0</v>
      </c>
      <c r="AS4" s="35" t="s">
        <v>41</v>
      </c>
      <c r="AT4" s="36">
        <f>SUMIF($B$2:$B$379,AS4,$AB$2:$AB$379)+SUMIF($B$2:$B$379,AS4,$AC$2:$AC$379)+SUMIF($B$2:$B$379,AS4,$AD$2:$AD$379)</f>
        <v>0</v>
      </c>
      <c r="AU4" s="36">
        <f ca="1">SUMIF($B$2:$B$379,AS4,$AE$2:$AE$379)+SUMIF($B$2:$B$379,AS4,$AF$2:$AF$379)+SUMIF($B$2:$B$379,AS4,$AG$2:$AG$379)</f>
        <v>8721.4947970748726</v>
      </c>
      <c r="AV4" s="37">
        <f t="shared" si="2"/>
        <v>0</v>
      </c>
      <c r="AX4" s="97">
        <v>0.53896764875521841</v>
      </c>
    </row>
    <row r="5" spans="1:50" ht="11.25" customHeight="1" x14ac:dyDescent="0.25">
      <c r="A5" s="4" t="s">
        <v>21</v>
      </c>
      <c r="B5" s="4" t="s">
        <v>34</v>
      </c>
      <c r="C5" s="4" t="s">
        <v>35</v>
      </c>
      <c r="D5" s="4" t="s">
        <v>40</v>
      </c>
      <c r="E5" s="4" t="s">
        <v>25</v>
      </c>
      <c r="F5" s="4" t="s">
        <v>25</v>
      </c>
      <c r="G5" s="4" t="s">
        <v>25</v>
      </c>
      <c r="H5" s="4" t="s">
        <v>37</v>
      </c>
      <c r="I5" s="5">
        <v>44501</v>
      </c>
      <c r="J5" s="6">
        <v>0</v>
      </c>
      <c r="K5" s="6">
        <v>0</v>
      </c>
      <c r="L5" s="6">
        <v>43.274999999999999</v>
      </c>
      <c r="M5" s="6">
        <v>43.274999999999999</v>
      </c>
      <c r="N5" s="6">
        <v>43.274999999999999</v>
      </c>
      <c r="O5" s="6">
        <v>43.274999999999999</v>
      </c>
      <c r="P5" s="6">
        <v>0</v>
      </c>
      <c r="Q5" s="4" t="s">
        <v>26</v>
      </c>
      <c r="R5" s="4">
        <v>0</v>
      </c>
      <c r="S5" s="6">
        <v>0</v>
      </c>
      <c r="T5" s="6">
        <v>8</v>
      </c>
      <c r="U5" s="6">
        <v>51</v>
      </c>
      <c r="V5" s="6">
        <f>IF(ISERROR(VLOOKUP($S$5,'TAR FIN'!$A$1:$O$88,15,0)),0,VLOOKUP($S$5,'TAR FIN'!$A$1:$O$88,15,0))</f>
        <v>0</v>
      </c>
      <c r="W5" s="6">
        <f>IF(ISERROR(VLOOKUP($T$5,'TAR FIN'!$A$1:$O$88,15,0)),0,VLOOKUP($T$5,'TAR FIN'!$A$1:$O$88,15,0))</f>
        <v>70.19</v>
      </c>
      <c r="X5" s="6">
        <f>IF(ISERROR(VLOOKUP($U$5,'TAR FIN'!$A$1:$O$88,15,0)),0,VLOOKUP($U$5,'TAR FIN'!$A$1:$O$88,15,0))</f>
        <v>302.62</v>
      </c>
      <c r="Y5" s="6"/>
      <c r="Z5" s="6">
        <f ca="1">('TUSD BE'!$AM$12+'TUSD BF'!$AM$12+'TUSD CVA'!$AM$12)*1</f>
        <v>110.00224235361931</v>
      </c>
      <c r="AA5" s="6">
        <f>('TE BE'!$AB$6+'TE BF'!$AB$6+'TE CVA'!$AB$6)*1</f>
        <v>274.24484099236821</v>
      </c>
      <c r="AB5" s="6">
        <f>$K$5*$V$5</f>
        <v>0</v>
      </c>
      <c r="AC5" s="6">
        <f>$M$5*$W$5</f>
        <v>3037.4722499999998</v>
      </c>
      <c r="AD5" s="6">
        <f>$O$5*$X$5</f>
        <v>13095.880499999999</v>
      </c>
      <c r="AE5" s="6">
        <f>$K$5*$Y$5</f>
        <v>0</v>
      </c>
      <c r="AF5" s="6">
        <f ca="1">$M$5*$Z$5</f>
        <v>4760.3470378528755</v>
      </c>
      <c r="AG5" s="6">
        <f>$O$5*$AA$5</f>
        <v>11867.945493944733</v>
      </c>
      <c r="AI5" s="35" t="s">
        <v>32</v>
      </c>
      <c r="AJ5" s="36">
        <f>SUMIF($B$2:$B$379,AI5,$AB$2:$AB$379)+SUMIF($B$2:$B$379,AI5,$AC$2:$AC$379)</f>
        <v>0</v>
      </c>
      <c r="AK5" s="36">
        <f ca="1">SUMIF($B$2:$B$379,AI5,$AE$2:$AE$379)+SUMIF($B$2:$B$379,AI5,$AF$2:$AF$379)</f>
        <v>2377525.147430582</v>
      </c>
      <c r="AL5" s="37">
        <f t="shared" si="0"/>
        <v>0</v>
      </c>
      <c r="AN5" s="35" t="s">
        <v>32</v>
      </c>
      <c r="AO5" s="36">
        <f>SUMIF($B$2:$B$379,AN5,$AD$2:$AD$379)</f>
        <v>0</v>
      </c>
      <c r="AP5" s="36">
        <f>SUMIF($B$2:$B$379,AN5,$AG$2:$AG$379)</f>
        <v>1402400.4705001831</v>
      </c>
      <c r="AQ5" s="37">
        <f t="shared" si="1"/>
        <v>0</v>
      </c>
      <c r="AS5" s="35" t="s">
        <v>32</v>
      </c>
      <c r="AT5" s="36">
        <f>SUMIF($B$2:$B$379,AS5,$AB$2:$AB$379)+SUMIF($B$2:$B$379,AS5,$AC$2:$AC$379)+SUMIF($B$2:$B$379,AS5,$AD$2:$AD$379)</f>
        <v>0</v>
      </c>
      <c r="AU5" s="36">
        <f ca="1">SUMIF($B$2:$B$379,AS5,$AE$2:$AE$379)+SUMIF($B$2:$B$379,AS5,$AF$2:$AF$379)+SUMIF($B$2:$B$379,AS5,$AG$2:$AG$379)</f>
        <v>3779925.6179307653</v>
      </c>
      <c r="AV5" s="37">
        <f t="shared" si="2"/>
        <v>0</v>
      </c>
      <c r="AX5" s="97">
        <v>0.44133757553816544</v>
      </c>
    </row>
    <row r="6" spans="1:50" ht="11.25" customHeight="1" x14ac:dyDescent="0.25">
      <c r="A6" s="4" t="s">
        <v>21</v>
      </c>
      <c r="B6" s="4" t="s">
        <v>34</v>
      </c>
      <c r="C6" s="4" t="s">
        <v>35</v>
      </c>
      <c r="D6" s="4" t="s">
        <v>40</v>
      </c>
      <c r="E6" s="4" t="s">
        <v>25</v>
      </c>
      <c r="F6" s="4" t="s">
        <v>25</v>
      </c>
      <c r="G6" s="4" t="s">
        <v>25</v>
      </c>
      <c r="H6" s="4" t="s">
        <v>37</v>
      </c>
      <c r="I6" s="5">
        <v>44531</v>
      </c>
      <c r="J6" s="6">
        <v>0</v>
      </c>
      <c r="K6" s="6">
        <v>0</v>
      </c>
      <c r="L6" s="6">
        <v>18.189</v>
      </c>
      <c r="M6" s="6">
        <v>18.189</v>
      </c>
      <c r="N6" s="6">
        <v>18.189</v>
      </c>
      <c r="O6" s="6">
        <v>18.189</v>
      </c>
      <c r="P6" s="6">
        <v>0</v>
      </c>
      <c r="Q6" s="4" t="s">
        <v>26</v>
      </c>
      <c r="R6" s="4">
        <v>0</v>
      </c>
      <c r="S6" s="6">
        <v>0</v>
      </c>
      <c r="T6" s="6">
        <v>8</v>
      </c>
      <c r="U6" s="6">
        <v>51</v>
      </c>
      <c r="V6" s="6">
        <f>IF(ISERROR(VLOOKUP($S$6,'TAR FIN'!$A$1:$O$88,15,0)),0,VLOOKUP($S$6,'TAR FIN'!$A$1:$O$88,15,0))</f>
        <v>0</v>
      </c>
      <c r="W6" s="6">
        <f>IF(ISERROR(VLOOKUP($T$6,'TAR FIN'!$A$1:$O$88,15,0)),0,VLOOKUP($T$6,'TAR FIN'!$A$1:$O$88,15,0))</f>
        <v>70.19</v>
      </c>
      <c r="X6" s="6">
        <f>IF(ISERROR(VLOOKUP($U$6,'TAR FIN'!$A$1:$O$88,15,0)),0,VLOOKUP($U$6,'TAR FIN'!$A$1:$O$88,15,0))</f>
        <v>302.62</v>
      </c>
      <c r="Y6" s="6"/>
      <c r="Z6" s="6">
        <f ca="1">('TUSD BE'!$AM$12+'TUSD BF'!$AM$12+'TUSD CVA'!$AM$12)*1</f>
        <v>110.00224235361931</v>
      </c>
      <c r="AA6" s="6">
        <f>('TE BE'!$AB$6+'TE BF'!$AB$6+'TE CVA'!$AB$6)*1</f>
        <v>274.24484099236821</v>
      </c>
      <c r="AB6" s="6">
        <f>$K$6*$V$6</f>
        <v>0</v>
      </c>
      <c r="AC6" s="6">
        <f>$M$6*$W$6</f>
        <v>1276.6859099999999</v>
      </c>
      <c r="AD6" s="6">
        <f>$O$6*$X$6</f>
        <v>5504.3551800000005</v>
      </c>
      <c r="AE6" s="6">
        <f>$K$6*$Y$6</f>
        <v>0</v>
      </c>
      <c r="AF6" s="6">
        <f ca="1">$M$6*$Z$6</f>
        <v>2000.8307861699816</v>
      </c>
      <c r="AG6" s="6">
        <f>$O$6*$AA$6</f>
        <v>4988.2394128101851</v>
      </c>
      <c r="AI6" s="35" t="s">
        <v>44</v>
      </c>
      <c r="AJ6" s="36">
        <f>SUMIF($B$2:$B$379,AI6,$AB$2:$AB$379)+SUMIF($B$2:$B$379,AI6,$AC$2:$AC$379)</f>
        <v>0</v>
      </c>
      <c r="AK6" s="36">
        <f ca="1">SUMIF($B$2:$B$379,AI6,$AE$2:$AE$379)+SUMIF($B$2:$B$379,AI6,$AF$2:$AF$379)</f>
        <v>96737.877524393218</v>
      </c>
      <c r="AL6" s="37">
        <f t="shared" si="0"/>
        <v>0</v>
      </c>
      <c r="AN6" s="35" t="s">
        <v>44</v>
      </c>
      <c r="AO6" s="36">
        <f>SUMIF($B$2:$B$379,AN6,$AD$2:$AD$379)</f>
        <v>0</v>
      </c>
      <c r="AP6" s="36">
        <f>SUMIF($B$2:$B$379,AN6,$AG$2:$AG$379)</f>
        <v>56996.961955514445</v>
      </c>
      <c r="AQ6" s="37">
        <f t="shared" si="1"/>
        <v>0</v>
      </c>
      <c r="AS6" s="35" t="s">
        <v>44</v>
      </c>
      <c r="AT6" s="36">
        <f>SUMIF($B$2:$B$379,AS6,$AB$2:$AB$379)+SUMIF($B$2:$B$379,AS6,$AC$2:$AC$379)+SUMIF($B$2:$B$379,AS6,$AD$2:$AD$379)</f>
        <v>0</v>
      </c>
      <c r="AU6" s="36">
        <f ca="1">SUMIF($B$2:$B$379,AS6,$AE$2:$AE$379)+SUMIF($B$2:$B$379,AS6,$AF$2:$AF$379)+SUMIF($B$2:$B$379,AS6,$AG$2:$AG$379)</f>
        <v>153734.83947990765</v>
      </c>
      <c r="AV6" s="37">
        <f t="shared" si="2"/>
        <v>0</v>
      </c>
      <c r="AX6" s="97">
        <v>0.44074182332755596</v>
      </c>
    </row>
    <row r="7" spans="1:50" ht="11.25" customHeight="1" x14ac:dyDescent="0.25">
      <c r="A7" s="4" t="s">
        <v>21</v>
      </c>
      <c r="B7" s="4" t="s">
        <v>34</v>
      </c>
      <c r="C7" s="4" t="s">
        <v>35</v>
      </c>
      <c r="D7" s="4" t="s">
        <v>40</v>
      </c>
      <c r="E7" s="4" t="s">
        <v>25</v>
      </c>
      <c r="F7" s="4" t="s">
        <v>25</v>
      </c>
      <c r="G7" s="4" t="s">
        <v>25</v>
      </c>
      <c r="H7" s="4" t="s">
        <v>37</v>
      </c>
      <c r="I7" s="5">
        <v>44562</v>
      </c>
      <c r="J7" s="6">
        <v>0</v>
      </c>
      <c r="K7" s="6">
        <v>0</v>
      </c>
      <c r="L7" s="6">
        <v>18.125</v>
      </c>
      <c r="M7" s="6">
        <v>18.125</v>
      </c>
      <c r="N7" s="6">
        <v>18.125</v>
      </c>
      <c r="O7" s="6">
        <v>18.125</v>
      </c>
      <c r="P7" s="6">
        <v>0</v>
      </c>
      <c r="Q7" s="4" t="s">
        <v>26</v>
      </c>
      <c r="R7" s="4">
        <v>0</v>
      </c>
      <c r="S7" s="6">
        <v>0</v>
      </c>
      <c r="T7" s="6">
        <v>8</v>
      </c>
      <c r="U7" s="6">
        <v>51</v>
      </c>
      <c r="V7" s="6">
        <f>IF(ISERROR(VLOOKUP($S$7,'TAR FIN'!$A$1:$O$88,15,0)),0,VLOOKUP($S$7,'TAR FIN'!$A$1:$O$88,15,0))</f>
        <v>0</v>
      </c>
      <c r="W7" s="6">
        <f>IF(ISERROR(VLOOKUP($T$7,'TAR FIN'!$A$1:$O$88,15,0)),0,VLOOKUP($T$7,'TAR FIN'!$A$1:$O$88,15,0))</f>
        <v>70.19</v>
      </c>
      <c r="X7" s="6">
        <f>IF(ISERROR(VLOOKUP($U$7,'TAR FIN'!$A$1:$O$88,15,0)),0,VLOOKUP($U$7,'TAR FIN'!$A$1:$O$88,15,0))</f>
        <v>302.62</v>
      </c>
      <c r="Y7" s="6"/>
      <c r="Z7" s="6">
        <f ca="1">('TUSD BE'!$AM$12+'TUSD BF'!$AM$12+'TUSD CVA'!$AM$12)*1</f>
        <v>110.00224235361931</v>
      </c>
      <c r="AA7" s="6">
        <f>('TE BE'!$AB$6+'TE BF'!$AB$6+'TE CVA'!$AB$6)*1</f>
        <v>274.24484099236821</v>
      </c>
      <c r="AB7" s="6">
        <f>$K$7*$V$7</f>
        <v>0</v>
      </c>
      <c r="AC7" s="6">
        <f>$M$7*$W$7</f>
        <v>1272.1937499999999</v>
      </c>
      <c r="AD7" s="6">
        <f>$O$7*$X$7</f>
        <v>5484.9875000000002</v>
      </c>
      <c r="AE7" s="6">
        <f>$K$7*$Y$7</f>
        <v>0</v>
      </c>
      <c r="AF7" s="6">
        <f ca="1">$M$7*$Z$7</f>
        <v>1993.7906426593499</v>
      </c>
      <c r="AG7" s="6">
        <f>$O$7*$AA$7</f>
        <v>4970.6877429866736</v>
      </c>
      <c r="AI7" s="35" t="s">
        <v>603</v>
      </c>
      <c r="AJ7" s="36">
        <f>+$AJ$2</f>
        <v>1586294.6785364186</v>
      </c>
      <c r="AK7" s="36">
        <f ca="1">+$AK$2</f>
        <v>1790842.2271963425</v>
      </c>
      <c r="AL7" s="37">
        <f t="shared" ca="1" si="0"/>
        <v>0.12894675335395323</v>
      </c>
      <c r="AN7" s="35" t="s">
        <v>603</v>
      </c>
      <c r="AO7" s="36">
        <f>+$AO$2</f>
        <v>716110.51144000015</v>
      </c>
      <c r="AP7" s="36">
        <f>+$AP$2</f>
        <v>648950.32783715788</v>
      </c>
      <c r="AQ7" s="37">
        <f t="shared" si="1"/>
        <v>-9.3784663861157913E-2</v>
      </c>
      <c r="AS7" s="35" t="s">
        <v>603</v>
      </c>
      <c r="AT7" s="36">
        <f>+$AT$2</f>
        <v>2302405.1899764189</v>
      </c>
      <c r="AU7" s="36">
        <f ca="1">+$AU$2</f>
        <v>2439792.5550335003</v>
      </c>
      <c r="AV7" s="37">
        <f t="shared" ca="1" si="2"/>
        <v>5.9671236694219143E-2</v>
      </c>
      <c r="AX7" s="97">
        <v>0.11987740117208623</v>
      </c>
    </row>
    <row r="8" spans="1:50" ht="11.25" customHeight="1" x14ac:dyDescent="0.25">
      <c r="A8" s="4" t="s">
        <v>21</v>
      </c>
      <c r="B8" s="4" t="s">
        <v>34</v>
      </c>
      <c r="C8" s="4" t="s">
        <v>35</v>
      </c>
      <c r="D8" s="4" t="s">
        <v>40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44593</v>
      </c>
      <c r="J8" s="6">
        <v>0</v>
      </c>
      <c r="K8" s="6">
        <v>0</v>
      </c>
      <c r="L8" s="6">
        <v>19.335999999999999</v>
      </c>
      <c r="M8" s="6">
        <v>19.335999999999999</v>
      </c>
      <c r="N8" s="6">
        <v>19.335999999999999</v>
      </c>
      <c r="O8" s="6">
        <v>19.335999999999999</v>
      </c>
      <c r="P8" s="6">
        <v>0</v>
      </c>
      <c r="Q8" s="4" t="s">
        <v>26</v>
      </c>
      <c r="R8" s="4">
        <v>0</v>
      </c>
      <c r="S8" s="6">
        <v>0</v>
      </c>
      <c r="T8" s="6">
        <v>8</v>
      </c>
      <c r="U8" s="6">
        <v>51</v>
      </c>
      <c r="V8" s="6">
        <f>IF(ISERROR(VLOOKUP($S$8,'TAR FIN'!$A$1:$O$88,15,0)),0,VLOOKUP($S$8,'TAR FIN'!$A$1:$O$88,15,0))</f>
        <v>0</v>
      </c>
      <c r="W8" s="6">
        <f>IF(ISERROR(VLOOKUP($T$8,'TAR FIN'!$A$1:$O$88,15,0)),0,VLOOKUP($T$8,'TAR FIN'!$A$1:$O$88,15,0))</f>
        <v>70.19</v>
      </c>
      <c r="X8" s="6">
        <f>IF(ISERROR(VLOOKUP($U$8,'TAR FIN'!$A$1:$O$88,15,0)),0,VLOOKUP($U$8,'TAR FIN'!$A$1:$O$88,15,0))</f>
        <v>302.62</v>
      </c>
      <c r="Y8" s="6"/>
      <c r="Z8" s="6">
        <f ca="1">('TUSD BE'!$AM$12+'TUSD BF'!$AM$12+'TUSD CVA'!$AM$12)*1</f>
        <v>110.00224235361931</v>
      </c>
      <c r="AA8" s="6">
        <f>('TE BE'!$AB$6+'TE BF'!$AB$6+'TE CVA'!$AB$6)*1</f>
        <v>274.24484099236821</v>
      </c>
      <c r="AB8" s="6">
        <f>$K$8*$V$8</f>
        <v>0</v>
      </c>
      <c r="AC8" s="6">
        <f>$M$8*$W$8</f>
        <v>1357.1938399999999</v>
      </c>
      <c r="AD8" s="6">
        <f>$O$8*$X$8</f>
        <v>5851.4603199999992</v>
      </c>
      <c r="AE8" s="6">
        <f>$K$8*$Y$8</f>
        <v>0</v>
      </c>
      <c r="AF8" s="6">
        <f ca="1">$M$8*$Z$8</f>
        <v>2127.0033581495827</v>
      </c>
      <c r="AG8" s="6">
        <f>$O$8*$AA$8</f>
        <v>5302.7982454284311</v>
      </c>
      <c r="AI8" s="35" t="s">
        <v>79</v>
      </c>
      <c r="AJ8" s="36">
        <f>+$AJ$3+$AJ$4+$AJ$5+$AJ$6</f>
        <v>0</v>
      </c>
      <c r="AK8" s="36">
        <f ca="1">+$AK$3+$AK$4+$AK$5+$AK$6</f>
        <v>5988026.1212066058</v>
      </c>
      <c r="AL8" s="37">
        <f t="shared" si="0"/>
        <v>0</v>
      </c>
      <c r="AN8" s="35" t="s">
        <v>79</v>
      </c>
      <c r="AO8" s="36">
        <f>+$AO$3+$AO$4+$AO$5+$AO$6</f>
        <v>0</v>
      </c>
      <c r="AP8" s="36">
        <f>+$AP$3+$AP$4+$AP$5+$AP$6</f>
        <v>3573008.2850002046</v>
      </c>
      <c r="AQ8" s="37">
        <f t="shared" si="1"/>
        <v>0</v>
      </c>
      <c r="AS8" s="35" t="s">
        <v>79</v>
      </c>
      <c r="AT8" s="36">
        <f>+$AT$3+$AT$4+$AT$5+$AT$6</f>
        <v>0</v>
      </c>
      <c r="AU8" s="36">
        <f ca="1">+$AU$3+$AU$4+$AU$5+$AU$6</f>
        <v>9561034.4062068127</v>
      </c>
      <c r="AV8" s="37">
        <f t="shared" si="2"/>
        <v>0</v>
      </c>
      <c r="AX8" s="97">
        <v>0.43916874191372446</v>
      </c>
    </row>
    <row r="9" spans="1:50" ht="11.25" customHeight="1" x14ac:dyDescent="0.25">
      <c r="A9" s="4" t="s">
        <v>21</v>
      </c>
      <c r="B9" s="4" t="s">
        <v>34</v>
      </c>
      <c r="C9" s="4" t="s">
        <v>35</v>
      </c>
      <c r="D9" s="4" t="s">
        <v>40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44621</v>
      </c>
      <c r="J9" s="6">
        <v>0</v>
      </c>
      <c r="K9" s="6">
        <v>0</v>
      </c>
      <c r="L9" s="6">
        <v>22.722999999999999</v>
      </c>
      <c r="M9" s="6">
        <v>22.722999999999999</v>
      </c>
      <c r="N9" s="6">
        <v>22.722999999999999</v>
      </c>
      <c r="O9" s="6">
        <v>22.722999999999999</v>
      </c>
      <c r="P9" s="6">
        <v>0</v>
      </c>
      <c r="Q9" s="4" t="s">
        <v>26</v>
      </c>
      <c r="R9" s="4">
        <v>0</v>
      </c>
      <c r="S9" s="6">
        <v>0</v>
      </c>
      <c r="T9" s="6">
        <v>8</v>
      </c>
      <c r="U9" s="6">
        <v>51</v>
      </c>
      <c r="V9" s="6">
        <f>IF(ISERROR(VLOOKUP($S$9,'TAR FIN'!$A$1:$O$88,15,0)),0,VLOOKUP($S$9,'TAR FIN'!$A$1:$O$88,15,0))</f>
        <v>0</v>
      </c>
      <c r="W9" s="6">
        <f>IF(ISERROR(VLOOKUP($T$9,'TAR FIN'!$A$1:$O$88,15,0)),0,VLOOKUP($T$9,'TAR FIN'!$A$1:$O$88,15,0))</f>
        <v>70.19</v>
      </c>
      <c r="X9" s="6">
        <f>IF(ISERROR(VLOOKUP($U$9,'TAR FIN'!$A$1:$O$88,15,0)),0,VLOOKUP($U$9,'TAR FIN'!$A$1:$O$88,15,0))</f>
        <v>302.62</v>
      </c>
      <c r="Y9" s="6"/>
      <c r="Z9" s="6">
        <f ca="1">('TUSD BE'!$AM$12+'TUSD BF'!$AM$12+'TUSD CVA'!$AM$12)*1</f>
        <v>110.00224235361931</v>
      </c>
      <c r="AA9" s="6">
        <f>('TE BE'!$AB$6+'TE BF'!$AB$6+'TE CVA'!$AB$6)*1</f>
        <v>274.24484099236821</v>
      </c>
      <c r="AB9" s="6">
        <f>$K$9*$V$9</f>
        <v>0</v>
      </c>
      <c r="AC9" s="6">
        <f>$M$9*$W$9</f>
        <v>1594.9273699999999</v>
      </c>
      <c r="AD9" s="6">
        <f>$O$9*$X$9</f>
        <v>6876.43426</v>
      </c>
      <c r="AE9" s="6">
        <f>$K$9*$Y$9</f>
        <v>0</v>
      </c>
      <c r="AF9" s="6">
        <f ca="1">$M$9*$Z$9</f>
        <v>2499.5809530012916</v>
      </c>
      <c r="AG9" s="6">
        <f>$O$9*$AA$9</f>
        <v>6231.6655218695823</v>
      </c>
      <c r="AI9" s="35" t="s">
        <v>604</v>
      </c>
      <c r="AJ9" s="36">
        <f>AJ8+AJ7</f>
        <v>1586294.6785364186</v>
      </c>
      <c r="AK9" s="36">
        <f ca="1">AK8+AK7</f>
        <v>7778868.3484029481</v>
      </c>
      <c r="AL9" s="37">
        <f t="shared" ca="1" si="0"/>
        <v>3.9037977959934</v>
      </c>
      <c r="AN9" s="35" t="s">
        <v>604</v>
      </c>
      <c r="AO9" s="36">
        <f>AO8+AO7</f>
        <v>716110.51144000015</v>
      </c>
      <c r="AP9" s="36">
        <f>AP8+AP7</f>
        <v>4221958.6128373621</v>
      </c>
      <c r="AQ9" s="37">
        <f t="shared" si="1"/>
        <v>4.8956802691634582</v>
      </c>
      <c r="AS9" s="35" t="s">
        <v>604</v>
      </c>
      <c r="AT9" s="36">
        <f>AT8+AT7</f>
        <v>2302405.1899764189</v>
      </c>
      <c r="AU9" s="36">
        <f ca="1">AU8+AU7</f>
        <v>12000826.961240314</v>
      </c>
      <c r="AV9" s="37">
        <f t="shared" ca="1" si="2"/>
        <v>4.212300169182309</v>
      </c>
      <c r="AX9" s="97">
        <v>0.35565186450211161</v>
      </c>
    </row>
    <row r="10" spans="1:50" ht="11.25" customHeight="1" x14ac:dyDescent="0.25">
      <c r="A10" s="4" t="s">
        <v>21</v>
      </c>
      <c r="B10" s="4" t="s">
        <v>34</v>
      </c>
      <c r="C10" s="4" t="s">
        <v>35</v>
      </c>
      <c r="D10" s="4" t="s">
        <v>40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44652</v>
      </c>
      <c r="J10" s="6">
        <v>0</v>
      </c>
      <c r="K10" s="6">
        <v>0</v>
      </c>
      <c r="L10" s="6">
        <v>19.21</v>
      </c>
      <c r="M10" s="6">
        <v>19.21</v>
      </c>
      <c r="N10" s="6">
        <v>19.21</v>
      </c>
      <c r="O10" s="6">
        <v>19.21</v>
      </c>
      <c r="P10" s="6">
        <v>0</v>
      </c>
      <c r="Q10" s="4" t="s">
        <v>26</v>
      </c>
      <c r="R10" s="4">
        <v>0</v>
      </c>
      <c r="S10" s="6">
        <v>0</v>
      </c>
      <c r="T10" s="6">
        <v>8</v>
      </c>
      <c r="U10" s="6">
        <v>51</v>
      </c>
      <c r="V10" s="6">
        <f>IF(ISERROR(VLOOKUP($S$10,'TAR FIN'!$A$1:$O$88,15,0)),0,VLOOKUP($S$10,'TAR FIN'!$A$1:$O$88,15,0))</f>
        <v>0</v>
      </c>
      <c r="W10" s="6">
        <f>IF(ISERROR(VLOOKUP($T$10,'TAR FIN'!$A$1:$O$88,15,0)),0,VLOOKUP($T$10,'TAR FIN'!$A$1:$O$88,15,0))</f>
        <v>70.19</v>
      </c>
      <c r="X10" s="6">
        <f>IF(ISERROR(VLOOKUP($U$10,'TAR FIN'!$A$1:$O$88,15,0)),0,VLOOKUP($U$10,'TAR FIN'!$A$1:$O$88,15,0))</f>
        <v>302.62</v>
      </c>
      <c r="Y10" s="6"/>
      <c r="Z10" s="6">
        <f ca="1">('TUSD BE'!$AM$12+'TUSD BF'!$AM$12+'TUSD CVA'!$AM$12)*1</f>
        <v>110.00224235361931</v>
      </c>
      <c r="AA10" s="6">
        <f>('TE BE'!$AB$6+'TE BF'!$AB$6+'TE CVA'!$AB$6)*1</f>
        <v>274.24484099236821</v>
      </c>
      <c r="AB10" s="6">
        <f>$K$10*$V$10</f>
        <v>0</v>
      </c>
      <c r="AC10" s="6">
        <f>$M$10*$W$10</f>
        <v>1348.3498999999999</v>
      </c>
      <c r="AD10" s="6">
        <f>$O$10*$X$10</f>
        <v>5813.3302000000003</v>
      </c>
      <c r="AE10" s="6">
        <f>$K$10*$Y$10</f>
        <v>0</v>
      </c>
      <c r="AF10" s="6">
        <f ca="1">$M$10*$Z$10</f>
        <v>2113.1430756130271</v>
      </c>
      <c r="AG10" s="6">
        <f>$O$10*$AA$10</f>
        <v>5268.2433954633934</v>
      </c>
    </row>
    <row r="11" spans="1:50" ht="11.25" customHeight="1" x14ac:dyDescent="0.25">
      <c r="A11" s="4" t="s">
        <v>21</v>
      </c>
      <c r="B11" s="4" t="s">
        <v>34</v>
      </c>
      <c r="C11" s="4" t="s">
        <v>35</v>
      </c>
      <c r="D11" s="4" t="s">
        <v>40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44682</v>
      </c>
      <c r="J11" s="6">
        <v>0</v>
      </c>
      <c r="K11" s="6">
        <v>0</v>
      </c>
      <c r="L11" s="6">
        <v>21.516999999999999</v>
      </c>
      <c r="M11" s="6">
        <v>21.516999999999999</v>
      </c>
      <c r="N11" s="6">
        <v>21.516999999999999</v>
      </c>
      <c r="O11" s="6">
        <v>21.516999999999999</v>
      </c>
      <c r="P11" s="6">
        <v>0</v>
      </c>
      <c r="Q11" s="4" t="s">
        <v>26</v>
      </c>
      <c r="R11" s="4">
        <v>0</v>
      </c>
      <c r="S11" s="6">
        <v>0</v>
      </c>
      <c r="T11" s="6">
        <v>8</v>
      </c>
      <c r="U11" s="6">
        <v>51</v>
      </c>
      <c r="V11" s="6">
        <f>IF(ISERROR(VLOOKUP($S$11,'TAR FIN'!$A$1:$O$88,15,0)),0,VLOOKUP($S$11,'TAR FIN'!$A$1:$O$88,15,0))</f>
        <v>0</v>
      </c>
      <c r="W11" s="6">
        <f>IF(ISERROR(VLOOKUP($T$11,'TAR FIN'!$A$1:$O$88,15,0)),0,VLOOKUP($T$11,'TAR FIN'!$A$1:$O$88,15,0))</f>
        <v>70.19</v>
      </c>
      <c r="X11" s="6">
        <f>IF(ISERROR(VLOOKUP($U$11,'TAR FIN'!$A$1:$O$88,15,0)),0,VLOOKUP($U$11,'TAR FIN'!$A$1:$O$88,15,0))</f>
        <v>302.62</v>
      </c>
      <c r="Y11" s="6"/>
      <c r="Z11" s="6">
        <f ca="1">('TUSD BE'!$AM$12+'TUSD BF'!$AM$12+'TUSD CVA'!$AM$12)*1</f>
        <v>110.00224235361931</v>
      </c>
      <c r="AA11" s="6">
        <f>('TE BE'!$AB$6+'TE BF'!$AB$6+'TE CVA'!$AB$6)*1</f>
        <v>274.24484099236821</v>
      </c>
      <c r="AB11" s="6">
        <f>$K$11*$V$11</f>
        <v>0</v>
      </c>
      <c r="AC11" s="6">
        <f>$M$11*$W$11</f>
        <v>1510.2782299999999</v>
      </c>
      <c r="AD11" s="6">
        <f>$O$11*$X$11</f>
        <v>6511.4745400000002</v>
      </c>
      <c r="AE11" s="6">
        <f>$K$11*$Y$11</f>
        <v>0</v>
      </c>
      <c r="AF11" s="6">
        <f ca="1">$M$11*$Z$11</f>
        <v>2366.9182487228268</v>
      </c>
      <c r="AG11" s="6">
        <f>$O$11*$AA$11</f>
        <v>5900.9262436327863</v>
      </c>
    </row>
    <row r="12" spans="1:50" ht="11.25" customHeight="1" x14ac:dyDescent="0.25">
      <c r="A12" s="4" t="s">
        <v>21</v>
      </c>
      <c r="B12" s="4" t="s">
        <v>34</v>
      </c>
      <c r="C12" s="4" t="s">
        <v>35</v>
      </c>
      <c r="D12" s="4" t="s">
        <v>40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44713</v>
      </c>
      <c r="J12" s="6">
        <v>0</v>
      </c>
      <c r="K12" s="6">
        <v>0</v>
      </c>
      <c r="L12" s="6">
        <v>20.657</v>
      </c>
      <c r="M12" s="6">
        <v>20.657</v>
      </c>
      <c r="N12" s="6">
        <v>20.657</v>
      </c>
      <c r="O12" s="6">
        <v>20.657</v>
      </c>
      <c r="P12" s="6">
        <v>0</v>
      </c>
      <c r="Q12" s="4" t="s">
        <v>26</v>
      </c>
      <c r="R12" s="4">
        <v>0</v>
      </c>
      <c r="S12" s="6">
        <v>0</v>
      </c>
      <c r="T12" s="6">
        <v>8</v>
      </c>
      <c r="U12" s="6">
        <v>51</v>
      </c>
      <c r="V12" s="6">
        <f>IF(ISERROR(VLOOKUP($S$12,'TAR FIN'!$A$1:$O$88,15,0)),0,VLOOKUP($S$12,'TAR FIN'!$A$1:$O$88,15,0))</f>
        <v>0</v>
      </c>
      <c r="W12" s="6">
        <f>IF(ISERROR(VLOOKUP($T$12,'TAR FIN'!$A$1:$O$88,15,0)),0,VLOOKUP($T$12,'TAR FIN'!$A$1:$O$88,15,0))</f>
        <v>70.19</v>
      </c>
      <c r="X12" s="6">
        <f>IF(ISERROR(VLOOKUP($U$12,'TAR FIN'!$A$1:$O$88,15,0)),0,VLOOKUP($U$12,'TAR FIN'!$A$1:$O$88,15,0))</f>
        <v>302.62</v>
      </c>
      <c r="Y12" s="6"/>
      <c r="Z12" s="6">
        <f ca="1">('TUSD BE'!$AM$12+'TUSD BF'!$AM$12+'TUSD CVA'!$AM$12)*1</f>
        <v>110.00224235361931</v>
      </c>
      <c r="AA12" s="6">
        <f>('TE BE'!$AB$6+'TE BF'!$AB$6+'TE CVA'!$AB$6)*1</f>
        <v>274.24484099236821</v>
      </c>
      <c r="AB12" s="6">
        <f>$K$12*$V$12</f>
        <v>0</v>
      </c>
      <c r="AC12" s="6">
        <f>$M$12*$W$12</f>
        <v>1449.9148299999999</v>
      </c>
      <c r="AD12" s="6">
        <f>$O$12*$X$12</f>
        <v>6251.2213400000001</v>
      </c>
      <c r="AE12" s="6">
        <f>$K$12*$Y$12</f>
        <v>0</v>
      </c>
      <c r="AF12" s="6">
        <f ca="1">$M$12*$Z$12</f>
        <v>2272.3163202987139</v>
      </c>
      <c r="AG12" s="6">
        <f>$O$12*$AA$12</f>
        <v>5665.0756803793502</v>
      </c>
    </row>
    <row r="13" spans="1:50" ht="11.25" customHeight="1" x14ac:dyDescent="0.25">
      <c r="A13" s="4" t="s">
        <v>21</v>
      </c>
      <c r="B13" s="4" t="s">
        <v>34</v>
      </c>
      <c r="C13" s="4" t="s">
        <v>35</v>
      </c>
      <c r="D13" s="4" t="s">
        <v>40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44743</v>
      </c>
      <c r="J13" s="6">
        <v>0</v>
      </c>
      <c r="K13" s="6">
        <v>0</v>
      </c>
      <c r="L13" s="6">
        <v>20.9</v>
      </c>
      <c r="M13" s="6">
        <v>20.9</v>
      </c>
      <c r="N13" s="6">
        <v>20.9</v>
      </c>
      <c r="O13" s="6">
        <v>20.9</v>
      </c>
      <c r="P13" s="6">
        <v>0</v>
      </c>
      <c r="Q13" s="4" t="s">
        <v>26</v>
      </c>
      <c r="R13" s="4">
        <v>0</v>
      </c>
      <c r="S13" s="6">
        <v>0</v>
      </c>
      <c r="T13" s="6">
        <v>8</v>
      </c>
      <c r="U13" s="6">
        <v>51</v>
      </c>
      <c r="V13" s="6">
        <f>IF(ISERROR(VLOOKUP($S$13,'TAR FIN'!$A$1:$O$88,15,0)),0,VLOOKUP($S$13,'TAR FIN'!$A$1:$O$88,15,0))</f>
        <v>0</v>
      </c>
      <c r="W13" s="6">
        <f>IF(ISERROR(VLOOKUP($T$13,'TAR FIN'!$A$1:$O$88,15,0)),0,VLOOKUP($T$13,'TAR FIN'!$A$1:$O$88,15,0))</f>
        <v>70.19</v>
      </c>
      <c r="X13" s="6">
        <f>IF(ISERROR(VLOOKUP($U$13,'TAR FIN'!$A$1:$O$88,15,0)),0,VLOOKUP($U$13,'TAR FIN'!$A$1:$O$88,15,0))</f>
        <v>302.62</v>
      </c>
      <c r="Y13" s="6"/>
      <c r="Z13" s="6">
        <f ca="1">('TUSD BE'!$AM$12+'TUSD BF'!$AM$12+'TUSD CVA'!$AM$12)*1</f>
        <v>110.00224235361931</v>
      </c>
      <c r="AA13" s="6">
        <f>('TE BE'!$AB$6+'TE BF'!$AB$6+'TE CVA'!$AB$6)*1</f>
        <v>274.24484099236821</v>
      </c>
      <c r="AB13" s="6">
        <f>$K$13*$V$13</f>
        <v>0</v>
      </c>
      <c r="AC13" s="6">
        <f>$M$13*$W$13</f>
        <v>1466.9709999999998</v>
      </c>
      <c r="AD13" s="6">
        <f>$O$13*$X$13</f>
        <v>6324.7579999999998</v>
      </c>
      <c r="AE13" s="6">
        <f>$K$13*$Y$13</f>
        <v>0</v>
      </c>
      <c r="AF13" s="6">
        <f ca="1">$M$13*$Z$13</f>
        <v>2299.0468651906435</v>
      </c>
      <c r="AG13" s="6">
        <f>$O$13*$AA$13</f>
        <v>5731.7171767404952</v>
      </c>
    </row>
    <row r="14" spans="1:50" ht="11.25" customHeight="1" x14ac:dyDescent="0.25">
      <c r="A14" s="4" t="s">
        <v>21</v>
      </c>
      <c r="B14" s="4" t="s">
        <v>34</v>
      </c>
      <c r="C14" s="4" t="s">
        <v>35</v>
      </c>
      <c r="D14" s="4" t="s">
        <v>40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44409</v>
      </c>
      <c r="J14" s="6">
        <v>267</v>
      </c>
      <c r="K14" s="6">
        <v>267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4" t="s">
        <v>26</v>
      </c>
      <c r="R14" s="4">
        <v>0</v>
      </c>
      <c r="S14" s="6">
        <v>6</v>
      </c>
      <c r="T14" s="6">
        <v>0</v>
      </c>
      <c r="U14" s="6">
        <v>0</v>
      </c>
      <c r="V14" s="6">
        <f>IF(ISERROR(VLOOKUP($S$14,'TAR FIN'!$A$1:$O$88,15,0)),0,VLOOKUP($S$14,'TAR FIN'!$A$1:$O$88,15,0))</f>
        <v>20.43</v>
      </c>
      <c r="W14" s="6">
        <f>IF(ISERROR(VLOOKUP($T$14,'TAR FIN'!$A$1:$O$88,15,0)),0,VLOOKUP($T$14,'TAR FIN'!$A$1:$O$88,15,0))</f>
        <v>0</v>
      </c>
      <c r="X14" s="6">
        <f>IF(ISERROR(VLOOKUP($U$14,'TAR FIN'!$A$1:$O$88,15,0)),0,VLOOKUP($U$14,'TAR FIN'!$A$1:$O$88,15,0))</f>
        <v>0</v>
      </c>
      <c r="Y14" s="6">
        <f ca="1">('TUSD BE'!$AM$10+'TUSD BF'!$AM$10+'TUSD CVA'!$AM$10)*1</f>
        <v>17.702312702839738</v>
      </c>
      <c r="Z14" s="6"/>
      <c r="AA14" s="6"/>
      <c r="AB14" s="6">
        <f>$K$14*$V$14</f>
        <v>5454.8099999999995</v>
      </c>
      <c r="AC14" s="6">
        <f>$M$14*$W$14</f>
        <v>0</v>
      </c>
      <c r="AD14" s="6">
        <f>$O$14*$X$14</f>
        <v>0</v>
      </c>
      <c r="AE14" s="6">
        <f ca="1">$K$14*$Y$14</f>
        <v>4726.51749165821</v>
      </c>
      <c r="AF14" s="6">
        <f>$M$14*$Z$14</f>
        <v>0</v>
      </c>
      <c r="AG14" s="6">
        <f>$O$14*$AA$14</f>
        <v>0</v>
      </c>
    </row>
    <row r="15" spans="1:50" ht="11.25" customHeight="1" x14ac:dyDescent="0.25">
      <c r="A15" s="4" t="s">
        <v>21</v>
      </c>
      <c r="B15" s="4" t="s">
        <v>34</v>
      </c>
      <c r="C15" s="4" t="s">
        <v>35</v>
      </c>
      <c r="D15" s="4" t="s">
        <v>40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44440</v>
      </c>
      <c r="J15" s="6">
        <v>294</v>
      </c>
      <c r="K15" s="6">
        <v>294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4" t="s">
        <v>26</v>
      </c>
      <c r="R15" s="4">
        <v>0</v>
      </c>
      <c r="S15" s="6">
        <v>6</v>
      </c>
      <c r="T15" s="6">
        <v>0</v>
      </c>
      <c r="U15" s="6">
        <v>0</v>
      </c>
      <c r="V15" s="6">
        <f>IF(ISERROR(VLOOKUP($S$15,'TAR FIN'!$A$1:$O$88,15,0)),0,VLOOKUP($S$15,'TAR FIN'!$A$1:$O$88,15,0))</f>
        <v>20.43</v>
      </c>
      <c r="W15" s="6">
        <f>IF(ISERROR(VLOOKUP($T$15,'TAR FIN'!$A$1:$O$88,15,0)),0,VLOOKUP($T$15,'TAR FIN'!$A$1:$O$88,15,0))</f>
        <v>0</v>
      </c>
      <c r="X15" s="6">
        <f>IF(ISERROR(VLOOKUP($U$15,'TAR FIN'!$A$1:$O$88,15,0)),0,VLOOKUP($U$15,'TAR FIN'!$A$1:$O$88,15,0))</f>
        <v>0</v>
      </c>
      <c r="Y15" s="6">
        <f ca="1">('TUSD BE'!$AM$10+'TUSD BF'!$AM$10+'TUSD CVA'!$AM$10)*1</f>
        <v>17.702312702839738</v>
      </c>
      <c r="Z15" s="6"/>
      <c r="AA15" s="6"/>
      <c r="AB15" s="6">
        <f>$K$15*$V$15</f>
        <v>6006.42</v>
      </c>
      <c r="AC15" s="6">
        <f>$M$15*$W$15</f>
        <v>0</v>
      </c>
      <c r="AD15" s="6">
        <f>$O$15*$X$15</f>
        <v>0</v>
      </c>
      <c r="AE15" s="6">
        <f ca="1">$K$15*$Y$15</f>
        <v>5204.4799346348827</v>
      </c>
      <c r="AF15" s="6">
        <f>$M$15*$Z$15</f>
        <v>0</v>
      </c>
      <c r="AG15" s="6">
        <f>$O$15*$AA$15</f>
        <v>0</v>
      </c>
    </row>
    <row r="16" spans="1:50" ht="11.25" customHeight="1" x14ac:dyDescent="0.25">
      <c r="A16" s="4" t="s">
        <v>21</v>
      </c>
      <c r="B16" s="4" t="s">
        <v>34</v>
      </c>
      <c r="C16" s="4" t="s">
        <v>35</v>
      </c>
      <c r="D16" s="4" t="s">
        <v>40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44470</v>
      </c>
      <c r="J16" s="6">
        <v>180</v>
      </c>
      <c r="K16" s="6">
        <v>180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4" t="s">
        <v>26</v>
      </c>
      <c r="R16" s="4">
        <v>0</v>
      </c>
      <c r="S16" s="6">
        <v>6</v>
      </c>
      <c r="T16" s="6">
        <v>0</v>
      </c>
      <c r="U16" s="6">
        <v>0</v>
      </c>
      <c r="V16" s="6">
        <f>IF(ISERROR(VLOOKUP($S$16,'TAR FIN'!$A$1:$O$88,15,0)),0,VLOOKUP($S$16,'TAR FIN'!$A$1:$O$88,15,0))</f>
        <v>20.43</v>
      </c>
      <c r="W16" s="6">
        <f>IF(ISERROR(VLOOKUP($T$16,'TAR FIN'!$A$1:$O$88,15,0)),0,VLOOKUP($T$16,'TAR FIN'!$A$1:$O$88,15,0))</f>
        <v>0</v>
      </c>
      <c r="X16" s="6">
        <f>IF(ISERROR(VLOOKUP($U$16,'TAR FIN'!$A$1:$O$88,15,0)),0,VLOOKUP($U$16,'TAR FIN'!$A$1:$O$88,15,0))</f>
        <v>0</v>
      </c>
      <c r="Y16" s="6">
        <f ca="1">('TUSD BE'!$AM$10+'TUSD BF'!$AM$10+'TUSD CVA'!$AM$10)*1</f>
        <v>17.702312702839738</v>
      </c>
      <c r="Z16" s="6"/>
      <c r="AA16" s="6"/>
      <c r="AB16" s="6">
        <f>$K$16*$V$16</f>
        <v>3677.4</v>
      </c>
      <c r="AC16" s="6">
        <f>$M$16*$W$16</f>
        <v>0</v>
      </c>
      <c r="AD16" s="6">
        <f>$O$16*$X$16</f>
        <v>0</v>
      </c>
      <c r="AE16" s="6">
        <f ca="1">$K$16*$Y$16</f>
        <v>3186.416286511153</v>
      </c>
      <c r="AF16" s="6">
        <f>$M$16*$Z$16</f>
        <v>0</v>
      </c>
      <c r="AG16" s="6">
        <f>$O$16*$AA$16</f>
        <v>0</v>
      </c>
    </row>
    <row r="17" spans="1:33" ht="11.25" customHeight="1" x14ac:dyDescent="0.25">
      <c r="A17" s="4" t="s">
        <v>21</v>
      </c>
      <c r="B17" s="4" t="s">
        <v>34</v>
      </c>
      <c r="C17" s="4" t="s">
        <v>35</v>
      </c>
      <c r="D17" s="4" t="s">
        <v>40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44501</v>
      </c>
      <c r="J17" s="6">
        <v>221</v>
      </c>
      <c r="K17" s="6">
        <v>221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4" t="s">
        <v>26</v>
      </c>
      <c r="R17" s="4">
        <v>0</v>
      </c>
      <c r="S17" s="6">
        <v>6</v>
      </c>
      <c r="T17" s="6">
        <v>0</v>
      </c>
      <c r="U17" s="6">
        <v>0</v>
      </c>
      <c r="V17" s="6">
        <f>IF(ISERROR(VLOOKUP($S$17,'TAR FIN'!$A$1:$O$88,15,0)),0,VLOOKUP($S$17,'TAR FIN'!$A$1:$O$88,15,0))</f>
        <v>20.43</v>
      </c>
      <c r="W17" s="6">
        <f>IF(ISERROR(VLOOKUP($T$17,'TAR FIN'!$A$1:$O$88,15,0)),0,VLOOKUP($T$17,'TAR FIN'!$A$1:$O$88,15,0))</f>
        <v>0</v>
      </c>
      <c r="X17" s="6">
        <f>IF(ISERROR(VLOOKUP($U$17,'TAR FIN'!$A$1:$O$88,15,0)),0,VLOOKUP($U$17,'TAR FIN'!$A$1:$O$88,15,0))</f>
        <v>0</v>
      </c>
      <c r="Y17" s="6">
        <f ca="1">('TUSD BE'!$AM$10+'TUSD BF'!$AM$10+'TUSD CVA'!$AM$10)*1</f>
        <v>17.702312702839738</v>
      </c>
      <c r="Z17" s="6"/>
      <c r="AA17" s="6"/>
      <c r="AB17" s="6">
        <f>$K$17*$V$17</f>
        <v>4515.03</v>
      </c>
      <c r="AC17" s="6">
        <f>$M$17*$W$17</f>
        <v>0</v>
      </c>
      <c r="AD17" s="6">
        <f>$O$17*$X$17</f>
        <v>0</v>
      </c>
      <c r="AE17" s="6">
        <f ca="1">$K$17*$Y$17</f>
        <v>3912.2111073275819</v>
      </c>
      <c r="AF17" s="6">
        <f>$M$17*$Z$17</f>
        <v>0</v>
      </c>
      <c r="AG17" s="6">
        <f>$O$17*$AA$17</f>
        <v>0</v>
      </c>
    </row>
    <row r="18" spans="1:33" ht="11.25" customHeight="1" x14ac:dyDescent="0.25">
      <c r="A18" s="4" t="s">
        <v>21</v>
      </c>
      <c r="B18" s="4" t="s">
        <v>34</v>
      </c>
      <c r="C18" s="4" t="s">
        <v>35</v>
      </c>
      <c r="D18" s="4" t="s">
        <v>40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44531</v>
      </c>
      <c r="J18" s="6">
        <v>166</v>
      </c>
      <c r="K18" s="6">
        <v>166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6">
        <v>6</v>
      </c>
      <c r="T18" s="6">
        <v>0</v>
      </c>
      <c r="U18" s="6">
        <v>0</v>
      </c>
      <c r="V18" s="6">
        <f>IF(ISERROR(VLOOKUP($S$18,'TAR FIN'!$A$1:$O$88,15,0)),0,VLOOKUP($S$18,'TAR FIN'!$A$1:$O$88,15,0))</f>
        <v>20.43</v>
      </c>
      <c r="W18" s="6">
        <f>IF(ISERROR(VLOOKUP($T$18,'TAR FIN'!$A$1:$O$88,15,0)),0,VLOOKUP($T$18,'TAR FIN'!$A$1:$O$88,15,0))</f>
        <v>0</v>
      </c>
      <c r="X18" s="6">
        <f>IF(ISERROR(VLOOKUP($U$18,'TAR FIN'!$A$1:$O$88,15,0)),0,VLOOKUP($U$18,'TAR FIN'!$A$1:$O$88,15,0))</f>
        <v>0</v>
      </c>
      <c r="Y18" s="6">
        <f ca="1">('TUSD BE'!$AM$10+'TUSD BF'!$AM$10+'TUSD CVA'!$AM$10)*1</f>
        <v>17.702312702839738</v>
      </c>
      <c r="Z18" s="6"/>
      <c r="AA18" s="6"/>
      <c r="AB18" s="6">
        <f>$K$18*$V$18</f>
        <v>3391.38</v>
      </c>
      <c r="AC18" s="6">
        <f>$M$18*$W$18</f>
        <v>0</v>
      </c>
      <c r="AD18" s="6">
        <f>$O$18*$X$18</f>
        <v>0</v>
      </c>
      <c r="AE18" s="6">
        <f ca="1">$K$18*$Y$18</f>
        <v>2938.5839086713963</v>
      </c>
      <c r="AF18" s="6">
        <f>$M$18*$Z$18</f>
        <v>0</v>
      </c>
      <c r="AG18" s="6">
        <f>$O$18*$AA$18</f>
        <v>0</v>
      </c>
    </row>
    <row r="19" spans="1:33" ht="11.25" customHeight="1" x14ac:dyDescent="0.25">
      <c r="A19" s="4" t="s">
        <v>21</v>
      </c>
      <c r="B19" s="4" t="s">
        <v>34</v>
      </c>
      <c r="C19" s="4" t="s">
        <v>35</v>
      </c>
      <c r="D19" s="4" t="s">
        <v>40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44562</v>
      </c>
      <c r="J19" s="6">
        <v>125</v>
      </c>
      <c r="K19" s="6">
        <v>125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6">
        <v>6</v>
      </c>
      <c r="T19" s="6">
        <v>0</v>
      </c>
      <c r="U19" s="6">
        <v>0</v>
      </c>
      <c r="V19" s="6">
        <f>IF(ISERROR(VLOOKUP($S$19,'TAR FIN'!$A$1:$O$88,15,0)),0,VLOOKUP($S$19,'TAR FIN'!$A$1:$O$88,15,0))</f>
        <v>20.43</v>
      </c>
      <c r="W19" s="6">
        <f>IF(ISERROR(VLOOKUP($T$19,'TAR FIN'!$A$1:$O$88,15,0)),0,VLOOKUP($T$19,'TAR FIN'!$A$1:$O$88,15,0))</f>
        <v>0</v>
      </c>
      <c r="X19" s="6">
        <f>IF(ISERROR(VLOOKUP($U$19,'TAR FIN'!$A$1:$O$88,15,0)),0,VLOOKUP($U$19,'TAR FIN'!$A$1:$O$88,15,0))</f>
        <v>0</v>
      </c>
      <c r="Y19" s="6">
        <f ca="1">('TUSD BE'!$AM$10+'TUSD BF'!$AM$10+'TUSD CVA'!$AM$10)*1</f>
        <v>17.702312702839738</v>
      </c>
      <c r="Z19" s="6"/>
      <c r="AA19" s="6"/>
      <c r="AB19" s="6">
        <f>$K$19*$V$19</f>
        <v>2553.75</v>
      </c>
      <c r="AC19" s="6">
        <f>$M$19*$W$19</f>
        <v>0</v>
      </c>
      <c r="AD19" s="6">
        <f>$O$19*$X$19</f>
        <v>0</v>
      </c>
      <c r="AE19" s="6">
        <f ca="1">$K$19*$Y$19</f>
        <v>2212.7890878549674</v>
      </c>
      <c r="AF19" s="6">
        <f>$M$19*$Z$19</f>
        <v>0</v>
      </c>
      <c r="AG19" s="6">
        <f>$O$19*$AA$19</f>
        <v>0</v>
      </c>
    </row>
    <row r="20" spans="1:33" ht="11.25" customHeight="1" x14ac:dyDescent="0.25">
      <c r="A20" s="4" t="s">
        <v>21</v>
      </c>
      <c r="B20" s="4" t="s">
        <v>34</v>
      </c>
      <c r="C20" s="4" t="s">
        <v>35</v>
      </c>
      <c r="D20" s="4" t="s">
        <v>40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44593</v>
      </c>
      <c r="J20" s="6">
        <v>148</v>
      </c>
      <c r="K20" s="6">
        <v>148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6">
        <v>6</v>
      </c>
      <c r="T20" s="6">
        <v>0</v>
      </c>
      <c r="U20" s="6">
        <v>0</v>
      </c>
      <c r="V20" s="6">
        <f>IF(ISERROR(VLOOKUP($S$20,'TAR FIN'!$A$1:$O$88,15,0)),0,VLOOKUP($S$20,'TAR FIN'!$A$1:$O$88,15,0))</f>
        <v>20.43</v>
      </c>
      <c r="W20" s="6">
        <f>IF(ISERROR(VLOOKUP($T$20,'TAR FIN'!$A$1:$O$88,15,0)),0,VLOOKUP($T$20,'TAR FIN'!$A$1:$O$88,15,0))</f>
        <v>0</v>
      </c>
      <c r="X20" s="6">
        <f>IF(ISERROR(VLOOKUP($U$20,'TAR FIN'!$A$1:$O$88,15,0)),0,VLOOKUP($U$20,'TAR FIN'!$A$1:$O$88,15,0))</f>
        <v>0</v>
      </c>
      <c r="Y20" s="6">
        <f ca="1">('TUSD BE'!$AM$10+'TUSD BF'!$AM$10+'TUSD CVA'!$AM$10)*1</f>
        <v>17.702312702839738</v>
      </c>
      <c r="Z20" s="6"/>
      <c r="AA20" s="6"/>
      <c r="AB20" s="6">
        <f>$K$20*$V$20</f>
        <v>3023.64</v>
      </c>
      <c r="AC20" s="6">
        <f>$M$20*$W$20</f>
        <v>0</v>
      </c>
      <c r="AD20" s="6">
        <f>$O$20*$X$20</f>
        <v>0</v>
      </c>
      <c r="AE20" s="6">
        <f ca="1">$K$20*$Y$20</f>
        <v>2619.942280020281</v>
      </c>
      <c r="AF20" s="6">
        <f>$M$20*$Z$20</f>
        <v>0</v>
      </c>
      <c r="AG20" s="6">
        <f>$O$20*$AA$20</f>
        <v>0</v>
      </c>
    </row>
    <row r="21" spans="1:33" ht="11.25" customHeight="1" x14ac:dyDescent="0.25">
      <c r="A21" s="4" t="s">
        <v>21</v>
      </c>
      <c r="B21" s="4" t="s">
        <v>34</v>
      </c>
      <c r="C21" s="4" t="s">
        <v>35</v>
      </c>
      <c r="D21" s="4" t="s">
        <v>40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44621</v>
      </c>
      <c r="J21" s="6">
        <v>158</v>
      </c>
      <c r="K21" s="6">
        <v>158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6">
        <v>6</v>
      </c>
      <c r="T21" s="6">
        <v>0</v>
      </c>
      <c r="U21" s="6">
        <v>0</v>
      </c>
      <c r="V21" s="6">
        <f>IF(ISERROR(VLOOKUP($S$21,'TAR FIN'!$A$1:$O$88,15,0)),0,VLOOKUP($S$21,'TAR FIN'!$A$1:$O$88,15,0))</f>
        <v>20.43</v>
      </c>
      <c r="W21" s="6">
        <f>IF(ISERROR(VLOOKUP($T$21,'TAR FIN'!$A$1:$O$88,15,0)),0,VLOOKUP($T$21,'TAR FIN'!$A$1:$O$88,15,0))</f>
        <v>0</v>
      </c>
      <c r="X21" s="6">
        <f>IF(ISERROR(VLOOKUP($U$21,'TAR FIN'!$A$1:$O$88,15,0)),0,VLOOKUP($U$21,'TAR FIN'!$A$1:$O$88,15,0))</f>
        <v>0</v>
      </c>
      <c r="Y21" s="6">
        <f ca="1">('TUSD BE'!$AM$10+'TUSD BF'!$AM$10+'TUSD CVA'!$AM$10)*1</f>
        <v>17.702312702839738</v>
      </c>
      <c r="Z21" s="6"/>
      <c r="AA21" s="6"/>
      <c r="AB21" s="6">
        <f>$K$21*$V$21</f>
        <v>3227.94</v>
      </c>
      <c r="AC21" s="6">
        <f>$M$21*$W$21</f>
        <v>0</v>
      </c>
      <c r="AD21" s="6">
        <f>$O$21*$X$21</f>
        <v>0</v>
      </c>
      <c r="AE21" s="6">
        <f ca="1">$K$21*$Y$21</f>
        <v>2796.9654070486786</v>
      </c>
      <c r="AF21" s="6">
        <f>$M$21*$Z$21</f>
        <v>0</v>
      </c>
      <c r="AG21" s="6">
        <f>$O$21*$AA$21</f>
        <v>0</v>
      </c>
    </row>
    <row r="22" spans="1:33" ht="11.25" customHeight="1" x14ac:dyDescent="0.25">
      <c r="A22" s="4" t="s">
        <v>21</v>
      </c>
      <c r="B22" s="4" t="s">
        <v>34</v>
      </c>
      <c r="C22" s="4" t="s">
        <v>35</v>
      </c>
      <c r="D22" s="4" t="s">
        <v>40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44652</v>
      </c>
      <c r="J22" s="6">
        <v>142</v>
      </c>
      <c r="K22" s="6">
        <v>142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6">
        <v>6</v>
      </c>
      <c r="T22" s="6">
        <v>0</v>
      </c>
      <c r="U22" s="6">
        <v>0</v>
      </c>
      <c r="V22" s="6">
        <f>IF(ISERROR(VLOOKUP($S$22,'TAR FIN'!$A$1:$O$88,15,0)),0,VLOOKUP($S$22,'TAR FIN'!$A$1:$O$88,15,0))</f>
        <v>20.43</v>
      </c>
      <c r="W22" s="6">
        <f>IF(ISERROR(VLOOKUP($T$22,'TAR FIN'!$A$1:$O$88,15,0)),0,VLOOKUP($T$22,'TAR FIN'!$A$1:$O$88,15,0))</f>
        <v>0</v>
      </c>
      <c r="X22" s="6">
        <f>IF(ISERROR(VLOOKUP($U$22,'TAR FIN'!$A$1:$O$88,15,0)),0,VLOOKUP($U$22,'TAR FIN'!$A$1:$O$88,15,0))</f>
        <v>0</v>
      </c>
      <c r="Y22" s="6">
        <f ca="1">('TUSD BE'!$AM$10+'TUSD BF'!$AM$10+'TUSD CVA'!$AM$10)*1</f>
        <v>17.702312702839738</v>
      </c>
      <c r="Z22" s="6"/>
      <c r="AA22" s="6"/>
      <c r="AB22" s="6">
        <f>$K$22*$V$22</f>
        <v>2901.06</v>
      </c>
      <c r="AC22" s="6">
        <f>$M$22*$W$22</f>
        <v>0</v>
      </c>
      <c r="AD22" s="6">
        <f>$O$22*$X$22</f>
        <v>0</v>
      </c>
      <c r="AE22" s="6">
        <f ca="1">$K$22*$Y$22</f>
        <v>2513.7284038032426</v>
      </c>
      <c r="AF22" s="6">
        <f>$M$22*$Z$22</f>
        <v>0</v>
      </c>
      <c r="AG22" s="6">
        <f>$O$22*$AA$22</f>
        <v>0</v>
      </c>
    </row>
    <row r="23" spans="1:33" ht="11.25" customHeight="1" x14ac:dyDescent="0.25">
      <c r="A23" s="4" t="s">
        <v>21</v>
      </c>
      <c r="B23" s="4" t="s">
        <v>34</v>
      </c>
      <c r="C23" s="4" t="s">
        <v>35</v>
      </c>
      <c r="D23" s="4" t="s">
        <v>40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44682</v>
      </c>
      <c r="J23" s="6">
        <v>142</v>
      </c>
      <c r="K23" s="6">
        <v>142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6">
        <v>6</v>
      </c>
      <c r="T23" s="6">
        <v>0</v>
      </c>
      <c r="U23" s="6">
        <v>0</v>
      </c>
      <c r="V23" s="6">
        <f>IF(ISERROR(VLOOKUP($S$23,'TAR FIN'!$A$1:$O$88,15,0)),0,VLOOKUP($S$23,'TAR FIN'!$A$1:$O$88,15,0))</f>
        <v>20.43</v>
      </c>
      <c r="W23" s="6">
        <f>IF(ISERROR(VLOOKUP($T$23,'TAR FIN'!$A$1:$O$88,15,0)),0,VLOOKUP($T$23,'TAR FIN'!$A$1:$O$88,15,0))</f>
        <v>0</v>
      </c>
      <c r="X23" s="6">
        <f>IF(ISERROR(VLOOKUP($U$23,'TAR FIN'!$A$1:$O$88,15,0)),0,VLOOKUP($U$23,'TAR FIN'!$A$1:$O$88,15,0))</f>
        <v>0</v>
      </c>
      <c r="Y23" s="6">
        <f ca="1">('TUSD BE'!$AM$10+'TUSD BF'!$AM$10+'TUSD CVA'!$AM$10)*1</f>
        <v>17.702312702839738</v>
      </c>
      <c r="Z23" s="6"/>
      <c r="AA23" s="6"/>
      <c r="AB23" s="6">
        <f>$K$23*$V$23</f>
        <v>2901.06</v>
      </c>
      <c r="AC23" s="6">
        <f>$M$23*$W$23</f>
        <v>0</v>
      </c>
      <c r="AD23" s="6">
        <f>$O$23*$X$23</f>
        <v>0</v>
      </c>
      <c r="AE23" s="6">
        <f ca="1">$K$23*$Y$23</f>
        <v>2513.7284038032426</v>
      </c>
      <c r="AF23" s="6">
        <f>$M$23*$Z$23</f>
        <v>0</v>
      </c>
      <c r="AG23" s="6">
        <f>$O$23*$AA$23</f>
        <v>0</v>
      </c>
    </row>
    <row r="24" spans="1:33" ht="11.25" customHeight="1" x14ac:dyDescent="0.25">
      <c r="A24" s="4" t="s">
        <v>21</v>
      </c>
      <c r="B24" s="4" t="s">
        <v>34</v>
      </c>
      <c r="C24" s="4" t="s">
        <v>35</v>
      </c>
      <c r="D24" s="4" t="s">
        <v>40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44713</v>
      </c>
      <c r="J24" s="6">
        <v>172</v>
      </c>
      <c r="K24" s="6">
        <v>172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6">
        <v>6</v>
      </c>
      <c r="T24" s="6">
        <v>0</v>
      </c>
      <c r="U24" s="6">
        <v>0</v>
      </c>
      <c r="V24" s="6">
        <f>IF(ISERROR(VLOOKUP($S$24,'TAR FIN'!$A$1:$O$88,15,0)),0,VLOOKUP($S$24,'TAR FIN'!$A$1:$O$88,15,0))</f>
        <v>20.43</v>
      </c>
      <c r="W24" s="6">
        <f>IF(ISERROR(VLOOKUP($T$24,'TAR FIN'!$A$1:$O$88,15,0)),0,VLOOKUP($T$24,'TAR FIN'!$A$1:$O$88,15,0))</f>
        <v>0</v>
      </c>
      <c r="X24" s="6">
        <f>IF(ISERROR(VLOOKUP($U$24,'TAR FIN'!$A$1:$O$88,15,0)),0,VLOOKUP($U$24,'TAR FIN'!$A$1:$O$88,15,0))</f>
        <v>0</v>
      </c>
      <c r="Y24" s="6">
        <f ca="1">('TUSD BE'!$AM$10+'TUSD BF'!$AM$10+'TUSD CVA'!$AM$10)*1</f>
        <v>17.702312702839738</v>
      </c>
      <c r="Z24" s="6"/>
      <c r="AA24" s="6"/>
      <c r="AB24" s="6">
        <f>$K$24*$V$24</f>
        <v>3513.96</v>
      </c>
      <c r="AC24" s="6">
        <f>$M$24*$W$24</f>
        <v>0</v>
      </c>
      <c r="AD24" s="6">
        <f>$O$24*$X$24</f>
        <v>0</v>
      </c>
      <c r="AE24" s="6">
        <f ca="1">$K$24*$Y$24</f>
        <v>3044.7977848884348</v>
      </c>
      <c r="AF24" s="6">
        <f>$M$24*$Z$24</f>
        <v>0</v>
      </c>
      <c r="AG24" s="6">
        <f>$O$24*$AA$24</f>
        <v>0</v>
      </c>
    </row>
    <row r="25" spans="1:33" ht="11.25" customHeight="1" x14ac:dyDescent="0.25">
      <c r="A25" s="4" t="s">
        <v>21</v>
      </c>
      <c r="B25" s="4" t="s">
        <v>34</v>
      </c>
      <c r="C25" s="4" t="s">
        <v>35</v>
      </c>
      <c r="D25" s="4" t="s">
        <v>40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44743</v>
      </c>
      <c r="J25" s="6">
        <v>153</v>
      </c>
      <c r="K25" s="6">
        <v>153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6">
        <v>6</v>
      </c>
      <c r="T25" s="6">
        <v>0</v>
      </c>
      <c r="U25" s="6">
        <v>0</v>
      </c>
      <c r="V25" s="6">
        <f>IF(ISERROR(VLOOKUP($S$25,'TAR FIN'!$A$1:$O$88,15,0)),0,VLOOKUP($S$25,'TAR FIN'!$A$1:$O$88,15,0))</f>
        <v>20.43</v>
      </c>
      <c r="W25" s="6">
        <f>IF(ISERROR(VLOOKUP($T$25,'TAR FIN'!$A$1:$O$88,15,0)),0,VLOOKUP($T$25,'TAR FIN'!$A$1:$O$88,15,0))</f>
        <v>0</v>
      </c>
      <c r="X25" s="6">
        <f>IF(ISERROR(VLOOKUP($U$25,'TAR FIN'!$A$1:$O$88,15,0)),0,VLOOKUP($U$25,'TAR FIN'!$A$1:$O$88,15,0))</f>
        <v>0</v>
      </c>
      <c r="Y25" s="6">
        <f ca="1">('TUSD BE'!$AM$10+'TUSD BF'!$AM$10+'TUSD CVA'!$AM$10)*1</f>
        <v>17.702312702839738</v>
      </c>
      <c r="Z25" s="6"/>
      <c r="AA25" s="6"/>
      <c r="AB25" s="6">
        <f>$K$25*$V$25</f>
        <v>3125.79</v>
      </c>
      <c r="AC25" s="6">
        <f>$M$25*$W$25</f>
        <v>0</v>
      </c>
      <c r="AD25" s="6">
        <f>$O$25*$X$25</f>
        <v>0</v>
      </c>
      <c r="AE25" s="6">
        <f ca="1">$K$25*$Y$25</f>
        <v>2708.4538435344798</v>
      </c>
      <c r="AF25" s="6">
        <f>$M$25*$Z$25</f>
        <v>0</v>
      </c>
      <c r="AG25" s="6">
        <f>$O$25*$AA$25</f>
        <v>0</v>
      </c>
    </row>
    <row r="26" spans="1:33" ht="11.25" customHeight="1" x14ac:dyDescent="0.25">
      <c r="A26" s="4" t="s">
        <v>21</v>
      </c>
      <c r="B26" s="4" t="s">
        <v>34</v>
      </c>
      <c r="C26" s="4" t="s">
        <v>35</v>
      </c>
      <c r="D26" s="4" t="s">
        <v>40</v>
      </c>
      <c r="E26" s="4" t="s">
        <v>25</v>
      </c>
      <c r="F26" s="4" t="s">
        <v>25</v>
      </c>
      <c r="G26" s="4" t="s">
        <v>25</v>
      </c>
      <c r="H26" s="4" t="s">
        <v>36</v>
      </c>
      <c r="I26" s="5">
        <v>44409</v>
      </c>
      <c r="J26" s="6">
        <v>0</v>
      </c>
      <c r="K26" s="6">
        <v>0</v>
      </c>
      <c r="L26" s="6">
        <v>2.5379999999999998</v>
      </c>
      <c r="M26" s="6">
        <v>2.5379999999999998</v>
      </c>
      <c r="N26" s="6">
        <v>2.5379999999999998</v>
      </c>
      <c r="O26" s="6">
        <v>2.5379999999999998</v>
      </c>
      <c r="P26" s="6">
        <v>0</v>
      </c>
      <c r="Q26" s="4" t="s">
        <v>26</v>
      </c>
      <c r="R26" s="4">
        <v>0</v>
      </c>
      <c r="S26" s="6">
        <v>0</v>
      </c>
      <c r="T26" s="6">
        <v>7</v>
      </c>
      <c r="U26" s="6">
        <v>50</v>
      </c>
      <c r="V26" s="6">
        <f>IF(ISERROR(VLOOKUP($S$26,'TAR FIN'!$A$1:$O$88,15,0)),0,VLOOKUP($S$26,'TAR FIN'!$A$1:$O$88,15,0))</f>
        <v>0</v>
      </c>
      <c r="W26" s="6">
        <f>IF(ISERROR(VLOOKUP($T$26,'TAR FIN'!$A$1:$O$88,15,0)),0,VLOOKUP($T$26,'TAR FIN'!$A$1:$O$88,15,0))</f>
        <v>1419.25</v>
      </c>
      <c r="X26" s="6">
        <f>IF(ISERROR(VLOOKUP($U$26,'TAR FIN'!$A$1:$O$88,15,0)),0,VLOOKUP($U$26,'TAR FIN'!$A$1:$O$88,15,0))</f>
        <v>518.44000000000005</v>
      </c>
      <c r="Y26" s="6"/>
      <c r="Z26" s="6">
        <f ca="1">('TUSD BE'!$AM$11+'TUSD BF'!$AM$11+'TUSD CVA'!$AM$11)*1</f>
        <v>1283.8542973241515</v>
      </c>
      <c r="AA26" s="6">
        <f>('TE BE'!$AB$5+'TE BF'!$AB$5+'TE CVA'!$AB$5)*1</f>
        <v>469.66510193737668</v>
      </c>
      <c r="AB26" s="6">
        <f>$K$26*$V$26</f>
        <v>0</v>
      </c>
      <c r="AC26" s="6">
        <f>$M$26*$W$26</f>
        <v>3602.0564999999997</v>
      </c>
      <c r="AD26" s="6">
        <f>$O$26*$X$26</f>
        <v>1315.80072</v>
      </c>
      <c r="AE26" s="6">
        <f>$K$26*$Y$26</f>
        <v>0</v>
      </c>
      <c r="AF26" s="6">
        <f ca="1">$M$26*$Z$26</f>
        <v>3258.4222066086963</v>
      </c>
      <c r="AG26" s="6">
        <f>$O$26*$AA$26</f>
        <v>1192.0100287170619</v>
      </c>
    </row>
    <row r="27" spans="1:33" ht="11.25" customHeight="1" x14ac:dyDescent="0.25">
      <c r="A27" s="4" t="s">
        <v>21</v>
      </c>
      <c r="B27" s="4" t="s">
        <v>34</v>
      </c>
      <c r="C27" s="4" t="s">
        <v>35</v>
      </c>
      <c r="D27" s="4" t="s">
        <v>40</v>
      </c>
      <c r="E27" s="4" t="s">
        <v>25</v>
      </c>
      <c r="F27" s="4" t="s">
        <v>25</v>
      </c>
      <c r="G27" s="4" t="s">
        <v>25</v>
      </c>
      <c r="H27" s="4" t="s">
        <v>36</v>
      </c>
      <c r="I27" s="5">
        <v>44440</v>
      </c>
      <c r="J27" s="6">
        <v>0</v>
      </c>
      <c r="K27" s="6">
        <v>0</v>
      </c>
      <c r="L27" s="6">
        <v>2.5840000000000001</v>
      </c>
      <c r="M27" s="6">
        <v>2.5840000000000001</v>
      </c>
      <c r="N27" s="6">
        <v>2.5840000000000001</v>
      </c>
      <c r="O27" s="6">
        <v>2.5840000000000001</v>
      </c>
      <c r="P27" s="6">
        <v>0</v>
      </c>
      <c r="Q27" s="4" t="s">
        <v>26</v>
      </c>
      <c r="R27" s="4">
        <v>0</v>
      </c>
      <c r="S27" s="6">
        <v>0</v>
      </c>
      <c r="T27" s="6">
        <v>7</v>
      </c>
      <c r="U27" s="6">
        <v>50</v>
      </c>
      <c r="V27" s="6">
        <f>IF(ISERROR(VLOOKUP($S$27,'TAR FIN'!$A$1:$O$88,15,0)),0,VLOOKUP($S$27,'TAR FIN'!$A$1:$O$88,15,0))</f>
        <v>0</v>
      </c>
      <c r="W27" s="6">
        <f>IF(ISERROR(VLOOKUP($T$27,'TAR FIN'!$A$1:$O$88,15,0)),0,VLOOKUP($T$27,'TAR FIN'!$A$1:$O$88,15,0))</f>
        <v>1419.25</v>
      </c>
      <c r="X27" s="6">
        <f>IF(ISERROR(VLOOKUP($U$27,'TAR FIN'!$A$1:$O$88,15,0)),0,VLOOKUP($U$27,'TAR FIN'!$A$1:$O$88,15,0))</f>
        <v>518.44000000000005</v>
      </c>
      <c r="Y27" s="6"/>
      <c r="Z27" s="6">
        <f ca="1">('TUSD BE'!$AM$11+'TUSD BF'!$AM$11+'TUSD CVA'!$AM$11)*1</f>
        <v>1283.8542973241515</v>
      </c>
      <c r="AA27" s="6">
        <f>('TE BE'!$AB$5+'TE BF'!$AB$5+'TE CVA'!$AB$5)*1</f>
        <v>469.66510193737668</v>
      </c>
      <c r="AB27" s="6">
        <f>$K$27*$V$27</f>
        <v>0</v>
      </c>
      <c r="AC27" s="6">
        <f>$M$27*$W$27</f>
        <v>3667.3420000000001</v>
      </c>
      <c r="AD27" s="6">
        <f>$O$27*$X$27</f>
        <v>1339.6489600000002</v>
      </c>
      <c r="AE27" s="6">
        <f>$K$27*$Y$27</f>
        <v>0</v>
      </c>
      <c r="AF27" s="6">
        <f ca="1">$M$27*$Z$27</f>
        <v>3317.4795042856076</v>
      </c>
      <c r="AG27" s="6">
        <f>$O$27*$AA$27</f>
        <v>1213.6146234061814</v>
      </c>
    </row>
    <row r="28" spans="1:33" ht="11.25" customHeight="1" x14ac:dyDescent="0.25">
      <c r="A28" s="4" t="s">
        <v>21</v>
      </c>
      <c r="B28" s="4" t="s">
        <v>34</v>
      </c>
      <c r="C28" s="4" t="s">
        <v>35</v>
      </c>
      <c r="D28" s="4" t="s">
        <v>40</v>
      </c>
      <c r="E28" s="4" t="s">
        <v>25</v>
      </c>
      <c r="F28" s="4" t="s">
        <v>25</v>
      </c>
      <c r="G28" s="4" t="s">
        <v>25</v>
      </c>
      <c r="H28" s="4" t="s">
        <v>36</v>
      </c>
      <c r="I28" s="5">
        <v>44470</v>
      </c>
      <c r="J28" s="6">
        <v>0</v>
      </c>
      <c r="K28" s="6">
        <v>0</v>
      </c>
      <c r="L28" s="6">
        <v>2.46</v>
      </c>
      <c r="M28" s="6">
        <v>2.46</v>
      </c>
      <c r="N28" s="6">
        <v>2.46</v>
      </c>
      <c r="O28" s="6">
        <v>2.46</v>
      </c>
      <c r="P28" s="6">
        <v>0</v>
      </c>
      <c r="Q28" s="4" t="s">
        <v>26</v>
      </c>
      <c r="R28" s="4">
        <v>0</v>
      </c>
      <c r="S28" s="6">
        <v>0</v>
      </c>
      <c r="T28" s="6">
        <v>7</v>
      </c>
      <c r="U28" s="6">
        <v>50</v>
      </c>
      <c r="V28" s="6">
        <f>IF(ISERROR(VLOOKUP($S$28,'TAR FIN'!$A$1:$O$88,15,0)),0,VLOOKUP($S$28,'TAR FIN'!$A$1:$O$88,15,0))</f>
        <v>0</v>
      </c>
      <c r="W28" s="6">
        <f>IF(ISERROR(VLOOKUP($T$28,'TAR FIN'!$A$1:$O$88,15,0)),0,VLOOKUP($T$28,'TAR FIN'!$A$1:$O$88,15,0))</f>
        <v>1419.25</v>
      </c>
      <c r="X28" s="6">
        <f>IF(ISERROR(VLOOKUP($U$28,'TAR FIN'!$A$1:$O$88,15,0)),0,VLOOKUP($U$28,'TAR FIN'!$A$1:$O$88,15,0))</f>
        <v>518.44000000000005</v>
      </c>
      <c r="Y28" s="6"/>
      <c r="Z28" s="6">
        <f ca="1">('TUSD BE'!$AM$11+'TUSD BF'!$AM$11+'TUSD CVA'!$AM$11)*1</f>
        <v>1283.8542973241515</v>
      </c>
      <c r="AA28" s="6">
        <f>('TE BE'!$AB$5+'TE BF'!$AB$5+'TE CVA'!$AB$5)*1</f>
        <v>469.66510193737668</v>
      </c>
      <c r="AB28" s="6">
        <f>$K$28*$V$28</f>
        <v>0</v>
      </c>
      <c r="AC28" s="6">
        <f>$M$28*$W$28</f>
        <v>3491.355</v>
      </c>
      <c r="AD28" s="6">
        <f>$O$28*$X$28</f>
        <v>1275.3624000000002</v>
      </c>
      <c r="AE28" s="6">
        <f>$K$28*$Y$28</f>
        <v>0</v>
      </c>
      <c r="AF28" s="6">
        <f ca="1">$M$28*$Z$28</f>
        <v>3158.2815714174126</v>
      </c>
      <c r="AG28" s="6">
        <f>$O$28*$AA$28</f>
        <v>1155.3761507659467</v>
      </c>
    </row>
    <row r="29" spans="1:33" ht="11.25" customHeight="1" x14ac:dyDescent="0.25">
      <c r="A29" s="4" t="s">
        <v>21</v>
      </c>
      <c r="B29" s="4" t="s">
        <v>34</v>
      </c>
      <c r="C29" s="4" t="s">
        <v>35</v>
      </c>
      <c r="D29" s="4" t="s">
        <v>40</v>
      </c>
      <c r="E29" s="4" t="s">
        <v>25</v>
      </c>
      <c r="F29" s="4" t="s">
        <v>25</v>
      </c>
      <c r="G29" s="4" t="s">
        <v>25</v>
      </c>
      <c r="H29" s="4" t="s">
        <v>36</v>
      </c>
      <c r="I29" s="5">
        <v>44501</v>
      </c>
      <c r="J29" s="6">
        <v>0</v>
      </c>
      <c r="K29" s="6">
        <v>0</v>
      </c>
      <c r="L29" s="6">
        <v>2.6739999999999999</v>
      </c>
      <c r="M29" s="6">
        <v>2.6739999999999999</v>
      </c>
      <c r="N29" s="6">
        <v>2.6739999999999999</v>
      </c>
      <c r="O29" s="6">
        <v>2.6739999999999999</v>
      </c>
      <c r="P29" s="6">
        <v>0</v>
      </c>
      <c r="Q29" s="4" t="s">
        <v>26</v>
      </c>
      <c r="R29" s="4">
        <v>0</v>
      </c>
      <c r="S29" s="6">
        <v>0</v>
      </c>
      <c r="T29" s="6">
        <v>7</v>
      </c>
      <c r="U29" s="6">
        <v>50</v>
      </c>
      <c r="V29" s="6">
        <f>IF(ISERROR(VLOOKUP($S$29,'TAR FIN'!$A$1:$O$88,15,0)),0,VLOOKUP($S$29,'TAR FIN'!$A$1:$O$88,15,0))</f>
        <v>0</v>
      </c>
      <c r="W29" s="6">
        <f>IF(ISERROR(VLOOKUP($T$29,'TAR FIN'!$A$1:$O$88,15,0)),0,VLOOKUP($T$29,'TAR FIN'!$A$1:$O$88,15,0))</f>
        <v>1419.25</v>
      </c>
      <c r="X29" s="6">
        <f>IF(ISERROR(VLOOKUP($U$29,'TAR FIN'!$A$1:$O$88,15,0)),0,VLOOKUP($U$29,'TAR FIN'!$A$1:$O$88,15,0))</f>
        <v>518.44000000000005</v>
      </c>
      <c r="Y29" s="6"/>
      <c r="Z29" s="6">
        <f ca="1">('TUSD BE'!$AM$11+'TUSD BF'!$AM$11+'TUSD CVA'!$AM$11)*1</f>
        <v>1283.8542973241515</v>
      </c>
      <c r="AA29" s="6">
        <f>('TE BE'!$AB$5+'TE BF'!$AB$5+'TE CVA'!$AB$5)*1</f>
        <v>469.66510193737668</v>
      </c>
      <c r="AB29" s="6">
        <f>$K$29*$V$29</f>
        <v>0</v>
      </c>
      <c r="AC29" s="6">
        <f>$M$29*$W$29</f>
        <v>3795.0744999999997</v>
      </c>
      <c r="AD29" s="6">
        <f>$O$29*$X$29</f>
        <v>1386.3085600000002</v>
      </c>
      <c r="AE29" s="6">
        <f>$K$29*$Y$29</f>
        <v>0</v>
      </c>
      <c r="AF29" s="6">
        <f ca="1">$M$29*$Z$29</f>
        <v>3433.0263910447811</v>
      </c>
      <c r="AG29" s="6">
        <f>$O$29*$AA$29</f>
        <v>1255.8844825805452</v>
      </c>
    </row>
    <row r="30" spans="1:33" ht="11.25" customHeight="1" x14ac:dyDescent="0.25">
      <c r="A30" s="4" t="s">
        <v>21</v>
      </c>
      <c r="B30" s="4" t="s">
        <v>34</v>
      </c>
      <c r="C30" s="4" t="s">
        <v>35</v>
      </c>
      <c r="D30" s="4" t="s">
        <v>40</v>
      </c>
      <c r="E30" s="4" t="s">
        <v>25</v>
      </c>
      <c r="F30" s="4" t="s">
        <v>25</v>
      </c>
      <c r="G30" s="4" t="s">
        <v>25</v>
      </c>
      <c r="H30" s="4" t="s">
        <v>36</v>
      </c>
      <c r="I30" s="5">
        <v>44531</v>
      </c>
      <c r="J30" s="6">
        <v>0</v>
      </c>
      <c r="K30" s="6">
        <v>0</v>
      </c>
      <c r="L30" s="6">
        <v>0.20300000000000001</v>
      </c>
      <c r="M30" s="6">
        <v>0.20300000000000001</v>
      </c>
      <c r="N30" s="6">
        <v>0.20300000000000001</v>
      </c>
      <c r="O30" s="6">
        <v>0.20300000000000001</v>
      </c>
      <c r="P30" s="6">
        <v>0</v>
      </c>
      <c r="Q30" s="4" t="s">
        <v>26</v>
      </c>
      <c r="R30" s="4">
        <v>0</v>
      </c>
      <c r="S30" s="6">
        <v>0</v>
      </c>
      <c r="T30" s="6">
        <v>7</v>
      </c>
      <c r="U30" s="6">
        <v>50</v>
      </c>
      <c r="V30" s="6">
        <f>IF(ISERROR(VLOOKUP($S$30,'TAR FIN'!$A$1:$O$88,15,0)),0,VLOOKUP($S$30,'TAR FIN'!$A$1:$O$88,15,0))</f>
        <v>0</v>
      </c>
      <c r="W30" s="6">
        <f>IF(ISERROR(VLOOKUP($T$30,'TAR FIN'!$A$1:$O$88,15,0)),0,VLOOKUP($T$30,'TAR FIN'!$A$1:$O$88,15,0))</f>
        <v>1419.25</v>
      </c>
      <c r="X30" s="6">
        <f>IF(ISERROR(VLOOKUP($U$30,'TAR FIN'!$A$1:$O$88,15,0)),0,VLOOKUP($U$30,'TAR FIN'!$A$1:$O$88,15,0))</f>
        <v>518.44000000000005</v>
      </c>
      <c r="Y30" s="6"/>
      <c r="Z30" s="6">
        <f ca="1">('TUSD BE'!$AM$11+'TUSD BF'!$AM$11+'TUSD CVA'!$AM$11)*1</f>
        <v>1283.8542973241515</v>
      </c>
      <c r="AA30" s="6">
        <f>('TE BE'!$AB$5+'TE BF'!$AB$5+'TE CVA'!$AB$5)*1</f>
        <v>469.66510193737668</v>
      </c>
      <c r="AB30" s="6">
        <f>$K$30*$V$30</f>
        <v>0</v>
      </c>
      <c r="AC30" s="6">
        <f>$M$30*$W$30</f>
        <v>288.10775000000001</v>
      </c>
      <c r="AD30" s="6">
        <f>$O$30*$X$30</f>
        <v>105.24332000000001</v>
      </c>
      <c r="AE30" s="6">
        <f>$K$30*$Y$30</f>
        <v>0</v>
      </c>
      <c r="AF30" s="6">
        <f ca="1">$M$30*$Z$30</f>
        <v>260.62242235680276</v>
      </c>
      <c r="AG30" s="6">
        <f>$O$30*$AA$30</f>
        <v>95.342015693287465</v>
      </c>
    </row>
    <row r="31" spans="1:33" ht="11.25" customHeight="1" x14ac:dyDescent="0.25">
      <c r="A31" s="4" t="s">
        <v>21</v>
      </c>
      <c r="B31" s="4" t="s">
        <v>34</v>
      </c>
      <c r="C31" s="4" t="s">
        <v>35</v>
      </c>
      <c r="D31" s="4" t="s">
        <v>40</v>
      </c>
      <c r="E31" s="4" t="s">
        <v>25</v>
      </c>
      <c r="F31" s="4" t="s">
        <v>25</v>
      </c>
      <c r="G31" s="4" t="s">
        <v>25</v>
      </c>
      <c r="H31" s="4" t="s">
        <v>36</v>
      </c>
      <c r="I31" s="5">
        <v>44562</v>
      </c>
      <c r="J31" s="6">
        <v>0</v>
      </c>
      <c r="K31" s="6">
        <v>0</v>
      </c>
      <c r="L31" s="6">
        <v>0.14000000000000001</v>
      </c>
      <c r="M31" s="6">
        <v>0.14000000000000001</v>
      </c>
      <c r="N31" s="6">
        <v>0.14000000000000001</v>
      </c>
      <c r="O31" s="6">
        <v>0.14000000000000001</v>
      </c>
      <c r="P31" s="6">
        <v>0</v>
      </c>
      <c r="Q31" s="4" t="s">
        <v>26</v>
      </c>
      <c r="R31" s="4">
        <v>0</v>
      </c>
      <c r="S31" s="6">
        <v>0</v>
      </c>
      <c r="T31" s="6">
        <v>7</v>
      </c>
      <c r="U31" s="6">
        <v>50</v>
      </c>
      <c r="V31" s="6">
        <f>IF(ISERROR(VLOOKUP($S$31,'TAR FIN'!$A$1:$O$88,15,0)),0,VLOOKUP($S$31,'TAR FIN'!$A$1:$O$88,15,0))</f>
        <v>0</v>
      </c>
      <c r="W31" s="6">
        <f>IF(ISERROR(VLOOKUP($T$31,'TAR FIN'!$A$1:$O$88,15,0)),0,VLOOKUP($T$31,'TAR FIN'!$A$1:$O$88,15,0))</f>
        <v>1419.25</v>
      </c>
      <c r="X31" s="6">
        <f>IF(ISERROR(VLOOKUP($U$31,'TAR FIN'!$A$1:$O$88,15,0)),0,VLOOKUP($U$31,'TAR FIN'!$A$1:$O$88,15,0))</f>
        <v>518.44000000000005</v>
      </c>
      <c r="Y31" s="6"/>
      <c r="Z31" s="6">
        <f ca="1">('TUSD BE'!$AM$11+'TUSD BF'!$AM$11+'TUSD CVA'!$AM$11)*1</f>
        <v>1283.8542973241515</v>
      </c>
      <c r="AA31" s="6">
        <f>('TE BE'!$AB$5+'TE BF'!$AB$5+'TE CVA'!$AB$5)*1</f>
        <v>469.66510193737668</v>
      </c>
      <c r="AB31" s="6">
        <f>$K$31*$V$31</f>
        <v>0</v>
      </c>
      <c r="AC31" s="6">
        <f>$M$31*$W$31</f>
        <v>198.69500000000002</v>
      </c>
      <c r="AD31" s="6">
        <f>$O$31*$X$31</f>
        <v>72.581600000000009</v>
      </c>
      <c r="AE31" s="6">
        <f>$K$31*$Y$31</f>
        <v>0</v>
      </c>
      <c r="AF31" s="6">
        <f ca="1">$M$31*$Z$31</f>
        <v>179.73960162538123</v>
      </c>
      <c r="AG31" s="6">
        <f>$O$31*$AA$31</f>
        <v>65.753114271232747</v>
      </c>
    </row>
    <row r="32" spans="1:33" ht="11.25" customHeight="1" x14ac:dyDescent="0.25">
      <c r="A32" s="4" t="s">
        <v>21</v>
      </c>
      <c r="B32" s="4" t="s">
        <v>34</v>
      </c>
      <c r="C32" s="4" t="s">
        <v>35</v>
      </c>
      <c r="D32" s="4" t="s">
        <v>40</v>
      </c>
      <c r="E32" s="4" t="s">
        <v>25</v>
      </c>
      <c r="F32" s="4" t="s">
        <v>25</v>
      </c>
      <c r="G32" s="4" t="s">
        <v>25</v>
      </c>
      <c r="H32" s="4" t="s">
        <v>36</v>
      </c>
      <c r="I32" s="5">
        <v>44593</v>
      </c>
      <c r="J32" s="6">
        <v>0</v>
      </c>
      <c r="K32" s="6">
        <v>0</v>
      </c>
      <c r="L32" s="6">
        <v>0.114</v>
      </c>
      <c r="M32" s="6">
        <v>0.114</v>
      </c>
      <c r="N32" s="6">
        <v>0.114</v>
      </c>
      <c r="O32" s="6">
        <v>0.114</v>
      </c>
      <c r="P32" s="6">
        <v>0</v>
      </c>
      <c r="Q32" s="4" t="s">
        <v>26</v>
      </c>
      <c r="R32" s="4">
        <v>0</v>
      </c>
      <c r="S32" s="6">
        <v>0</v>
      </c>
      <c r="T32" s="6">
        <v>7</v>
      </c>
      <c r="U32" s="6">
        <v>50</v>
      </c>
      <c r="V32" s="6">
        <f>IF(ISERROR(VLOOKUP($S$32,'TAR FIN'!$A$1:$O$88,15,0)),0,VLOOKUP($S$32,'TAR FIN'!$A$1:$O$88,15,0))</f>
        <v>0</v>
      </c>
      <c r="W32" s="6">
        <f>IF(ISERROR(VLOOKUP($T$32,'TAR FIN'!$A$1:$O$88,15,0)),0,VLOOKUP($T$32,'TAR FIN'!$A$1:$O$88,15,0))</f>
        <v>1419.25</v>
      </c>
      <c r="X32" s="6">
        <f>IF(ISERROR(VLOOKUP($U$32,'TAR FIN'!$A$1:$O$88,15,0)),0,VLOOKUP($U$32,'TAR FIN'!$A$1:$O$88,15,0))</f>
        <v>518.44000000000005</v>
      </c>
      <c r="Y32" s="6"/>
      <c r="Z32" s="6">
        <f ca="1">('TUSD BE'!$AM$11+'TUSD BF'!$AM$11+'TUSD CVA'!$AM$11)*1</f>
        <v>1283.8542973241515</v>
      </c>
      <c r="AA32" s="6">
        <f>('TE BE'!$AB$5+'TE BF'!$AB$5+'TE CVA'!$AB$5)*1</f>
        <v>469.66510193737668</v>
      </c>
      <c r="AB32" s="6">
        <f>$K$32*$V$32</f>
        <v>0</v>
      </c>
      <c r="AC32" s="6">
        <f>$M$32*$W$32</f>
        <v>161.7945</v>
      </c>
      <c r="AD32" s="6">
        <f>$O$32*$X$32</f>
        <v>59.102160000000005</v>
      </c>
      <c r="AE32" s="6">
        <f>$K$32*$Y$32</f>
        <v>0</v>
      </c>
      <c r="AF32" s="6">
        <f ca="1">$M$32*$Z$32</f>
        <v>146.35938989495327</v>
      </c>
      <c r="AG32" s="6">
        <f>$O$32*$AA$32</f>
        <v>53.541821620860944</v>
      </c>
    </row>
    <row r="33" spans="1:33" ht="11.25" customHeight="1" x14ac:dyDescent="0.25">
      <c r="A33" s="4" t="s">
        <v>21</v>
      </c>
      <c r="B33" s="4" t="s">
        <v>34</v>
      </c>
      <c r="C33" s="4" t="s">
        <v>35</v>
      </c>
      <c r="D33" s="4" t="s">
        <v>40</v>
      </c>
      <c r="E33" s="4" t="s">
        <v>25</v>
      </c>
      <c r="F33" s="4" t="s">
        <v>25</v>
      </c>
      <c r="G33" s="4" t="s">
        <v>25</v>
      </c>
      <c r="H33" s="4" t="s">
        <v>36</v>
      </c>
      <c r="I33" s="5">
        <v>44621</v>
      </c>
      <c r="J33" s="6">
        <v>0</v>
      </c>
      <c r="K33" s="6">
        <v>0</v>
      </c>
      <c r="L33" s="6">
        <v>0.184</v>
      </c>
      <c r="M33" s="6">
        <v>0.184</v>
      </c>
      <c r="N33" s="6">
        <v>0.184</v>
      </c>
      <c r="O33" s="6">
        <v>0.184</v>
      </c>
      <c r="P33" s="6">
        <v>0</v>
      </c>
      <c r="Q33" s="4" t="s">
        <v>26</v>
      </c>
      <c r="R33" s="4">
        <v>0</v>
      </c>
      <c r="S33" s="6">
        <v>0</v>
      </c>
      <c r="T33" s="6">
        <v>7</v>
      </c>
      <c r="U33" s="6">
        <v>50</v>
      </c>
      <c r="V33" s="6">
        <f>IF(ISERROR(VLOOKUP($S$33,'TAR FIN'!$A$1:$O$88,15,0)),0,VLOOKUP($S$33,'TAR FIN'!$A$1:$O$88,15,0))</f>
        <v>0</v>
      </c>
      <c r="W33" s="6">
        <f>IF(ISERROR(VLOOKUP($T$33,'TAR FIN'!$A$1:$O$88,15,0)),0,VLOOKUP($T$33,'TAR FIN'!$A$1:$O$88,15,0))</f>
        <v>1419.25</v>
      </c>
      <c r="X33" s="6">
        <f>IF(ISERROR(VLOOKUP($U$33,'TAR FIN'!$A$1:$O$88,15,0)),0,VLOOKUP($U$33,'TAR FIN'!$A$1:$O$88,15,0))</f>
        <v>518.44000000000005</v>
      </c>
      <c r="Y33" s="6"/>
      <c r="Z33" s="6">
        <f ca="1">('TUSD BE'!$AM$11+'TUSD BF'!$AM$11+'TUSD CVA'!$AM$11)*1</f>
        <v>1283.8542973241515</v>
      </c>
      <c r="AA33" s="6">
        <f>('TE BE'!$AB$5+'TE BF'!$AB$5+'TE CVA'!$AB$5)*1</f>
        <v>469.66510193737668</v>
      </c>
      <c r="AB33" s="6">
        <f>$K$33*$V$33</f>
        <v>0</v>
      </c>
      <c r="AC33" s="6">
        <f>$M$33*$W$33</f>
        <v>261.142</v>
      </c>
      <c r="AD33" s="6">
        <f>$O$33*$X$33</f>
        <v>95.392960000000002</v>
      </c>
      <c r="AE33" s="6">
        <f>$K$33*$Y$33</f>
        <v>0</v>
      </c>
      <c r="AF33" s="6">
        <f ca="1">$M$33*$Z$33</f>
        <v>236.22919070764388</v>
      </c>
      <c r="AG33" s="6">
        <f>$O$33*$AA$33</f>
        <v>86.41837875647731</v>
      </c>
    </row>
    <row r="34" spans="1:33" ht="11.25" customHeight="1" x14ac:dyDescent="0.25">
      <c r="A34" s="4" t="s">
        <v>21</v>
      </c>
      <c r="B34" s="4" t="s">
        <v>34</v>
      </c>
      <c r="C34" s="4" t="s">
        <v>35</v>
      </c>
      <c r="D34" s="4" t="s">
        <v>40</v>
      </c>
      <c r="E34" s="4" t="s">
        <v>25</v>
      </c>
      <c r="F34" s="4" t="s">
        <v>25</v>
      </c>
      <c r="G34" s="4" t="s">
        <v>25</v>
      </c>
      <c r="H34" s="4" t="s">
        <v>36</v>
      </c>
      <c r="I34" s="5">
        <v>44652</v>
      </c>
      <c r="J34" s="6">
        <v>0</v>
      </c>
      <c r="K34" s="6">
        <v>0</v>
      </c>
      <c r="L34" s="6">
        <v>0.17899999999999999</v>
      </c>
      <c r="M34" s="6">
        <v>0.17899999999999999</v>
      </c>
      <c r="N34" s="6">
        <v>0.17899999999999999</v>
      </c>
      <c r="O34" s="6">
        <v>0.17899999999999999</v>
      </c>
      <c r="P34" s="6">
        <v>0</v>
      </c>
      <c r="Q34" s="4" t="s">
        <v>26</v>
      </c>
      <c r="R34" s="4">
        <v>0</v>
      </c>
      <c r="S34" s="6">
        <v>0</v>
      </c>
      <c r="T34" s="6">
        <v>7</v>
      </c>
      <c r="U34" s="6">
        <v>50</v>
      </c>
      <c r="V34" s="6">
        <f>IF(ISERROR(VLOOKUP($S$34,'TAR FIN'!$A$1:$O$88,15,0)),0,VLOOKUP($S$34,'TAR FIN'!$A$1:$O$88,15,0))</f>
        <v>0</v>
      </c>
      <c r="W34" s="6">
        <f>IF(ISERROR(VLOOKUP($T$34,'TAR FIN'!$A$1:$O$88,15,0)),0,VLOOKUP($T$34,'TAR FIN'!$A$1:$O$88,15,0))</f>
        <v>1419.25</v>
      </c>
      <c r="X34" s="6">
        <f>IF(ISERROR(VLOOKUP($U$34,'TAR FIN'!$A$1:$O$88,15,0)),0,VLOOKUP($U$34,'TAR FIN'!$A$1:$O$88,15,0))</f>
        <v>518.44000000000005</v>
      </c>
      <c r="Y34" s="6"/>
      <c r="Z34" s="6">
        <f ca="1">('TUSD BE'!$AM$11+'TUSD BF'!$AM$11+'TUSD CVA'!$AM$11)*1</f>
        <v>1283.8542973241515</v>
      </c>
      <c r="AA34" s="6">
        <f>('TE BE'!$AB$5+'TE BF'!$AB$5+'TE CVA'!$AB$5)*1</f>
        <v>469.66510193737668</v>
      </c>
      <c r="AB34" s="6">
        <f>$K$34*$V$34</f>
        <v>0</v>
      </c>
      <c r="AC34" s="6">
        <f>$M$34*$W$34</f>
        <v>254.04575</v>
      </c>
      <c r="AD34" s="6">
        <f>$O$34*$X$34</f>
        <v>92.800760000000011</v>
      </c>
      <c r="AE34" s="6">
        <f>$K$34*$Y$34</f>
        <v>0</v>
      </c>
      <c r="AF34" s="6">
        <f ca="1">$M$34*$Z$34</f>
        <v>229.80991922102311</v>
      </c>
      <c r="AG34" s="6">
        <f>$O$34*$AA$34</f>
        <v>84.070053246790422</v>
      </c>
    </row>
    <row r="35" spans="1:33" ht="11.25" customHeight="1" x14ac:dyDescent="0.25">
      <c r="A35" s="4" t="s">
        <v>21</v>
      </c>
      <c r="B35" s="4" t="s">
        <v>34</v>
      </c>
      <c r="C35" s="4" t="s">
        <v>35</v>
      </c>
      <c r="D35" s="4" t="s">
        <v>40</v>
      </c>
      <c r="E35" s="4" t="s">
        <v>25</v>
      </c>
      <c r="F35" s="4" t="s">
        <v>25</v>
      </c>
      <c r="G35" s="4" t="s">
        <v>25</v>
      </c>
      <c r="H35" s="4" t="s">
        <v>36</v>
      </c>
      <c r="I35" s="5">
        <v>44682</v>
      </c>
      <c r="J35" s="6">
        <v>0</v>
      </c>
      <c r="K35" s="6">
        <v>0</v>
      </c>
      <c r="L35" s="6">
        <v>0.17299999999999999</v>
      </c>
      <c r="M35" s="6">
        <v>0.17299999999999999</v>
      </c>
      <c r="N35" s="6">
        <v>0.17299999999999999</v>
      </c>
      <c r="O35" s="6">
        <v>0.17299999999999999</v>
      </c>
      <c r="P35" s="6">
        <v>0</v>
      </c>
      <c r="Q35" s="4" t="s">
        <v>26</v>
      </c>
      <c r="R35" s="4">
        <v>0</v>
      </c>
      <c r="S35" s="6">
        <v>0</v>
      </c>
      <c r="T35" s="6">
        <v>7</v>
      </c>
      <c r="U35" s="6">
        <v>50</v>
      </c>
      <c r="V35" s="6">
        <f>IF(ISERROR(VLOOKUP($S$35,'TAR FIN'!$A$1:$O$88,15,0)),0,VLOOKUP($S$35,'TAR FIN'!$A$1:$O$88,15,0))</f>
        <v>0</v>
      </c>
      <c r="W35" s="6">
        <f>IF(ISERROR(VLOOKUP($T$35,'TAR FIN'!$A$1:$O$88,15,0)),0,VLOOKUP($T$35,'TAR FIN'!$A$1:$O$88,15,0))</f>
        <v>1419.25</v>
      </c>
      <c r="X35" s="6">
        <f>IF(ISERROR(VLOOKUP($U$35,'TAR FIN'!$A$1:$O$88,15,0)),0,VLOOKUP($U$35,'TAR FIN'!$A$1:$O$88,15,0))</f>
        <v>518.44000000000005</v>
      </c>
      <c r="Y35" s="6"/>
      <c r="Z35" s="6">
        <f ca="1">('TUSD BE'!$AM$11+'TUSD BF'!$AM$11+'TUSD CVA'!$AM$11)*1</f>
        <v>1283.8542973241515</v>
      </c>
      <c r="AA35" s="6">
        <f>('TE BE'!$AB$5+'TE BF'!$AB$5+'TE CVA'!$AB$5)*1</f>
        <v>469.66510193737668</v>
      </c>
      <c r="AB35" s="6">
        <f>$K$35*$V$35</f>
        <v>0</v>
      </c>
      <c r="AC35" s="6">
        <f>$M$35*$W$35</f>
        <v>245.53025</v>
      </c>
      <c r="AD35" s="6">
        <f>$O$35*$X$35</f>
        <v>89.690120000000007</v>
      </c>
      <c r="AE35" s="6">
        <f>$K$35*$Y$35</f>
        <v>0</v>
      </c>
      <c r="AF35" s="6">
        <f ca="1">$M$35*$Z$35</f>
        <v>222.10679343707818</v>
      </c>
      <c r="AG35" s="6">
        <f>$O$35*$AA$35</f>
        <v>81.252062635166155</v>
      </c>
    </row>
    <row r="36" spans="1:33" ht="11.25" customHeight="1" x14ac:dyDescent="0.25">
      <c r="A36" s="4" t="s">
        <v>21</v>
      </c>
      <c r="B36" s="4" t="s">
        <v>34</v>
      </c>
      <c r="C36" s="4" t="s">
        <v>35</v>
      </c>
      <c r="D36" s="4" t="s">
        <v>40</v>
      </c>
      <c r="E36" s="4" t="s">
        <v>25</v>
      </c>
      <c r="F36" s="4" t="s">
        <v>25</v>
      </c>
      <c r="G36" s="4" t="s">
        <v>25</v>
      </c>
      <c r="H36" s="4" t="s">
        <v>36</v>
      </c>
      <c r="I36" s="5">
        <v>44713</v>
      </c>
      <c r="J36" s="6">
        <v>0</v>
      </c>
      <c r="K36" s="6">
        <v>0</v>
      </c>
      <c r="L36" s="6">
        <v>0.32100000000000001</v>
      </c>
      <c r="M36" s="6">
        <v>0.32100000000000001</v>
      </c>
      <c r="N36" s="6">
        <v>0.32100000000000001</v>
      </c>
      <c r="O36" s="6">
        <v>0.32100000000000001</v>
      </c>
      <c r="P36" s="6">
        <v>0</v>
      </c>
      <c r="Q36" s="4" t="s">
        <v>26</v>
      </c>
      <c r="R36" s="4">
        <v>0</v>
      </c>
      <c r="S36" s="6">
        <v>0</v>
      </c>
      <c r="T36" s="6">
        <v>7</v>
      </c>
      <c r="U36" s="6">
        <v>50</v>
      </c>
      <c r="V36" s="6">
        <f>IF(ISERROR(VLOOKUP($S$36,'TAR FIN'!$A$1:$O$88,15,0)),0,VLOOKUP($S$36,'TAR FIN'!$A$1:$O$88,15,0))</f>
        <v>0</v>
      </c>
      <c r="W36" s="6">
        <f>IF(ISERROR(VLOOKUP($T$36,'TAR FIN'!$A$1:$O$88,15,0)),0,VLOOKUP($T$36,'TAR FIN'!$A$1:$O$88,15,0))</f>
        <v>1419.25</v>
      </c>
      <c r="X36" s="6">
        <f>IF(ISERROR(VLOOKUP($U$36,'TAR FIN'!$A$1:$O$88,15,0)),0,VLOOKUP($U$36,'TAR FIN'!$A$1:$O$88,15,0))</f>
        <v>518.44000000000005</v>
      </c>
      <c r="Y36" s="6"/>
      <c r="Z36" s="6">
        <f ca="1">('TUSD BE'!$AM$11+'TUSD BF'!$AM$11+'TUSD CVA'!$AM$11)*1</f>
        <v>1283.8542973241515</v>
      </c>
      <c r="AA36" s="6">
        <f>('TE BE'!$AB$5+'TE BF'!$AB$5+'TE CVA'!$AB$5)*1</f>
        <v>469.66510193737668</v>
      </c>
      <c r="AB36" s="6">
        <f>$K$36*$V$36</f>
        <v>0</v>
      </c>
      <c r="AC36" s="6">
        <f>$M$36*$W$36</f>
        <v>455.57925</v>
      </c>
      <c r="AD36" s="6">
        <f>$O$36*$X$36</f>
        <v>166.41924000000003</v>
      </c>
      <c r="AE36" s="6">
        <f>$K$36*$Y$36</f>
        <v>0</v>
      </c>
      <c r="AF36" s="6">
        <f ca="1">$M$36*$Z$36</f>
        <v>412.11722944105264</v>
      </c>
      <c r="AG36" s="6">
        <f>$O$36*$AA$36</f>
        <v>150.76249772189792</v>
      </c>
    </row>
    <row r="37" spans="1:33" ht="11.25" customHeight="1" x14ac:dyDescent="0.25">
      <c r="A37" s="4" t="s">
        <v>21</v>
      </c>
      <c r="B37" s="4" t="s">
        <v>34</v>
      </c>
      <c r="C37" s="4" t="s">
        <v>35</v>
      </c>
      <c r="D37" s="4" t="s">
        <v>40</v>
      </c>
      <c r="E37" s="4" t="s">
        <v>25</v>
      </c>
      <c r="F37" s="4" t="s">
        <v>25</v>
      </c>
      <c r="G37" s="4" t="s">
        <v>25</v>
      </c>
      <c r="H37" s="4" t="s">
        <v>36</v>
      </c>
      <c r="I37" s="5">
        <v>44743</v>
      </c>
      <c r="J37" s="6">
        <v>0</v>
      </c>
      <c r="K37" s="6">
        <v>0</v>
      </c>
      <c r="L37" s="6">
        <v>0.45300000000000001</v>
      </c>
      <c r="M37" s="6">
        <v>0.45300000000000001</v>
      </c>
      <c r="N37" s="6">
        <v>0.45300000000000001</v>
      </c>
      <c r="O37" s="6">
        <v>0.45300000000000001</v>
      </c>
      <c r="P37" s="6">
        <v>0</v>
      </c>
      <c r="Q37" s="4" t="s">
        <v>26</v>
      </c>
      <c r="R37" s="4">
        <v>0</v>
      </c>
      <c r="S37" s="6">
        <v>0</v>
      </c>
      <c r="T37" s="6">
        <v>7</v>
      </c>
      <c r="U37" s="6">
        <v>50</v>
      </c>
      <c r="V37" s="6">
        <f>IF(ISERROR(VLOOKUP($S$37,'TAR FIN'!$A$1:$O$88,15,0)),0,VLOOKUP($S$37,'TAR FIN'!$A$1:$O$88,15,0))</f>
        <v>0</v>
      </c>
      <c r="W37" s="6">
        <f>IF(ISERROR(VLOOKUP($T$37,'TAR FIN'!$A$1:$O$88,15,0)),0,VLOOKUP($T$37,'TAR FIN'!$A$1:$O$88,15,0))</f>
        <v>1419.25</v>
      </c>
      <c r="X37" s="6">
        <f>IF(ISERROR(VLOOKUP($U$37,'TAR FIN'!$A$1:$O$88,15,0)),0,VLOOKUP($U$37,'TAR FIN'!$A$1:$O$88,15,0))</f>
        <v>518.44000000000005</v>
      </c>
      <c r="Y37" s="6"/>
      <c r="Z37" s="6">
        <f ca="1">('TUSD BE'!$AM$11+'TUSD BF'!$AM$11+'TUSD CVA'!$AM$11)*1</f>
        <v>1283.8542973241515</v>
      </c>
      <c r="AA37" s="6">
        <f>('TE BE'!$AB$5+'TE BF'!$AB$5+'TE CVA'!$AB$5)*1</f>
        <v>469.66510193737668</v>
      </c>
      <c r="AB37" s="6">
        <f>$K$37*$V$37</f>
        <v>0</v>
      </c>
      <c r="AC37" s="6">
        <f>$M$37*$W$37</f>
        <v>642.92025000000001</v>
      </c>
      <c r="AD37" s="6">
        <f>$O$37*$X$37</f>
        <v>234.85332000000002</v>
      </c>
      <c r="AE37" s="6">
        <f>$K$37*$Y$37</f>
        <v>0</v>
      </c>
      <c r="AF37" s="6">
        <f ca="1">$M$37*$Z$37</f>
        <v>581.58599668784063</v>
      </c>
      <c r="AG37" s="6">
        <f>$O$37*$AA$37</f>
        <v>212.75829117763163</v>
      </c>
    </row>
    <row r="38" spans="1:33" ht="11.25" customHeight="1" x14ac:dyDescent="0.25">
      <c r="A38" s="4" t="s">
        <v>21</v>
      </c>
      <c r="B38" s="4" t="s">
        <v>34</v>
      </c>
      <c r="C38" s="4" t="s">
        <v>35</v>
      </c>
      <c r="D38" s="4" t="s">
        <v>33</v>
      </c>
      <c r="E38" s="4" t="s">
        <v>25</v>
      </c>
      <c r="F38" s="4" t="s">
        <v>50</v>
      </c>
      <c r="G38" s="4" t="s">
        <v>25</v>
      </c>
      <c r="H38" s="4" t="s">
        <v>37</v>
      </c>
      <c r="I38" s="5">
        <v>44409</v>
      </c>
      <c r="J38" s="6">
        <v>0</v>
      </c>
      <c r="K38" s="6">
        <v>0</v>
      </c>
      <c r="L38" s="6">
        <v>399.43</v>
      </c>
      <c r="M38" s="6">
        <v>399.43</v>
      </c>
      <c r="N38" s="6">
        <v>0</v>
      </c>
      <c r="O38" s="6">
        <v>0</v>
      </c>
      <c r="P38" s="6">
        <v>0</v>
      </c>
      <c r="Q38" s="4" t="s">
        <v>51</v>
      </c>
      <c r="R38" s="4">
        <v>0</v>
      </c>
      <c r="S38" s="6">
        <v>0</v>
      </c>
      <c r="T38" s="6">
        <v>8</v>
      </c>
      <c r="U38" s="6">
        <v>0</v>
      </c>
      <c r="V38" s="6">
        <f>IF(ISERROR(VLOOKUP($S$38,'TAR FIN'!$A$1:$O$88,15,0)),0,VLOOKUP($S$38,'TAR FIN'!$A$1:$O$88,15,0))</f>
        <v>0</v>
      </c>
      <c r="W38" s="6">
        <f>IF(ISERROR(VLOOKUP($T$38,'TAR FIN'!$A$1:$O$88,15,0)),0,VLOOKUP($T$38,'TAR FIN'!$A$1:$O$88,15,0))</f>
        <v>70.19</v>
      </c>
      <c r="X38" s="6">
        <f>IF(ISERROR(VLOOKUP($U$38,'TAR FIN'!$A$1:$O$88,15,0)),0,VLOOKUP($U$38,'TAR FIN'!$A$1:$O$88,15,0))</f>
        <v>0</v>
      </c>
      <c r="Y38" s="6"/>
      <c r="Z38" s="6">
        <f ca="1">('TUSD BE'!$AM$12+'TUSD BF'!$AM$12+'TUSD CVA'!$AM$12)*1</f>
        <v>110.00224235361931</v>
      </c>
      <c r="AA38" s="6"/>
      <c r="AB38" s="6">
        <f>$K$38*$V$38</f>
        <v>0</v>
      </c>
      <c r="AC38" s="6">
        <f>$M$38*$W$38</f>
        <v>28035.991699999999</v>
      </c>
      <c r="AD38" s="6">
        <f>$O$38*$X$38</f>
        <v>0</v>
      </c>
      <c r="AE38" s="6">
        <f>$K$38*$Y$38</f>
        <v>0</v>
      </c>
      <c r="AF38" s="6">
        <f ca="1">$M$38*$Z$38</f>
        <v>43938.195663306164</v>
      </c>
      <c r="AG38" s="6">
        <f>$O$38*$AA$38</f>
        <v>0</v>
      </c>
    </row>
    <row r="39" spans="1:33" ht="11.25" customHeight="1" x14ac:dyDescent="0.25">
      <c r="A39" s="4" t="s">
        <v>21</v>
      </c>
      <c r="B39" s="4" t="s">
        <v>34</v>
      </c>
      <c r="C39" s="4" t="s">
        <v>35</v>
      </c>
      <c r="D39" s="4" t="s">
        <v>33</v>
      </c>
      <c r="E39" s="4" t="s">
        <v>25</v>
      </c>
      <c r="F39" s="4" t="s">
        <v>50</v>
      </c>
      <c r="G39" s="4" t="s">
        <v>25</v>
      </c>
      <c r="H39" s="4" t="s">
        <v>37</v>
      </c>
      <c r="I39" s="5">
        <v>44440</v>
      </c>
      <c r="J39" s="6">
        <v>0</v>
      </c>
      <c r="K39" s="6">
        <v>0</v>
      </c>
      <c r="L39" s="6">
        <v>374.197</v>
      </c>
      <c r="M39" s="6">
        <v>374.197</v>
      </c>
      <c r="N39" s="6">
        <v>0</v>
      </c>
      <c r="O39" s="6">
        <v>0</v>
      </c>
      <c r="P39" s="6">
        <v>0</v>
      </c>
      <c r="Q39" s="4" t="s">
        <v>51</v>
      </c>
      <c r="R39" s="4">
        <v>0</v>
      </c>
      <c r="S39" s="6">
        <v>0</v>
      </c>
      <c r="T39" s="6">
        <v>8</v>
      </c>
      <c r="U39" s="6">
        <v>0</v>
      </c>
      <c r="V39" s="6">
        <f>IF(ISERROR(VLOOKUP($S$39,'TAR FIN'!$A$1:$O$88,15,0)),0,VLOOKUP($S$39,'TAR FIN'!$A$1:$O$88,15,0))</f>
        <v>0</v>
      </c>
      <c r="W39" s="6">
        <f>IF(ISERROR(VLOOKUP($T$39,'TAR FIN'!$A$1:$O$88,15,0)),0,VLOOKUP($T$39,'TAR FIN'!$A$1:$O$88,15,0))</f>
        <v>70.19</v>
      </c>
      <c r="X39" s="6">
        <f>IF(ISERROR(VLOOKUP($U$39,'TAR FIN'!$A$1:$O$88,15,0)),0,VLOOKUP($U$39,'TAR FIN'!$A$1:$O$88,15,0))</f>
        <v>0</v>
      </c>
      <c r="Y39" s="6"/>
      <c r="Z39" s="6">
        <f ca="1">('TUSD BE'!$AM$12+'TUSD BF'!$AM$12+'TUSD CVA'!$AM$12)*1</f>
        <v>110.00224235361931</v>
      </c>
      <c r="AA39" s="6"/>
      <c r="AB39" s="6">
        <f>$K$39*$V$39</f>
        <v>0</v>
      </c>
      <c r="AC39" s="6">
        <f>$M$39*$W$39</f>
        <v>26264.887429999999</v>
      </c>
      <c r="AD39" s="6">
        <f>$O$39*$X$39</f>
        <v>0</v>
      </c>
      <c r="AE39" s="6">
        <f>$K$39*$Y$39</f>
        <v>0</v>
      </c>
      <c r="AF39" s="6">
        <f ca="1">$M$39*$Z$39</f>
        <v>41162.509081997283</v>
      </c>
      <c r="AG39" s="6">
        <f>$O$39*$AA$39</f>
        <v>0</v>
      </c>
    </row>
    <row r="40" spans="1:33" ht="11.25" customHeight="1" x14ac:dyDescent="0.25">
      <c r="A40" s="4" t="s">
        <v>21</v>
      </c>
      <c r="B40" s="4" t="s">
        <v>34</v>
      </c>
      <c r="C40" s="4" t="s">
        <v>35</v>
      </c>
      <c r="D40" s="4" t="s">
        <v>33</v>
      </c>
      <c r="E40" s="4" t="s">
        <v>25</v>
      </c>
      <c r="F40" s="4" t="s">
        <v>50</v>
      </c>
      <c r="G40" s="4" t="s">
        <v>25</v>
      </c>
      <c r="H40" s="4" t="s">
        <v>37</v>
      </c>
      <c r="I40" s="5">
        <v>44470</v>
      </c>
      <c r="J40" s="6">
        <v>0</v>
      </c>
      <c r="K40" s="6">
        <v>0</v>
      </c>
      <c r="L40" s="6">
        <v>383.92899999999997</v>
      </c>
      <c r="M40" s="6">
        <v>383.92899999999997</v>
      </c>
      <c r="N40" s="6">
        <v>0</v>
      </c>
      <c r="O40" s="6">
        <v>0</v>
      </c>
      <c r="P40" s="6">
        <v>0</v>
      </c>
      <c r="Q40" s="4" t="s">
        <v>51</v>
      </c>
      <c r="R40" s="4">
        <v>0</v>
      </c>
      <c r="S40" s="6">
        <v>0</v>
      </c>
      <c r="T40" s="6">
        <v>8</v>
      </c>
      <c r="U40" s="6">
        <v>0</v>
      </c>
      <c r="V40" s="6">
        <f>IF(ISERROR(VLOOKUP($S$40,'TAR FIN'!$A$1:$O$88,15,0)),0,VLOOKUP($S$40,'TAR FIN'!$A$1:$O$88,15,0))</f>
        <v>0</v>
      </c>
      <c r="W40" s="6">
        <f>IF(ISERROR(VLOOKUP($T$40,'TAR FIN'!$A$1:$O$88,15,0)),0,VLOOKUP($T$40,'TAR FIN'!$A$1:$O$88,15,0))</f>
        <v>70.19</v>
      </c>
      <c r="X40" s="6">
        <f>IF(ISERROR(VLOOKUP($U$40,'TAR FIN'!$A$1:$O$88,15,0)),0,VLOOKUP($U$40,'TAR FIN'!$A$1:$O$88,15,0))</f>
        <v>0</v>
      </c>
      <c r="Y40" s="6"/>
      <c r="Z40" s="6">
        <f ca="1">('TUSD BE'!$AM$12+'TUSD BF'!$AM$12+'TUSD CVA'!$AM$12)*1</f>
        <v>110.00224235361931</v>
      </c>
      <c r="AA40" s="6"/>
      <c r="AB40" s="6">
        <f>$K$40*$V$40</f>
        <v>0</v>
      </c>
      <c r="AC40" s="6">
        <f>$M$40*$W$40</f>
        <v>26947.976509999997</v>
      </c>
      <c r="AD40" s="6">
        <f>$O$40*$X$40</f>
        <v>0</v>
      </c>
      <c r="AE40" s="6">
        <f>$K$40*$Y$40</f>
        <v>0</v>
      </c>
      <c r="AF40" s="6">
        <f ca="1">$M$40*$Z$40</f>
        <v>42233.050904582706</v>
      </c>
      <c r="AG40" s="6">
        <f>$O$40*$AA$40</f>
        <v>0</v>
      </c>
    </row>
    <row r="41" spans="1:33" ht="11.25" customHeight="1" x14ac:dyDescent="0.25">
      <c r="A41" s="4" t="s">
        <v>21</v>
      </c>
      <c r="B41" s="4" t="s">
        <v>34</v>
      </c>
      <c r="C41" s="4" t="s">
        <v>35</v>
      </c>
      <c r="D41" s="4" t="s">
        <v>33</v>
      </c>
      <c r="E41" s="4" t="s">
        <v>25</v>
      </c>
      <c r="F41" s="4" t="s">
        <v>50</v>
      </c>
      <c r="G41" s="4" t="s">
        <v>25</v>
      </c>
      <c r="H41" s="4" t="s">
        <v>37</v>
      </c>
      <c r="I41" s="5">
        <v>44501</v>
      </c>
      <c r="J41" s="6">
        <v>0</v>
      </c>
      <c r="K41" s="6">
        <v>0</v>
      </c>
      <c r="L41" s="6">
        <v>492.41399999999999</v>
      </c>
      <c r="M41" s="6">
        <v>492.41399999999999</v>
      </c>
      <c r="N41" s="6">
        <v>0</v>
      </c>
      <c r="O41" s="6">
        <v>0</v>
      </c>
      <c r="P41" s="6">
        <v>0</v>
      </c>
      <c r="Q41" s="4" t="s">
        <v>51</v>
      </c>
      <c r="R41" s="4">
        <v>0</v>
      </c>
      <c r="S41" s="6">
        <v>0</v>
      </c>
      <c r="T41" s="6">
        <v>8</v>
      </c>
      <c r="U41" s="6">
        <v>0</v>
      </c>
      <c r="V41" s="6">
        <f>IF(ISERROR(VLOOKUP($S$41,'TAR FIN'!$A$1:$O$88,15,0)),0,VLOOKUP($S$41,'TAR FIN'!$A$1:$O$88,15,0))</f>
        <v>0</v>
      </c>
      <c r="W41" s="6">
        <f>IF(ISERROR(VLOOKUP($T$41,'TAR FIN'!$A$1:$O$88,15,0)),0,VLOOKUP($T$41,'TAR FIN'!$A$1:$O$88,15,0))</f>
        <v>70.19</v>
      </c>
      <c r="X41" s="6">
        <f>IF(ISERROR(VLOOKUP($U$41,'TAR FIN'!$A$1:$O$88,15,0)),0,VLOOKUP($U$41,'TAR FIN'!$A$1:$O$88,15,0))</f>
        <v>0</v>
      </c>
      <c r="Y41" s="6"/>
      <c r="Z41" s="6">
        <f ca="1">('TUSD BE'!$AM$12+'TUSD BF'!$AM$12+'TUSD CVA'!$AM$12)*1</f>
        <v>110.00224235361931</v>
      </c>
      <c r="AA41" s="6"/>
      <c r="AB41" s="6">
        <f>$K$41*$V$41</f>
        <v>0</v>
      </c>
      <c r="AC41" s="6">
        <f>$M$41*$W$41</f>
        <v>34562.538659999998</v>
      </c>
      <c r="AD41" s="6">
        <f>$O$41*$X$41</f>
        <v>0</v>
      </c>
      <c r="AE41" s="6">
        <f>$K$41*$Y$41</f>
        <v>0</v>
      </c>
      <c r="AF41" s="6">
        <f ca="1">$M$41*$Z$41</f>
        <v>54166.644166315098</v>
      </c>
      <c r="AG41" s="6">
        <f>$O$41*$AA$41</f>
        <v>0</v>
      </c>
    </row>
    <row r="42" spans="1:33" ht="11.25" customHeight="1" x14ac:dyDescent="0.25">
      <c r="A42" s="4" t="s">
        <v>21</v>
      </c>
      <c r="B42" s="4" t="s">
        <v>34</v>
      </c>
      <c r="C42" s="4" t="s">
        <v>35</v>
      </c>
      <c r="D42" s="4" t="s">
        <v>33</v>
      </c>
      <c r="E42" s="4" t="s">
        <v>25</v>
      </c>
      <c r="F42" s="4" t="s">
        <v>50</v>
      </c>
      <c r="G42" s="4" t="s">
        <v>25</v>
      </c>
      <c r="H42" s="4" t="s">
        <v>37</v>
      </c>
      <c r="I42" s="5">
        <v>44531</v>
      </c>
      <c r="J42" s="6">
        <v>0</v>
      </c>
      <c r="K42" s="6">
        <v>0</v>
      </c>
      <c r="L42" s="6">
        <v>512.43600000000004</v>
      </c>
      <c r="M42" s="6">
        <v>512.43600000000004</v>
      </c>
      <c r="N42" s="6">
        <v>0</v>
      </c>
      <c r="O42" s="6">
        <v>0</v>
      </c>
      <c r="P42" s="6">
        <v>0</v>
      </c>
      <c r="Q42" s="4" t="s">
        <v>51</v>
      </c>
      <c r="R42" s="4">
        <v>0</v>
      </c>
      <c r="S42" s="6">
        <v>0</v>
      </c>
      <c r="T42" s="6">
        <v>8</v>
      </c>
      <c r="U42" s="6">
        <v>0</v>
      </c>
      <c r="V42" s="6">
        <f>IF(ISERROR(VLOOKUP($S$42,'TAR FIN'!$A$1:$O$88,15,0)),0,VLOOKUP($S$42,'TAR FIN'!$A$1:$O$88,15,0))</f>
        <v>0</v>
      </c>
      <c r="W42" s="6">
        <f>IF(ISERROR(VLOOKUP($T$42,'TAR FIN'!$A$1:$O$88,15,0)),0,VLOOKUP($T$42,'TAR FIN'!$A$1:$O$88,15,0))</f>
        <v>70.19</v>
      </c>
      <c r="X42" s="6">
        <f>IF(ISERROR(VLOOKUP($U$42,'TAR FIN'!$A$1:$O$88,15,0)),0,VLOOKUP($U$42,'TAR FIN'!$A$1:$O$88,15,0))</f>
        <v>0</v>
      </c>
      <c r="Y42" s="6"/>
      <c r="Z42" s="6">
        <f ca="1">('TUSD BE'!$AM$12+'TUSD BF'!$AM$12+'TUSD CVA'!$AM$12)*1</f>
        <v>110.00224235361931</v>
      </c>
      <c r="AA42" s="6"/>
      <c r="AB42" s="6">
        <f>$K$42*$V$42</f>
        <v>0</v>
      </c>
      <c r="AC42" s="6">
        <f>$M$42*$W$42</f>
        <v>35967.882839999998</v>
      </c>
      <c r="AD42" s="6">
        <f>$O$42*$X$42</f>
        <v>0</v>
      </c>
      <c r="AE42" s="6">
        <f>$K$42*$Y$42</f>
        <v>0</v>
      </c>
      <c r="AF42" s="6">
        <f ca="1">$M$42*$Z$42</f>
        <v>56369.109062719268</v>
      </c>
      <c r="AG42" s="6">
        <f>$O$42*$AA$42</f>
        <v>0</v>
      </c>
    </row>
    <row r="43" spans="1:33" ht="11.25" customHeight="1" x14ac:dyDescent="0.25">
      <c r="A43" s="4" t="s">
        <v>21</v>
      </c>
      <c r="B43" s="4" t="s">
        <v>34</v>
      </c>
      <c r="C43" s="4" t="s">
        <v>35</v>
      </c>
      <c r="D43" s="4" t="s">
        <v>33</v>
      </c>
      <c r="E43" s="4" t="s">
        <v>25</v>
      </c>
      <c r="F43" s="4" t="s">
        <v>50</v>
      </c>
      <c r="G43" s="4" t="s">
        <v>25</v>
      </c>
      <c r="H43" s="4" t="s">
        <v>37</v>
      </c>
      <c r="I43" s="5">
        <v>44562</v>
      </c>
      <c r="J43" s="6">
        <v>0</v>
      </c>
      <c r="K43" s="6">
        <v>0</v>
      </c>
      <c r="L43" s="6">
        <v>509.79700000000003</v>
      </c>
      <c r="M43" s="6">
        <v>509.79700000000003</v>
      </c>
      <c r="N43" s="6">
        <v>0</v>
      </c>
      <c r="O43" s="6">
        <v>0</v>
      </c>
      <c r="P43" s="6">
        <v>0</v>
      </c>
      <c r="Q43" s="4" t="s">
        <v>51</v>
      </c>
      <c r="R43" s="4">
        <v>0</v>
      </c>
      <c r="S43" s="6">
        <v>0</v>
      </c>
      <c r="T43" s="6">
        <v>8</v>
      </c>
      <c r="U43" s="6">
        <v>0</v>
      </c>
      <c r="V43" s="6">
        <f>IF(ISERROR(VLOOKUP($S$43,'TAR FIN'!$A$1:$O$88,15,0)),0,VLOOKUP($S$43,'TAR FIN'!$A$1:$O$88,15,0))</f>
        <v>0</v>
      </c>
      <c r="W43" s="6">
        <f>IF(ISERROR(VLOOKUP($T$43,'TAR FIN'!$A$1:$O$88,15,0)),0,VLOOKUP($T$43,'TAR FIN'!$A$1:$O$88,15,0))</f>
        <v>70.19</v>
      </c>
      <c r="X43" s="6">
        <f>IF(ISERROR(VLOOKUP($U$43,'TAR FIN'!$A$1:$O$88,15,0)),0,VLOOKUP($U$43,'TAR FIN'!$A$1:$O$88,15,0))</f>
        <v>0</v>
      </c>
      <c r="Y43" s="6"/>
      <c r="Z43" s="6">
        <f ca="1">('TUSD BE'!$AM$12+'TUSD BF'!$AM$12+'TUSD CVA'!$AM$12)*1</f>
        <v>110.00224235361931</v>
      </c>
      <c r="AA43" s="6"/>
      <c r="AB43" s="6">
        <f>$K$43*$V$43</f>
        <v>0</v>
      </c>
      <c r="AC43" s="6">
        <f>$M$43*$W$43</f>
        <v>35782.651429999998</v>
      </c>
      <c r="AD43" s="6">
        <f>$O$43*$X$43</f>
        <v>0</v>
      </c>
      <c r="AE43" s="6">
        <f>$K$43*$Y$43</f>
        <v>0</v>
      </c>
      <c r="AF43" s="6">
        <f ca="1">$M$43*$Z$43</f>
        <v>56078.813145148066</v>
      </c>
      <c r="AG43" s="6">
        <f>$O$43*$AA$43</f>
        <v>0</v>
      </c>
    </row>
    <row r="44" spans="1:33" ht="11.25" customHeight="1" x14ac:dyDescent="0.25">
      <c r="A44" s="4" t="s">
        <v>21</v>
      </c>
      <c r="B44" s="4" t="s">
        <v>34</v>
      </c>
      <c r="C44" s="4" t="s">
        <v>35</v>
      </c>
      <c r="D44" s="4" t="s">
        <v>33</v>
      </c>
      <c r="E44" s="4" t="s">
        <v>25</v>
      </c>
      <c r="F44" s="4" t="s">
        <v>50</v>
      </c>
      <c r="G44" s="4" t="s">
        <v>25</v>
      </c>
      <c r="H44" s="4" t="s">
        <v>37</v>
      </c>
      <c r="I44" s="5">
        <v>44593</v>
      </c>
      <c r="J44" s="6">
        <v>0</v>
      </c>
      <c r="K44" s="6">
        <v>0</v>
      </c>
      <c r="L44" s="6">
        <v>511.16399999999999</v>
      </c>
      <c r="M44" s="6">
        <v>511.16399999999999</v>
      </c>
      <c r="N44" s="6">
        <v>0</v>
      </c>
      <c r="O44" s="6">
        <v>0</v>
      </c>
      <c r="P44" s="6">
        <v>0</v>
      </c>
      <c r="Q44" s="4" t="s">
        <v>51</v>
      </c>
      <c r="R44" s="4">
        <v>0</v>
      </c>
      <c r="S44" s="6">
        <v>0</v>
      </c>
      <c r="T44" s="6">
        <v>8</v>
      </c>
      <c r="U44" s="6">
        <v>0</v>
      </c>
      <c r="V44" s="6">
        <f>IF(ISERROR(VLOOKUP($S$44,'TAR FIN'!$A$1:$O$88,15,0)),0,VLOOKUP($S$44,'TAR FIN'!$A$1:$O$88,15,0))</f>
        <v>0</v>
      </c>
      <c r="W44" s="6">
        <f>IF(ISERROR(VLOOKUP($T$44,'TAR FIN'!$A$1:$O$88,15,0)),0,VLOOKUP($T$44,'TAR FIN'!$A$1:$O$88,15,0))</f>
        <v>70.19</v>
      </c>
      <c r="X44" s="6">
        <f>IF(ISERROR(VLOOKUP($U$44,'TAR FIN'!$A$1:$O$88,15,0)),0,VLOOKUP($U$44,'TAR FIN'!$A$1:$O$88,15,0))</f>
        <v>0</v>
      </c>
      <c r="Y44" s="6"/>
      <c r="Z44" s="6">
        <f ca="1">('TUSD BE'!$AM$12+'TUSD BF'!$AM$12+'TUSD CVA'!$AM$12)*1</f>
        <v>110.00224235361931</v>
      </c>
      <c r="AA44" s="6"/>
      <c r="AB44" s="6">
        <f>$K$44*$V$44</f>
        <v>0</v>
      </c>
      <c r="AC44" s="6">
        <f>$M$44*$W$44</f>
        <v>35878.601159999998</v>
      </c>
      <c r="AD44" s="6">
        <f>$O$44*$X$44</f>
        <v>0</v>
      </c>
      <c r="AE44" s="6">
        <f>$K$44*$Y$44</f>
        <v>0</v>
      </c>
      <c r="AF44" s="6">
        <f ca="1">$M$44*$Z$44</f>
        <v>56229.186210445456</v>
      </c>
      <c r="AG44" s="6">
        <f>$O$44*$AA$44</f>
        <v>0</v>
      </c>
    </row>
    <row r="45" spans="1:33" ht="11.25" customHeight="1" x14ac:dyDescent="0.25">
      <c r="A45" s="4" t="s">
        <v>21</v>
      </c>
      <c r="B45" s="4" t="s">
        <v>34</v>
      </c>
      <c r="C45" s="4" t="s">
        <v>35</v>
      </c>
      <c r="D45" s="4" t="s">
        <v>33</v>
      </c>
      <c r="E45" s="4" t="s">
        <v>25</v>
      </c>
      <c r="F45" s="4" t="s">
        <v>50</v>
      </c>
      <c r="G45" s="4" t="s">
        <v>25</v>
      </c>
      <c r="H45" s="4" t="s">
        <v>37</v>
      </c>
      <c r="I45" s="5">
        <v>44621</v>
      </c>
      <c r="J45" s="6">
        <v>0</v>
      </c>
      <c r="K45" s="6">
        <v>0</v>
      </c>
      <c r="L45" s="6">
        <v>573.44500000000005</v>
      </c>
      <c r="M45" s="6">
        <v>573.44500000000005</v>
      </c>
      <c r="N45" s="6">
        <v>0</v>
      </c>
      <c r="O45" s="6">
        <v>0</v>
      </c>
      <c r="P45" s="6">
        <v>0</v>
      </c>
      <c r="Q45" s="4" t="s">
        <v>51</v>
      </c>
      <c r="R45" s="4">
        <v>0</v>
      </c>
      <c r="S45" s="6">
        <v>0</v>
      </c>
      <c r="T45" s="6">
        <v>8</v>
      </c>
      <c r="U45" s="6">
        <v>0</v>
      </c>
      <c r="V45" s="6">
        <f>IF(ISERROR(VLOOKUP($S$45,'TAR FIN'!$A$1:$O$88,15,0)),0,VLOOKUP($S$45,'TAR FIN'!$A$1:$O$88,15,0))</f>
        <v>0</v>
      </c>
      <c r="W45" s="6">
        <f>IF(ISERROR(VLOOKUP($T$45,'TAR FIN'!$A$1:$O$88,15,0)),0,VLOOKUP($T$45,'TAR FIN'!$A$1:$O$88,15,0))</f>
        <v>70.19</v>
      </c>
      <c r="X45" s="6">
        <f>IF(ISERROR(VLOOKUP($U$45,'TAR FIN'!$A$1:$O$88,15,0)),0,VLOOKUP($U$45,'TAR FIN'!$A$1:$O$88,15,0))</f>
        <v>0</v>
      </c>
      <c r="Y45" s="6"/>
      <c r="Z45" s="6">
        <f ca="1">('TUSD BE'!$AM$12+'TUSD BF'!$AM$12+'TUSD CVA'!$AM$12)*1</f>
        <v>110.00224235361931</v>
      </c>
      <c r="AA45" s="6"/>
      <c r="AB45" s="6">
        <f>$K$45*$V$45</f>
        <v>0</v>
      </c>
      <c r="AC45" s="6">
        <f>$M$45*$W$45</f>
        <v>40250.104550000004</v>
      </c>
      <c r="AD45" s="6">
        <f>$O$45*$X$45</f>
        <v>0</v>
      </c>
      <c r="AE45" s="6">
        <f>$K$45*$Y$45</f>
        <v>0</v>
      </c>
      <c r="AF45" s="6">
        <f ca="1">$M$45*$Z$45</f>
        <v>63080.23586647123</v>
      </c>
      <c r="AG45" s="6">
        <f>$O$45*$AA$45</f>
        <v>0</v>
      </c>
    </row>
    <row r="46" spans="1:33" ht="11.25" customHeight="1" x14ac:dyDescent="0.25">
      <c r="A46" s="4" t="s">
        <v>21</v>
      </c>
      <c r="B46" s="4" t="s">
        <v>34</v>
      </c>
      <c r="C46" s="4" t="s">
        <v>35</v>
      </c>
      <c r="D46" s="4" t="s">
        <v>33</v>
      </c>
      <c r="E46" s="4" t="s">
        <v>25</v>
      </c>
      <c r="F46" s="4" t="s">
        <v>50</v>
      </c>
      <c r="G46" s="4" t="s">
        <v>25</v>
      </c>
      <c r="H46" s="4" t="s">
        <v>37</v>
      </c>
      <c r="I46" s="5">
        <v>44652</v>
      </c>
      <c r="J46" s="6">
        <v>0</v>
      </c>
      <c r="K46" s="6">
        <v>0</v>
      </c>
      <c r="L46" s="6">
        <v>505.69200000000001</v>
      </c>
      <c r="M46" s="6">
        <v>505.69200000000001</v>
      </c>
      <c r="N46" s="6">
        <v>0</v>
      </c>
      <c r="O46" s="6">
        <v>0</v>
      </c>
      <c r="P46" s="6">
        <v>0</v>
      </c>
      <c r="Q46" s="4" t="s">
        <v>51</v>
      </c>
      <c r="R46" s="4">
        <v>0</v>
      </c>
      <c r="S46" s="6">
        <v>0</v>
      </c>
      <c r="T46" s="6">
        <v>8</v>
      </c>
      <c r="U46" s="6">
        <v>0</v>
      </c>
      <c r="V46" s="6">
        <f>IF(ISERROR(VLOOKUP($S$46,'TAR FIN'!$A$1:$O$88,15,0)),0,VLOOKUP($S$46,'TAR FIN'!$A$1:$O$88,15,0))</f>
        <v>0</v>
      </c>
      <c r="W46" s="6">
        <f>IF(ISERROR(VLOOKUP($T$46,'TAR FIN'!$A$1:$O$88,15,0)),0,VLOOKUP($T$46,'TAR FIN'!$A$1:$O$88,15,0))</f>
        <v>70.19</v>
      </c>
      <c r="X46" s="6">
        <f>IF(ISERROR(VLOOKUP($U$46,'TAR FIN'!$A$1:$O$88,15,0)),0,VLOOKUP($U$46,'TAR FIN'!$A$1:$O$88,15,0))</f>
        <v>0</v>
      </c>
      <c r="Y46" s="6"/>
      <c r="Z46" s="6">
        <f ca="1">('TUSD BE'!$AM$12+'TUSD BF'!$AM$12+'TUSD CVA'!$AM$12)*1</f>
        <v>110.00224235361931</v>
      </c>
      <c r="AA46" s="6"/>
      <c r="AB46" s="6">
        <f>$K$46*$V$46</f>
        <v>0</v>
      </c>
      <c r="AC46" s="6">
        <f>$M$46*$W$46</f>
        <v>35494.521479999996</v>
      </c>
      <c r="AD46" s="6">
        <f>$O$46*$X$46</f>
        <v>0</v>
      </c>
      <c r="AE46" s="6">
        <f>$K$46*$Y$46</f>
        <v>0</v>
      </c>
      <c r="AF46" s="6">
        <f ca="1">$M$46*$Z$46</f>
        <v>55627.253940286457</v>
      </c>
      <c r="AG46" s="6">
        <f>$O$46*$AA$46</f>
        <v>0</v>
      </c>
    </row>
    <row r="47" spans="1:33" ht="11.25" customHeight="1" x14ac:dyDescent="0.25">
      <c r="A47" s="4" t="s">
        <v>21</v>
      </c>
      <c r="B47" s="4" t="s">
        <v>34</v>
      </c>
      <c r="C47" s="4" t="s">
        <v>35</v>
      </c>
      <c r="D47" s="4" t="s">
        <v>33</v>
      </c>
      <c r="E47" s="4" t="s">
        <v>25</v>
      </c>
      <c r="F47" s="4" t="s">
        <v>50</v>
      </c>
      <c r="G47" s="4" t="s">
        <v>25</v>
      </c>
      <c r="H47" s="4" t="s">
        <v>37</v>
      </c>
      <c r="I47" s="5">
        <v>44682</v>
      </c>
      <c r="J47" s="6">
        <v>0</v>
      </c>
      <c r="K47" s="6">
        <v>0</v>
      </c>
      <c r="L47" s="6">
        <v>515.16200000000003</v>
      </c>
      <c r="M47" s="6">
        <v>515.16200000000003</v>
      </c>
      <c r="N47" s="6">
        <v>0</v>
      </c>
      <c r="O47" s="6">
        <v>0</v>
      </c>
      <c r="P47" s="6">
        <v>0</v>
      </c>
      <c r="Q47" s="4" t="s">
        <v>51</v>
      </c>
      <c r="R47" s="4">
        <v>0</v>
      </c>
      <c r="S47" s="6">
        <v>0</v>
      </c>
      <c r="T47" s="6">
        <v>8</v>
      </c>
      <c r="U47" s="6">
        <v>0</v>
      </c>
      <c r="V47" s="6">
        <f>IF(ISERROR(VLOOKUP($S$47,'TAR FIN'!$A$1:$O$88,15,0)),0,VLOOKUP($S$47,'TAR FIN'!$A$1:$O$88,15,0))</f>
        <v>0</v>
      </c>
      <c r="W47" s="6">
        <f>IF(ISERROR(VLOOKUP($T$47,'TAR FIN'!$A$1:$O$88,15,0)),0,VLOOKUP($T$47,'TAR FIN'!$A$1:$O$88,15,0))</f>
        <v>70.19</v>
      </c>
      <c r="X47" s="6">
        <f>IF(ISERROR(VLOOKUP($U$47,'TAR FIN'!$A$1:$O$88,15,0)),0,VLOOKUP($U$47,'TAR FIN'!$A$1:$O$88,15,0))</f>
        <v>0</v>
      </c>
      <c r="Y47" s="6"/>
      <c r="Z47" s="6">
        <f ca="1">('TUSD BE'!$AM$12+'TUSD BF'!$AM$12+'TUSD CVA'!$AM$12)*1</f>
        <v>110.00224235361931</v>
      </c>
      <c r="AA47" s="6"/>
      <c r="AB47" s="6">
        <f>$K$47*$V$47</f>
        <v>0</v>
      </c>
      <c r="AC47" s="6">
        <f>$M$47*$W$47</f>
        <v>36159.220780000003</v>
      </c>
      <c r="AD47" s="6">
        <f>$O$47*$X$47</f>
        <v>0</v>
      </c>
      <c r="AE47" s="6">
        <f>$K$47*$Y$47</f>
        <v>0</v>
      </c>
      <c r="AF47" s="6">
        <f ca="1">$M$47*$Z$47</f>
        <v>56668.975175375235</v>
      </c>
      <c r="AG47" s="6">
        <f>$O$47*$AA$47</f>
        <v>0</v>
      </c>
    </row>
    <row r="48" spans="1:33" ht="11.25" customHeight="1" x14ac:dyDescent="0.25">
      <c r="A48" s="4" t="s">
        <v>21</v>
      </c>
      <c r="B48" s="4" t="s">
        <v>34</v>
      </c>
      <c r="C48" s="4" t="s">
        <v>35</v>
      </c>
      <c r="D48" s="4" t="s">
        <v>33</v>
      </c>
      <c r="E48" s="4" t="s">
        <v>25</v>
      </c>
      <c r="F48" s="4" t="s">
        <v>50</v>
      </c>
      <c r="G48" s="4" t="s">
        <v>25</v>
      </c>
      <c r="H48" s="4" t="s">
        <v>37</v>
      </c>
      <c r="I48" s="5">
        <v>44713</v>
      </c>
      <c r="J48" s="6">
        <v>0</v>
      </c>
      <c r="K48" s="6">
        <v>0</v>
      </c>
      <c r="L48" s="6">
        <v>514.71199999999999</v>
      </c>
      <c r="M48" s="6">
        <v>514.71199999999999</v>
      </c>
      <c r="N48" s="6">
        <v>0</v>
      </c>
      <c r="O48" s="6">
        <v>0</v>
      </c>
      <c r="P48" s="6">
        <v>0</v>
      </c>
      <c r="Q48" s="4" t="s">
        <v>51</v>
      </c>
      <c r="R48" s="4">
        <v>0</v>
      </c>
      <c r="S48" s="6">
        <v>0</v>
      </c>
      <c r="T48" s="6">
        <v>8</v>
      </c>
      <c r="U48" s="6">
        <v>0</v>
      </c>
      <c r="V48" s="6">
        <f>IF(ISERROR(VLOOKUP($S$48,'TAR FIN'!$A$1:$O$88,15,0)),0,VLOOKUP($S$48,'TAR FIN'!$A$1:$O$88,15,0))</f>
        <v>0</v>
      </c>
      <c r="W48" s="6">
        <f>IF(ISERROR(VLOOKUP($T$48,'TAR FIN'!$A$1:$O$88,15,0)),0,VLOOKUP($T$48,'TAR FIN'!$A$1:$O$88,15,0))</f>
        <v>70.19</v>
      </c>
      <c r="X48" s="6">
        <f>IF(ISERROR(VLOOKUP($U$48,'TAR FIN'!$A$1:$O$88,15,0)),0,VLOOKUP($U$48,'TAR FIN'!$A$1:$O$88,15,0))</f>
        <v>0</v>
      </c>
      <c r="Y48" s="6"/>
      <c r="Z48" s="6">
        <f ca="1">('TUSD BE'!$AM$12+'TUSD BF'!$AM$12+'TUSD CVA'!$AM$12)*1</f>
        <v>110.00224235361931</v>
      </c>
      <c r="AA48" s="6"/>
      <c r="AB48" s="6">
        <f>$K$48*$V$48</f>
        <v>0</v>
      </c>
      <c r="AC48" s="6">
        <f>$M$48*$W$48</f>
        <v>36127.635279999995</v>
      </c>
      <c r="AD48" s="6">
        <f>$O$48*$X$48</f>
        <v>0</v>
      </c>
      <c r="AE48" s="6">
        <f>$K$48*$Y$48</f>
        <v>0</v>
      </c>
      <c r="AF48" s="6">
        <f ca="1">$M$48*$Z$48</f>
        <v>56619.474166316104</v>
      </c>
      <c r="AG48" s="6">
        <f>$O$48*$AA$48</f>
        <v>0</v>
      </c>
    </row>
    <row r="49" spans="1:33" ht="11.25" customHeight="1" x14ac:dyDescent="0.25">
      <c r="A49" s="4" t="s">
        <v>21</v>
      </c>
      <c r="B49" s="4" t="s">
        <v>34</v>
      </c>
      <c r="C49" s="4" t="s">
        <v>35</v>
      </c>
      <c r="D49" s="4" t="s">
        <v>33</v>
      </c>
      <c r="E49" s="4" t="s">
        <v>25</v>
      </c>
      <c r="F49" s="4" t="s">
        <v>50</v>
      </c>
      <c r="G49" s="4" t="s">
        <v>25</v>
      </c>
      <c r="H49" s="4" t="s">
        <v>37</v>
      </c>
      <c r="I49" s="5">
        <v>44743</v>
      </c>
      <c r="J49" s="6">
        <v>0</v>
      </c>
      <c r="K49" s="6">
        <v>0</v>
      </c>
      <c r="L49" s="6">
        <v>525.48800000000006</v>
      </c>
      <c r="M49" s="6">
        <v>525.48800000000006</v>
      </c>
      <c r="N49" s="6">
        <v>0</v>
      </c>
      <c r="O49" s="6">
        <v>0</v>
      </c>
      <c r="P49" s="6">
        <v>0</v>
      </c>
      <c r="Q49" s="4" t="s">
        <v>51</v>
      </c>
      <c r="R49" s="4">
        <v>0</v>
      </c>
      <c r="S49" s="6">
        <v>0</v>
      </c>
      <c r="T49" s="6">
        <v>8</v>
      </c>
      <c r="U49" s="6">
        <v>0</v>
      </c>
      <c r="V49" s="6">
        <f>IF(ISERROR(VLOOKUP($S$49,'TAR FIN'!$A$1:$O$88,15,0)),0,VLOOKUP($S$49,'TAR FIN'!$A$1:$O$88,15,0))</f>
        <v>0</v>
      </c>
      <c r="W49" s="6">
        <f>IF(ISERROR(VLOOKUP($T$49,'TAR FIN'!$A$1:$O$88,15,0)),0,VLOOKUP($T$49,'TAR FIN'!$A$1:$O$88,15,0))</f>
        <v>70.19</v>
      </c>
      <c r="X49" s="6">
        <f>IF(ISERROR(VLOOKUP($U$49,'TAR FIN'!$A$1:$O$88,15,0)),0,VLOOKUP($U$49,'TAR FIN'!$A$1:$O$88,15,0))</f>
        <v>0</v>
      </c>
      <c r="Y49" s="6"/>
      <c r="Z49" s="6">
        <f ca="1">('TUSD BE'!$AM$12+'TUSD BF'!$AM$12+'TUSD CVA'!$AM$12)*1</f>
        <v>110.00224235361931</v>
      </c>
      <c r="AA49" s="6"/>
      <c r="AB49" s="6">
        <f>$K$49*$V$49</f>
        <v>0</v>
      </c>
      <c r="AC49" s="6">
        <f>$M$49*$W$49</f>
        <v>36884.002720000004</v>
      </c>
      <c r="AD49" s="6">
        <f>$O$49*$X$49</f>
        <v>0</v>
      </c>
      <c r="AE49" s="6">
        <f>$K$49*$Y$49</f>
        <v>0</v>
      </c>
      <c r="AF49" s="6">
        <f ca="1">$M$49*$Z$49</f>
        <v>57804.858329918708</v>
      </c>
      <c r="AG49" s="6">
        <f>$O$49*$AA$49</f>
        <v>0</v>
      </c>
    </row>
    <row r="50" spans="1:33" ht="11.25" customHeight="1" x14ac:dyDescent="0.25">
      <c r="A50" s="4" t="s">
        <v>21</v>
      </c>
      <c r="B50" s="4" t="s">
        <v>34</v>
      </c>
      <c r="C50" s="4" t="s">
        <v>35</v>
      </c>
      <c r="D50" s="4" t="s">
        <v>33</v>
      </c>
      <c r="E50" s="4" t="s">
        <v>25</v>
      </c>
      <c r="F50" s="4" t="s">
        <v>50</v>
      </c>
      <c r="G50" s="4" t="s">
        <v>25</v>
      </c>
      <c r="H50" s="4" t="s">
        <v>25</v>
      </c>
      <c r="I50" s="5">
        <v>44409</v>
      </c>
      <c r="J50" s="6">
        <v>1300</v>
      </c>
      <c r="K50" s="6">
        <v>703.09371599999997</v>
      </c>
      <c r="L50" s="6">
        <v>0</v>
      </c>
      <c r="M50" s="6">
        <v>0</v>
      </c>
      <c r="N50" s="6">
        <v>0</v>
      </c>
      <c r="O50" s="6">
        <v>0</v>
      </c>
      <c r="P50" s="6">
        <v>2</v>
      </c>
      <c r="Q50" s="4" t="s">
        <v>51</v>
      </c>
      <c r="R50" s="4">
        <v>0</v>
      </c>
      <c r="S50" s="6">
        <v>6</v>
      </c>
      <c r="T50" s="6">
        <v>0</v>
      </c>
      <c r="U50" s="6">
        <v>0</v>
      </c>
      <c r="V50" s="6">
        <f>IF(ISERROR(VLOOKUP($S$50,'TAR FIN'!$A$1:$O$88,15,0)),0,VLOOKUP($S$50,'TAR FIN'!$A$1:$O$88,15,0))</f>
        <v>20.43</v>
      </c>
      <c r="W50" s="6">
        <f>IF(ISERROR(VLOOKUP($T$50,'TAR FIN'!$A$1:$O$88,15,0)),0,VLOOKUP($T$50,'TAR FIN'!$A$1:$O$88,15,0))</f>
        <v>0</v>
      </c>
      <c r="X50" s="6">
        <f>IF(ISERROR(VLOOKUP($U$50,'TAR FIN'!$A$1:$O$88,15,0)),0,VLOOKUP($U$50,'TAR FIN'!$A$1:$O$88,15,0))</f>
        <v>0</v>
      </c>
      <c r="Y50" s="6">
        <f ca="1">('TUSD BE'!$AM$10+'TUSD BF'!$AM$10+'TUSD CVA'!$AM$10)*1</f>
        <v>17.702312702839738</v>
      </c>
      <c r="Z50" s="6"/>
      <c r="AA50" s="6"/>
      <c r="AB50" s="6">
        <f>$K$50*$V$50</f>
        <v>14364.204617879999</v>
      </c>
      <c r="AC50" s="6">
        <f>$M$50*$W$50</f>
        <v>0</v>
      </c>
      <c r="AD50" s="6">
        <f>$O$50*$X$50</f>
        <v>0</v>
      </c>
      <c r="AE50" s="6">
        <f ca="1">$K$50*$Y$50</f>
        <v>12446.384820033594</v>
      </c>
      <c r="AF50" s="6">
        <f>$M$50*$Z$50</f>
        <v>0</v>
      </c>
      <c r="AG50" s="6">
        <f>$O$50*$AA$50</f>
        <v>0</v>
      </c>
    </row>
    <row r="51" spans="1:33" ht="11.25" customHeight="1" x14ac:dyDescent="0.25">
      <c r="A51" s="4" t="s">
        <v>21</v>
      </c>
      <c r="B51" s="4" t="s">
        <v>34</v>
      </c>
      <c r="C51" s="4" t="s">
        <v>35</v>
      </c>
      <c r="D51" s="4" t="s">
        <v>33</v>
      </c>
      <c r="E51" s="4" t="s">
        <v>25</v>
      </c>
      <c r="F51" s="4" t="s">
        <v>50</v>
      </c>
      <c r="G51" s="4" t="s">
        <v>25</v>
      </c>
      <c r="H51" s="4" t="s">
        <v>25</v>
      </c>
      <c r="I51" s="5">
        <v>44440</v>
      </c>
      <c r="J51" s="6">
        <v>1300</v>
      </c>
      <c r="K51" s="6">
        <v>710.24843499999997</v>
      </c>
      <c r="L51" s="6">
        <v>0</v>
      </c>
      <c r="M51" s="6">
        <v>0</v>
      </c>
      <c r="N51" s="6">
        <v>0</v>
      </c>
      <c r="O51" s="6">
        <v>0</v>
      </c>
      <c r="P51" s="6">
        <v>2</v>
      </c>
      <c r="Q51" s="4" t="s">
        <v>51</v>
      </c>
      <c r="R51" s="4">
        <v>0</v>
      </c>
      <c r="S51" s="6">
        <v>6</v>
      </c>
      <c r="T51" s="6">
        <v>0</v>
      </c>
      <c r="U51" s="6">
        <v>0</v>
      </c>
      <c r="V51" s="6">
        <f>IF(ISERROR(VLOOKUP($S$51,'TAR FIN'!$A$1:$O$88,15,0)),0,VLOOKUP($S$51,'TAR FIN'!$A$1:$O$88,15,0))</f>
        <v>20.43</v>
      </c>
      <c r="W51" s="6">
        <f>IF(ISERROR(VLOOKUP($T$51,'TAR FIN'!$A$1:$O$88,15,0)),0,VLOOKUP($T$51,'TAR FIN'!$A$1:$O$88,15,0))</f>
        <v>0</v>
      </c>
      <c r="X51" s="6">
        <f>IF(ISERROR(VLOOKUP($U$51,'TAR FIN'!$A$1:$O$88,15,0)),0,VLOOKUP($U$51,'TAR FIN'!$A$1:$O$88,15,0))</f>
        <v>0</v>
      </c>
      <c r="Y51" s="6">
        <f ca="1">('TUSD BE'!$AM$10+'TUSD BF'!$AM$10+'TUSD CVA'!$AM$10)*1</f>
        <v>17.702312702839738</v>
      </c>
      <c r="Z51" s="6"/>
      <c r="AA51" s="6"/>
      <c r="AB51" s="6">
        <f>$K$51*$V$51</f>
        <v>14510.375527049999</v>
      </c>
      <c r="AC51" s="6">
        <f>$M$51*$W$51</f>
        <v>0</v>
      </c>
      <c r="AD51" s="6">
        <f>$O$51*$X$51</f>
        <v>0</v>
      </c>
      <c r="AE51" s="6">
        <f ca="1">$K$51*$Y$51</f>
        <v>12573.039893072542</v>
      </c>
      <c r="AF51" s="6">
        <f>$M$51*$Z$51</f>
        <v>0</v>
      </c>
      <c r="AG51" s="6">
        <f>$O$51*$AA$51</f>
        <v>0</v>
      </c>
    </row>
    <row r="52" spans="1:33" ht="11.25" customHeight="1" x14ac:dyDescent="0.25">
      <c r="A52" s="4" t="s">
        <v>21</v>
      </c>
      <c r="B52" s="4" t="s">
        <v>34</v>
      </c>
      <c r="C52" s="4" t="s">
        <v>35</v>
      </c>
      <c r="D52" s="4" t="s">
        <v>33</v>
      </c>
      <c r="E52" s="4" t="s">
        <v>25</v>
      </c>
      <c r="F52" s="4" t="s">
        <v>50</v>
      </c>
      <c r="G52" s="4" t="s">
        <v>25</v>
      </c>
      <c r="H52" s="4" t="s">
        <v>25</v>
      </c>
      <c r="I52" s="5">
        <v>44470</v>
      </c>
      <c r="J52" s="6">
        <v>1300</v>
      </c>
      <c r="K52" s="6">
        <v>713.766482</v>
      </c>
      <c r="L52" s="6">
        <v>0</v>
      </c>
      <c r="M52" s="6">
        <v>0</v>
      </c>
      <c r="N52" s="6">
        <v>0</v>
      </c>
      <c r="O52" s="6">
        <v>0</v>
      </c>
      <c r="P52" s="6">
        <v>2</v>
      </c>
      <c r="Q52" s="4" t="s">
        <v>51</v>
      </c>
      <c r="R52" s="4">
        <v>0</v>
      </c>
      <c r="S52" s="6">
        <v>6</v>
      </c>
      <c r="T52" s="6">
        <v>0</v>
      </c>
      <c r="U52" s="6">
        <v>0</v>
      </c>
      <c r="V52" s="6">
        <f>IF(ISERROR(VLOOKUP($S$52,'TAR FIN'!$A$1:$O$88,15,0)),0,VLOOKUP($S$52,'TAR FIN'!$A$1:$O$88,15,0))</f>
        <v>20.43</v>
      </c>
      <c r="W52" s="6">
        <f>IF(ISERROR(VLOOKUP($T$52,'TAR FIN'!$A$1:$O$88,15,0)),0,VLOOKUP($T$52,'TAR FIN'!$A$1:$O$88,15,0))</f>
        <v>0</v>
      </c>
      <c r="X52" s="6">
        <f>IF(ISERROR(VLOOKUP($U$52,'TAR FIN'!$A$1:$O$88,15,0)),0,VLOOKUP($U$52,'TAR FIN'!$A$1:$O$88,15,0))</f>
        <v>0</v>
      </c>
      <c r="Y52" s="6">
        <f ca="1">('TUSD BE'!$AM$10+'TUSD BF'!$AM$10+'TUSD CVA'!$AM$10)*1</f>
        <v>17.702312702839738</v>
      </c>
      <c r="Z52" s="6"/>
      <c r="AA52" s="6"/>
      <c r="AB52" s="6">
        <f>$K$52*$V$52</f>
        <v>14582.249227259999</v>
      </c>
      <c r="AC52" s="6">
        <f>$M$52*$W$52</f>
        <v>0</v>
      </c>
      <c r="AD52" s="6">
        <f>$O$52*$X$52</f>
        <v>0</v>
      </c>
      <c r="AE52" s="6">
        <f ca="1">$K$52*$Y$52</f>
        <v>12635.31746116983</v>
      </c>
      <c r="AF52" s="6">
        <f>$M$52*$Z$52</f>
        <v>0</v>
      </c>
      <c r="AG52" s="6">
        <f>$O$52*$AA$52</f>
        <v>0</v>
      </c>
    </row>
    <row r="53" spans="1:33" ht="11.25" customHeight="1" x14ac:dyDescent="0.25">
      <c r="A53" s="4" t="s">
        <v>21</v>
      </c>
      <c r="B53" s="4" t="s">
        <v>34</v>
      </c>
      <c r="C53" s="4" t="s">
        <v>35</v>
      </c>
      <c r="D53" s="4" t="s">
        <v>33</v>
      </c>
      <c r="E53" s="4" t="s">
        <v>25</v>
      </c>
      <c r="F53" s="4" t="s">
        <v>50</v>
      </c>
      <c r="G53" s="4" t="s">
        <v>25</v>
      </c>
      <c r="H53" s="4" t="s">
        <v>25</v>
      </c>
      <c r="I53" s="5">
        <v>44501</v>
      </c>
      <c r="J53" s="6">
        <v>1387</v>
      </c>
      <c r="K53" s="6">
        <v>698.92776097000001</v>
      </c>
      <c r="L53" s="6">
        <v>0</v>
      </c>
      <c r="M53" s="6">
        <v>0</v>
      </c>
      <c r="N53" s="6">
        <v>0</v>
      </c>
      <c r="O53" s="6">
        <v>0</v>
      </c>
      <c r="P53" s="6">
        <v>2</v>
      </c>
      <c r="Q53" s="4" t="s">
        <v>51</v>
      </c>
      <c r="R53" s="4">
        <v>0</v>
      </c>
      <c r="S53" s="6">
        <v>6</v>
      </c>
      <c r="T53" s="6">
        <v>0</v>
      </c>
      <c r="U53" s="6">
        <v>0</v>
      </c>
      <c r="V53" s="6">
        <f>IF(ISERROR(VLOOKUP($S$53,'TAR FIN'!$A$1:$O$88,15,0)),0,VLOOKUP($S$53,'TAR FIN'!$A$1:$O$88,15,0))</f>
        <v>20.43</v>
      </c>
      <c r="W53" s="6">
        <f>IF(ISERROR(VLOOKUP($T$53,'TAR FIN'!$A$1:$O$88,15,0)),0,VLOOKUP($T$53,'TAR FIN'!$A$1:$O$88,15,0))</f>
        <v>0</v>
      </c>
      <c r="X53" s="6">
        <f>IF(ISERROR(VLOOKUP($U$53,'TAR FIN'!$A$1:$O$88,15,0)),0,VLOOKUP($U$53,'TAR FIN'!$A$1:$O$88,15,0))</f>
        <v>0</v>
      </c>
      <c r="Y53" s="6">
        <f ca="1">('TUSD BE'!$AM$10+'TUSD BF'!$AM$10+'TUSD CVA'!$AM$10)*1</f>
        <v>17.702312702839738</v>
      </c>
      <c r="Z53" s="6"/>
      <c r="AA53" s="6"/>
      <c r="AB53" s="6">
        <f>$K$53*$V$53</f>
        <v>14279.0941566171</v>
      </c>
      <c r="AC53" s="6">
        <f>$M$53*$W$53</f>
        <v>0</v>
      </c>
      <c r="AD53" s="6">
        <f>$O$53*$X$53</f>
        <v>0</v>
      </c>
      <c r="AE53" s="6">
        <f ca="1">$K$53*$Y$53</f>
        <v>12372.637781386567</v>
      </c>
      <c r="AF53" s="6">
        <f>$M$53*$Z$53</f>
        <v>0</v>
      </c>
      <c r="AG53" s="6">
        <f>$O$53*$AA$53</f>
        <v>0</v>
      </c>
    </row>
    <row r="54" spans="1:33" ht="11.25" customHeight="1" x14ac:dyDescent="0.25">
      <c r="A54" s="4" t="s">
        <v>21</v>
      </c>
      <c r="B54" s="4" t="s">
        <v>34</v>
      </c>
      <c r="C54" s="4" t="s">
        <v>35</v>
      </c>
      <c r="D54" s="4" t="s">
        <v>33</v>
      </c>
      <c r="E54" s="4" t="s">
        <v>25</v>
      </c>
      <c r="F54" s="4" t="s">
        <v>50</v>
      </c>
      <c r="G54" s="4" t="s">
        <v>25</v>
      </c>
      <c r="H54" s="4" t="s">
        <v>25</v>
      </c>
      <c r="I54" s="5">
        <v>44531</v>
      </c>
      <c r="J54" s="6">
        <v>1556</v>
      </c>
      <c r="K54" s="6">
        <v>813.63548088000005</v>
      </c>
      <c r="L54" s="6">
        <v>0</v>
      </c>
      <c r="M54" s="6">
        <v>0</v>
      </c>
      <c r="N54" s="6">
        <v>0</v>
      </c>
      <c r="O54" s="6">
        <v>0</v>
      </c>
      <c r="P54" s="6">
        <v>3</v>
      </c>
      <c r="Q54" s="4" t="s">
        <v>51</v>
      </c>
      <c r="R54" s="4">
        <v>0</v>
      </c>
      <c r="S54" s="6">
        <v>6</v>
      </c>
      <c r="T54" s="6">
        <v>0</v>
      </c>
      <c r="U54" s="6">
        <v>0</v>
      </c>
      <c r="V54" s="6">
        <f>IF(ISERROR(VLOOKUP($S$54,'TAR FIN'!$A$1:$O$88,15,0)),0,VLOOKUP($S$54,'TAR FIN'!$A$1:$O$88,15,0))</f>
        <v>20.43</v>
      </c>
      <c r="W54" s="6">
        <f>IF(ISERROR(VLOOKUP($T$54,'TAR FIN'!$A$1:$O$88,15,0)),0,VLOOKUP($T$54,'TAR FIN'!$A$1:$O$88,15,0))</f>
        <v>0</v>
      </c>
      <c r="X54" s="6">
        <f>IF(ISERROR(VLOOKUP($U$54,'TAR FIN'!$A$1:$O$88,15,0)),0,VLOOKUP($U$54,'TAR FIN'!$A$1:$O$88,15,0))</f>
        <v>0</v>
      </c>
      <c r="Y54" s="6">
        <f ca="1">('TUSD BE'!$AM$10+'TUSD BF'!$AM$10+'TUSD CVA'!$AM$10)*1</f>
        <v>17.702312702839738</v>
      </c>
      <c r="Z54" s="6"/>
      <c r="AA54" s="6"/>
      <c r="AB54" s="6">
        <f>$K$54*$V$54</f>
        <v>16622.572874378402</v>
      </c>
      <c r="AC54" s="6">
        <f>$M$54*$W$54</f>
        <v>0</v>
      </c>
      <c r="AD54" s="6">
        <f>$O$54*$X$54</f>
        <v>0</v>
      </c>
      <c r="AE54" s="6">
        <f ca="1">$K$54*$Y$54</f>
        <v>14403.229708663142</v>
      </c>
      <c r="AF54" s="6">
        <f>$M$54*$Z$54</f>
        <v>0</v>
      </c>
      <c r="AG54" s="6">
        <f>$O$54*$AA$54</f>
        <v>0</v>
      </c>
    </row>
    <row r="55" spans="1:33" ht="11.25" customHeight="1" x14ac:dyDescent="0.25">
      <c r="A55" s="4" t="s">
        <v>21</v>
      </c>
      <c r="B55" s="4" t="s">
        <v>34</v>
      </c>
      <c r="C55" s="4" t="s">
        <v>35</v>
      </c>
      <c r="D55" s="4" t="s">
        <v>33</v>
      </c>
      <c r="E55" s="4" t="s">
        <v>25</v>
      </c>
      <c r="F55" s="4" t="s">
        <v>50</v>
      </c>
      <c r="G55" s="4" t="s">
        <v>25</v>
      </c>
      <c r="H55" s="4" t="s">
        <v>25</v>
      </c>
      <c r="I55" s="5">
        <v>44562</v>
      </c>
      <c r="J55" s="6">
        <v>1548</v>
      </c>
      <c r="K55" s="6">
        <v>802.55984148000005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4" t="s">
        <v>51</v>
      </c>
      <c r="R55" s="4">
        <v>0</v>
      </c>
      <c r="S55" s="6">
        <v>6</v>
      </c>
      <c r="T55" s="6">
        <v>0</v>
      </c>
      <c r="U55" s="6">
        <v>0</v>
      </c>
      <c r="V55" s="6">
        <f>IF(ISERROR(VLOOKUP($S$55,'TAR FIN'!$A$1:$O$88,15,0)),0,VLOOKUP($S$55,'TAR FIN'!$A$1:$O$88,15,0))</f>
        <v>20.43</v>
      </c>
      <c r="W55" s="6">
        <f>IF(ISERROR(VLOOKUP($T$55,'TAR FIN'!$A$1:$O$88,15,0)),0,VLOOKUP($T$55,'TAR FIN'!$A$1:$O$88,15,0))</f>
        <v>0</v>
      </c>
      <c r="X55" s="6">
        <f>IF(ISERROR(VLOOKUP($U$55,'TAR FIN'!$A$1:$O$88,15,0)),0,VLOOKUP($U$55,'TAR FIN'!$A$1:$O$88,15,0))</f>
        <v>0</v>
      </c>
      <c r="Y55" s="6">
        <f ca="1">('TUSD BE'!$AM$10+'TUSD BF'!$AM$10+'TUSD CVA'!$AM$10)*1</f>
        <v>17.702312702839738</v>
      </c>
      <c r="Z55" s="6"/>
      <c r="AA55" s="6"/>
      <c r="AB55" s="6">
        <f>$K$55*$V$55</f>
        <v>16396.2975614364</v>
      </c>
      <c r="AC55" s="6">
        <f>$M$55*$W$55</f>
        <v>0</v>
      </c>
      <c r="AD55" s="6">
        <f>$O$55*$X$55</f>
        <v>0</v>
      </c>
      <c r="AE55" s="6">
        <f ca="1">$K$55*$Y$55</f>
        <v>14207.165276620452</v>
      </c>
      <c r="AF55" s="6">
        <f>$M$55*$Z$55</f>
        <v>0</v>
      </c>
      <c r="AG55" s="6">
        <f>$O$55*$AA$55</f>
        <v>0</v>
      </c>
    </row>
    <row r="56" spans="1:33" ht="11.25" customHeight="1" x14ac:dyDescent="0.25">
      <c r="A56" s="4" t="s">
        <v>21</v>
      </c>
      <c r="B56" s="4" t="s">
        <v>34</v>
      </c>
      <c r="C56" s="4" t="s">
        <v>35</v>
      </c>
      <c r="D56" s="4" t="s">
        <v>33</v>
      </c>
      <c r="E56" s="4" t="s">
        <v>25</v>
      </c>
      <c r="F56" s="4" t="s">
        <v>50</v>
      </c>
      <c r="G56" s="4" t="s">
        <v>25</v>
      </c>
      <c r="H56" s="4" t="s">
        <v>25</v>
      </c>
      <c r="I56" s="5">
        <v>44593</v>
      </c>
      <c r="J56" s="6">
        <v>1538</v>
      </c>
      <c r="K56" s="6">
        <v>802.99662871999999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4" t="s">
        <v>51</v>
      </c>
      <c r="R56" s="4">
        <v>0</v>
      </c>
      <c r="S56" s="6">
        <v>6</v>
      </c>
      <c r="T56" s="6">
        <v>0</v>
      </c>
      <c r="U56" s="6">
        <v>0</v>
      </c>
      <c r="V56" s="6">
        <f>IF(ISERROR(VLOOKUP($S$56,'TAR FIN'!$A$1:$O$88,15,0)),0,VLOOKUP($S$56,'TAR FIN'!$A$1:$O$88,15,0))</f>
        <v>20.43</v>
      </c>
      <c r="W56" s="6">
        <f>IF(ISERROR(VLOOKUP($T$56,'TAR FIN'!$A$1:$O$88,15,0)),0,VLOOKUP($T$56,'TAR FIN'!$A$1:$O$88,15,0))</f>
        <v>0</v>
      </c>
      <c r="X56" s="6">
        <f>IF(ISERROR(VLOOKUP($U$56,'TAR FIN'!$A$1:$O$88,15,0)),0,VLOOKUP($U$56,'TAR FIN'!$A$1:$O$88,15,0))</f>
        <v>0</v>
      </c>
      <c r="Y56" s="6">
        <f ca="1">('TUSD BE'!$AM$10+'TUSD BF'!$AM$10+'TUSD CVA'!$AM$10)*1</f>
        <v>17.702312702839738</v>
      </c>
      <c r="Z56" s="6"/>
      <c r="AA56" s="6"/>
      <c r="AB56" s="6">
        <f>$K$56*$V$56</f>
        <v>16405.221124749598</v>
      </c>
      <c r="AC56" s="6">
        <f>$M$56*$W$56</f>
        <v>0</v>
      </c>
      <c r="AD56" s="6">
        <f>$O$56*$X$56</f>
        <v>0</v>
      </c>
      <c r="AE56" s="6">
        <f ca="1">$K$56*$Y$56</f>
        <v>14214.89742092754</v>
      </c>
      <c r="AF56" s="6">
        <f>$M$56*$Z$56</f>
        <v>0</v>
      </c>
      <c r="AG56" s="6">
        <f>$O$56*$AA$56</f>
        <v>0</v>
      </c>
    </row>
    <row r="57" spans="1:33" ht="11.25" customHeight="1" x14ac:dyDescent="0.25">
      <c r="A57" s="4" t="s">
        <v>21</v>
      </c>
      <c r="B57" s="4" t="s">
        <v>34</v>
      </c>
      <c r="C57" s="4" t="s">
        <v>35</v>
      </c>
      <c r="D57" s="4" t="s">
        <v>33</v>
      </c>
      <c r="E57" s="4" t="s">
        <v>25</v>
      </c>
      <c r="F57" s="4" t="s">
        <v>50</v>
      </c>
      <c r="G57" s="4" t="s">
        <v>25</v>
      </c>
      <c r="H57" s="4" t="s">
        <v>25</v>
      </c>
      <c r="I57" s="5">
        <v>44621</v>
      </c>
      <c r="J57" s="6">
        <v>1621</v>
      </c>
      <c r="K57" s="6">
        <v>816.28692136999996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4" t="s">
        <v>51</v>
      </c>
      <c r="R57" s="4">
        <v>0</v>
      </c>
      <c r="S57" s="6">
        <v>6</v>
      </c>
      <c r="T57" s="6">
        <v>0</v>
      </c>
      <c r="U57" s="6">
        <v>0</v>
      </c>
      <c r="V57" s="6">
        <f>IF(ISERROR(VLOOKUP($S$57,'TAR FIN'!$A$1:$O$88,15,0)),0,VLOOKUP($S$57,'TAR FIN'!$A$1:$O$88,15,0))</f>
        <v>20.43</v>
      </c>
      <c r="W57" s="6">
        <f>IF(ISERROR(VLOOKUP($T$57,'TAR FIN'!$A$1:$O$88,15,0)),0,VLOOKUP($T$57,'TAR FIN'!$A$1:$O$88,15,0))</f>
        <v>0</v>
      </c>
      <c r="X57" s="6">
        <f>IF(ISERROR(VLOOKUP($U$57,'TAR FIN'!$A$1:$O$88,15,0)),0,VLOOKUP($U$57,'TAR FIN'!$A$1:$O$88,15,0))</f>
        <v>0</v>
      </c>
      <c r="Y57" s="6">
        <f ca="1">('TUSD BE'!$AM$10+'TUSD BF'!$AM$10+'TUSD CVA'!$AM$10)*1</f>
        <v>17.702312702839738</v>
      </c>
      <c r="Z57" s="6"/>
      <c r="AA57" s="6"/>
      <c r="AB57" s="6">
        <f>$K$57*$V$57</f>
        <v>16676.741803589099</v>
      </c>
      <c r="AC57" s="6">
        <f>$M$57*$W$57</f>
        <v>0</v>
      </c>
      <c r="AD57" s="6">
        <f>$O$57*$X$57</f>
        <v>0</v>
      </c>
      <c r="AE57" s="6">
        <f ca="1">$K$57*$Y$57</f>
        <v>14450.166337330093</v>
      </c>
      <c r="AF57" s="6">
        <f>$M$57*$Z$57</f>
        <v>0</v>
      </c>
      <c r="AG57" s="6">
        <f>$O$57*$AA$57</f>
        <v>0</v>
      </c>
    </row>
    <row r="58" spans="1:33" ht="11.25" customHeight="1" x14ac:dyDescent="0.25">
      <c r="A58" s="4" t="s">
        <v>21</v>
      </c>
      <c r="B58" s="4" t="s">
        <v>34</v>
      </c>
      <c r="C58" s="4" t="s">
        <v>35</v>
      </c>
      <c r="D58" s="4" t="s">
        <v>33</v>
      </c>
      <c r="E58" s="4" t="s">
        <v>25</v>
      </c>
      <c r="F58" s="4" t="s">
        <v>50</v>
      </c>
      <c r="G58" s="4" t="s">
        <v>25</v>
      </c>
      <c r="H58" s="4" t="s">
        <v>25</v>
      </c>
      <c r="I58" s="5">
        <v>44652</v>
      </c>
      <c r="J58" s="6">
        <v>1572</v>
      </c>
      <c r="K58" s="6">
        <v>822.37163124000006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4" t="s">
        <v>51</v>
      </c>
      <c r="R58" s="4">
        <v>0</v>
      </c>
      <c r="S58" s="6">
        <v>6</v>
      </c>
      <c r="T58" s="6">
        <v>0</v>
      </c>
      <c r="U58" s="6">
        <v>0</v>
      </c>
      <c r="V58" s="6">
        <f>IF(ISERROR(VLOOKUP($S$58,'TAR FIN'!$A$1:$O$88,15,0)),0,VLOOKUP($S$58,'TAR FIN'!$A$1:$O$88,15,0))</f>
        <v>20.43</v>
      </c>
      <c r="W58" s="6">
        <f>IF(ISERROR(VLOOKUP($T$58,'TAR FIN'!$A$1:$O$88,15,0)),0,VLOOKUP($T$58,'TAR FIN'!$A$1:$O$88,15,0))</f>
        <v>0</v>
      </c>
      <c r="X58" s="6">
        <f>IF(ISERROR(VLOOKUP($U$58,'TAR FIN'!$A$1:$O$88,15,0)),0,VLOOKUP($U$58,'TAR FIN'!$A$1:$O$88,15,0))</f>
        <v>0</v>
      </c>
      <c r="Y58" s="6">
        <f ca="1">('TUSD BE'!$AM$10+'TUSD BF'!$AM$10+'TUSD CVA'!$AM$10)*1</f>
        <v>17.702312702839738</v>
      </c>
      <c r="Z58" s="6"/>
      <c r="AA58" s="6"/>
      <c r="AB58" s="6">
        <f>$K$58*$V$58</f>
        <v>16801.0524262332</v>
      </c>
      <c r="AC58" s="6">
        <f>$M$58*$W$58</f>
        <v>0</v>
      </c>
      <c r="AD58" s="6">
        <f>$O$58*$X$58</f>
        <v>0</v>
      </c>
      <c r="AE58" s="6">
        <f ca="1">$K$58*$Y$58</f>
        <v>14557.87977415489</v>
      </c>
      <c r="AF58" s="6">
        <f>$M$58*$Z$58</f>
        <v>0</v>
      </c>
      <c r="AG58" s="6">
        <f>$O$58*$AA$58</f>
        <v>0</v>
      </c>
    </row>
    <row r="59" spans="1:33" ht="11.25" customHeight="1" x14ac:dyDescent="0.25">
      <c r="A59" s="4" t="s">
        <v>21</v>
      </c>
      <c r="B59" s="4" t="s">
        <v>34</v>
      </c>
      <c r="C59" s="4" t="s">
        <v>35</v>
      </c>
      <c r="D59" s="4" t="s">
        <v>33</v>
      </c>
      <c r="E59" s="4" t="s">
        <v>25</v>
      </c>
      <c r="F59" s="4" t="s">
        <v>50</v>
      </c>
      <c r="G59" s="4" t="s">
        <v>25</v>
      </c>
      <c r="H59" s="4" t="s">
        <v>25</v>
      </c>
      <c r="I59" s="5">
        <v>44682</v>
      </c>
      <c r="J59" s="6">
        <v>1602</v>
      </c>
      <c r="K59" s="6">
        <v>803.84548842000004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  <c r="Q59" s="4" t="s">
        <v>51</v>
      </c>
      <c r="R59" s="4">
        <v>0</v>
      </c>
      <c r="S59" s="6">
        <v>6</v>
      </c>
      <c r="T59" s="6">
        <v>0</v>
      </c>
      <c r="U59" s="6">
        <v>0</v>
      </c>
      <c r="V59" s="6">
        <f>IF(ISERROR(VLOOKUP($S$59,'TAR FIN'!$A$1:$O$88,15,0)),0,VLOOKUP($S$59,'TAR FIN'!$A$1:$O$88,15,0))</f>
        <v>20.43</v>
      </c>
      <c r="W59" s="6">
        <f>IF(ISERROR(VLOOKUP($T$59,'TAR FIN'!$A$1:$O$88,15,0)),0,VLOOKUP($T$59,'TAR FIN'!$A$1:$O$88,15,0))</f>
        <v>0</v>
      </c>
      <c r="X59" s="6">
        <f>IF(ISERROR(VLOOKUP($U$59,'TAR FIN'!$A$1:$O$88,15,0)),0,VLOOKUP($U$59,'TAR FIN'!$A$1:$O$88,15,0))</f>
        <v>0</v>
      </c>
      <c r="Y59" s="6">
        <f ca="1">('TUSD BE'!$AM$10+'TUSD BF'!$AM$10+'TUSD CVA'!$AM$10)*1</f>
        <v>17.702312702839738</v>
      </c>
      <c r="Z59" s="6"/>
      <c r="AA59" s="6"/>
      <c r="AB59" s="6">
        <f>$K$59*$V$59</f>
        <v>16422.563328420601</v>
      </c>
      <c r="AC59" s="6">
        <f>$M$59*$W$59</f>
        <v>0</v>
      </c>
      <c r="AD59" s="6">
        <f>$O$59*$X$59</f>
        <v>0</v>
      </c>
      <c r="AE59" s="6">
        <f ca="1">$K$59*$Y$59</f>
        <v>14229.924200777779</v>
      </c>
      <c r="AF59" s="6">
        <f>$M$59*$Z$59</f>
        <v>0</v>
      </c>
      <c r="AG59" s="6">
        <f>$O$59*$AA$59</f>
        <v>0</v>
      </c>
    </row>
    <row r="60" spans="1:33" ht="11.25" customHeight="1" x14ac:dyDescent="0.25">
      <c r="A60" s="4" t="s">
        <v>21</v>
      </c>
      <c r="B60" s="4" t="s">
        <v>34</v>
      </c>
      <c r="C60" s="4" t="s">
        <v>35</v>
      </c>
      <c r="D60" s="4" t="s">
        <v>33</v>
      </c>
      <c r="E60" s="4" t="s">
        <v>25</v>
      </c>
      <c r="F60" s="4" t="s">
        <v>50</v>
      </c>
      <c r="G60" s="4" t="s">
        <v>25</v>
      </c>
      <c r="H60" s="4" t="s">
        <v>25</v>
      </c>
      <c r="I60" s="5">
        <v>44713</v>
      </c>
      <c r="J60" s="6">
        <v>1549</v>
      </c>
      <c r="K60" s="6">
        <v>810.33947633000002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4" t="s">
        <v>51</v>
      </c>
      <c r="R60" s="4">
        <v>0</v>
      </c>
      <c r="S60" s="6">
        <v>6</v>
      </c>
      <c r="T60" s="6">
        <v>0</v>
      </c>
      <c r="U60" s="6">
        <v>0</v>
      </c>
      <c r="V60" s="6">
        <f>IF(ISERROR(VLOOKUP($S$60,'TAR FIN'!$A$1:$O$88,15,0)),0,VLOOKUP($S$60,'TAR FIN'!$A$1:$O$88,15,0))</f>
        <v>20.43</v>
      </c>
      <c r="W60" s="6">
        <f>IF(ISERROR(VLOOKUP($T$60,'TAR FIN'!$A$1:$O$88,15,0)),0,VLOOKUP($T$60,'TAR FIN'!$A$1:$O$88,15,0))</f>
        <v>0</v>
      </c>
      <c r="X60" s="6">
        <f>IF(ISERROR(VLOOKUP($U$60,'TAR FIN'!$A$1:$O$88,15,0)),0,VLOOKUP($U$60,'TAR FIN'!$A$1:$O$88,15,0))</f>
        <v>0</v>
      </c>
      <c r="Y60" s="6">
        <f ca="1">('TUSD BE'!$AM$10+'TUSD BF'!$AM$10+'TUSD CVA'!$AM$10)*1</f>
        <v>17.702312702839738</v>
      </c>
      <c r="Z60" s="6"/>
      <c r="AA60" s="6"/>
      <c r="AB60" s="6">
        <f>$K$60*$V$60</f>
        <v>16555.235501421899</v>
      </c>
      <c r="AC60" s="6">
        <f>$M$60*$W$60</f>
        <v>0</v>
      </c>
      <c r="AD60" s="6">
        <f>$O$60*$X$60</f>
        <v>0</v>
      </c>
      <c r="AE60" s="6">
        <f ca="1">$K$60*$Y$60</f>
        <v>14344.88280544906</v>
      </c>
      <c r="AF60" s="6">
        <f>$M$60*$Z$60</f>
        <v>0</v>
      </c>
      <c r="AG60" s="6">
        <f>$O$60*$AA$60</f>
        <v>0</v>
      </c>
    </row>
    <row r="61" spans="1:33" ht="11.25" customHeight="1" x14ac:dyDescent="0.25">
      <c r="A61" s="4" t="s">
        <v>21</v>
      </c>
      <c r="B61" s="4" t="s">
        <v>34</v>
      </c>
      <c r="C61" s="4" t="s">
        <v>35</v>
      </c>
      <c r="D61" s="4" t="s">
        <v>33</v>
      </c>
      <c r="E61" s="4" t="s">
        <v>25</v>
      </c>
      <c r="F61" s="4" t="s">
        <v>50</v>
      </c>
      <c r="G61" s="4" t="s">
        <v>25</v>
      </c>
      <c r="H61" s="4" t="s">
        <v>25</v>
      </c>
      <c r="I61" s="5">
        <v>44743</v>
      </c>
      <c r="J61" s="6">
        <v>1559</v>
      </c>
      <c r="K61" s="6">
        <v>782.26911139000003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4" t="s">
        <v>51</v>
      </c>
      <c r="R61" s="4">
        <v>0</v>
      </c>
      <c r="S61" s="6">
        <v>6</v>
      </c>
      <c r="T61" s="6">
        <v>0</v>
      </c>
      <c r="U61" s="6">
        <v>0</v>
      </c>
      <c r="V61" s="6">
        <f>IF(ISERROR(VLOOKUP($S$61,'TAR FIN'!$A$1:$O$88,15,0)),0,VLOOKUP($S$61,'TAR FIN'!$A$1:$O$88,15,0))</f>
        <v>20.43</v>
      </c>
      <c r="W61" s="6">
        <f>IF(ISERROR(VLOOKUP($T$61,'TAR FIN'!$A$1:$O$88,15,0)),0,VLOOKUP($T$61,'TAR FIN'!$A$1:$O$88,15,0))</f>
        <v>0</v>
      </c>
      <c r="X61" s="6">
        <f>IF(ISERROR(VLOOKUP($U$61,'TAR FIN'!$A$1:$O$88,15,0)),0,VLOOKUP($U$61,'TAR FIN'!$A$1:$O$88,15,0))</f>
        <v>0</v>
      </c>
      <c r="Y61" s="6">
        <f ca="1">('TUSD BE'!$AM$10+'TUSD BF'!$AM$10+'TUSD CVA'!$AM$10)*1</f>
        <v>17.702312702839738</v>
      </c>
      <c r="Z61" s="6"/>
      <c r="AA61" s="6"/>
      <c r="AB61" s="6">
        <f>$K$61*$V$61</f>
        <v>15981.7579456977</v>
      </c>
      <c r="AC61" s="6">
        <f>$M$61*$W$61</f>
        <v>0</v>
      </c>
      <c r="AD61" s="6">
        <f>$O$61*$X$61</f>
        <v>0</v>
      </c>
      <c r="AE61" s="6">
        <f ca="1">$K$61*$Y$61</f>
        <v>13847.972427598352</v>
      </c>
      <c r="AF61" s="6">
        <f>$M$61*$Z$61</f>
        <v>0</v>
      </c>
      <c r="AG61" s="6">
        <f>$O$61*$AA$61</f>
        <v>0</v>
      </c>
    </row>
    <row r="62" spans="1:33" ht="11.25" customHeight="1" x14ac:dyDescent="0.25">
      <c r="A62" s="4" t="s">
        <v>21</v>
      </c>
      <c r="B62" s="4" t="s">
        <v>34</v>
      </c>
      <c r="C62" s="4" t="s">
        <v>35</v>
      </c>
      <c r="D62" s="4" t="s">
        <v>33</v>
      </c>
      <c r="E62" s="4" t="s">
        <v>25</v>
      </c>
      <c r="F62" s="4" t="s">
        <v>50</v>
      </c>
      <c r="G62" s="4" t="s">
        <v>25</v>
      </c>
      <c r="H62" s="4" t="s">
        <v>36</v>
      </c>
      <c r="I62" s="5">
        <v>44409</v>
      </c>
      <c r="J62" s="6">
        <v>0</v>
      </c>
      <c r="K62" s="6">
        <v>0</v>
      </c>
      <c r="L62" s="6">
        <v>37.838000000000001</v>
      </c>
      <c r="M62" s="6">
        <v>21.19501094348</v>
      </c>
      <c r="N62" s="6">
        <v>0</v>
      </c>
      <c r="O62" s="6">
        <v>0</v>
      </c>
      <c r="P62" s="6">
        <v>0</v>
      </c>
      <c r="Q62" s="4" t="s">
        <v>51</v>
      </c>
      <c r="R62" s="4">
        <v>0</v>
      </c>
      <c r="S62" s="6">
        <v>0</v>
      </c>
      <c r="T62" s="6">
        <v>7</v>
      </c>
      <c r="U62" s="6">
        <v>0</v>
      </c>
      <c r="V62" s="6">
        <f>IF(ISERROR(VLOOKUP($S$62,'TAR FIN'!$A$1:$O$88,15,0)),0,VLOOKUP($S$62,'TAR FIN'!$A$1:$O$88,15,0))</f>
        <v>0</v>
      </c>
      <c r="W62" s="6">
        <f>IF(ISERROR(VLOOKUP($T$62,'TAR FIN'!$A$1:$O$88,15,0)),0,VLOOKUP($T$62,'TAR FIN'!$A$1:$O$88,15,0))</f>
        <v>1419.25</v>
      </c>
      <c r="X62" s="6">
        <f>IF(ISERROR(VLOOKUP($U$62,'TAR FIN'!$A$1:$O$88,15,0)),0,VLOOKUP($U$62,'TAR FIN'!$A$1:$O$88,15,0))</f>
        <v>0</v>
      </c>
      <c r="Y62" s="6"/>
      <c r="Z62" s="6">
        <f ca="1">('TUSD BE'!$AM$11+'TUSD BF'!$AM$11+'TUSD CVA'!$AM$11)*1</f>
        <v>1283.8542973241515</v>
      </c>
      <c r="AA62" s="6"/>
      <c r="AB62" s="6">
        <f>$K$62*$V$62</f>
        <v>0</v>
      </c>
      <c r="AC62" s="6">
        <f>$M$62*$W$62</f>
        <v>30081.019281533991</v>
      </c>
      <c r="AD62" s="6">
        <f>$O$62*$X$62</f>
        <v>0</v>
      </c>
      <c r="AE62" s="6">
        <f>$K$62*$Y$62</f>
        <v>0</v>
      </c>
      <c r="AF62" s="6">
        <f ca="1">$M$62*$Z$62</f>
        <v>27211.305881619217</v>
      </c>
      <c r="AG62" s="6">
        <f>$O$62*$AA$62</f>
        <v>0</v>
      </c>
    </row>
    <row r="63" spans="1:33" ht="11.25" customHeight="1" x14ac:dyDescent="0.25">
      <c r="A63" s="4" t="s">
        <v>21</v>
      </c>
      <c r="B63" s="4" t="s">
        <v>34</v>
      </c>
      <c r="C63" s="4" t="s">
        <v>35</v>
      </c>
      <c r="D63" s="4" t="s">
        <v>33</v>
      </c>
      <c r="E63" s="4" t="s">
        <v>25</v>
      </c>
      <c r="F63" s="4" t="s">
        <v>50</v>
      </c>
      <c r="G63" s="4" t="s">
        <v>25</v>
      </c>
      <c r="H63" s="4" t="s">
        <v>36</v>
      </c>
      <c r="I63" s="5">
        <v>44440</v>
      </c>
      <c r="J63" s="6">
        <v>0</v>
      </c>
      <c r="K63" s="6">
        <v>0</v>
      </c>
      <c r="L63" s="6">
        <v>34.56</v>
      </c>
      <c r="M63" s="6">
        <v>19.6570637568</v>
      </c>
      <c r="N63" s="6">
        <v>0</v>
      </c>
      <c r="O63" s="6">
        <v>0</v>
      </c>
      <c r="P63" s="6">
        <v>0</v>
      </c>
      <c r="Q63" s="4" t="s">
        <v>51</v>
      </c>
      <c r="R63" s="4">
        <v>0</v>
      </c>
      <c r="S63" s="6">
        <v>0</v>
      </c>
      <c r="T63" s="6">
        <v>7</v>
      </c>
      <c r="U63" s="6">
        <v>0</v>
      </c>
      <c r="V63" s="6">
        <f>IF(ISERROR(VLOOKUP($S$63,'TAR FIN'!$A$1:$O$88,15,0)),0,VLOOKUP($S$63,'TAR FIN'!$A$1:$O$88,15,0))</f>
        <v>0</v>
      </c>
      <c r="W63" s="6">
        <f>IF(ISERROR(VLOOKUP($T$63,'TAR FIN'!$A$1:$O$88,15,0)),0,VLOOKUP($T$63,'TAR FIN'!$A$1:$O$88,15,0))</f>
        <v>1419.25</v>
      </c>
      <c r="X63" s="6">
        <f>IF(ISERROR(VLOOKUP($U$63,'TAR FIN'!$A$1:$O$88,15,0)),0,VLOOKUP($U$63,'TAR FIN'!$A$1:$O$88,15,0))</f>
        <v>0</v>
      </c>
      <c r="Y63" s="6"/>
      <c r="Z63" s="6">
        <f ca="1">('TUSD BE'!$AM$11+'TUSD BF'!$AM$11+'TUSD CVA'!$AM$11)*1</f>
        <v>1283.8542973241515</v>
      </c>
      <c r="AA63" s="6"/>
      <c r="AB63" s="6">
        <f>$K$63*$V$63</f>
        <v>0</v>
      </c>
      <c r="AC63" s="6">
        <f>$M$63*$W$63</f>
        <v>27898.2877368384</v>
      </c>
      <c r="AD63" s="6">
        <f>$O$63*$X$63</f>
        <v>0</v>
      </c>
      <c r="AE63" s="6">
        <f>$K$63*$Y$63</f>
        <v>0</v>
      </c>
      <c r="AF63" s="6">
        <f ca="1">$M$63*$Z$63</f>
        <v>25236.80577694251</v>
      </c>
      <c r="AG63" s="6">
        <f>$O$63*$AA$63</f>
        <v>0</v>
      </c>
    </row>
    <row r="64" spans="1:33" ht="11.25" customHeight="1" x14ac:dyDescent="0.25">
      <c r="A64" s="4" t="s">
        <v>21</v>
      </c>
      <c r="B64" s="4" t="s">
        <v>34</v>
      </c>
      <c r="C64" s="4" t="s">
        <v>35</v>
      </c>
      <c r="D64" s="4" t="s">
        <v>33</v>
      </c>
      <c r="E64" s="4" t="s">
        <v>25</v>
      </c>
      <c r="F64" s="4" t="s">
        <v>50</v>
      </c>
      <c r="G64" s="4" t="s">
        <v>25</v>
      </c>
      <c r="H64" s="4" t="s">
        <v>36</v>
      </c>
      <c r="I64" s="5">
        <v>44470</v>
      </c>
      <c r="J64" s="6">
        <v>0</v>
      </c>
      <c r="K64" s="6">
        <v>0</v>
      </c>
      <c r="L64" s="6">
        <v>34.85</v>
      </c>
      <c r="M64" s="6">
        <v>19.911656580500001</v>
      </c>
      <c r="N64" s="6">
        <v>0</v>
      </c>
      <c r="O64" s="6">
        <v>0</v>
      </c>
      <c r="P64" s="6">
        <v>0</v>
      </c>
      <c r="Q64" s="4" t="s">
        <v>51</v>
      </c>
      <c r="R64" s="4">
        <v>0</v>
      </c>
      <c r="S64" s="6">
        <v>0</v>
      </c>
      <c r="T64" s="6">
        <v>7</v>
      </c>
      <c r="U64" s="6">
        <v>0</v>
      </c>
      <c r="V64" s="6">
        <f>IF(ISERROR(VLOOKUP($S$64,'TAR FIN'!$A$1:$O$88,15,0)),0,VLOOKUP($S$64,'TAR FIN'!$A$1:$O$88,15,0))</f>
        <v>0</v>
      </c>
      <c r="W64" s="6">
        <f>IF(ISERROR(VLOOKUP($T$64,'TAR FIN'!$A$1:$O$88,15,0)),0,VLOOKUP($T$64,'TAR FIN'!$A$1:$O$88,15,0))</f>
        <v>1419.25</v>
      </c>
      <c r="X64" s="6">
        <f>IF(ISERROR(VLOOKUP($U$64,'TAR FIN'!$A$1:$O$88,15,0)),0,VLOOKUP($U$64,'TAR FIN'!$A$1:$O$88,15,0))</f>
        <v>0</v>
      </c>
      <c r="Y64" s="6"/>
      <c r="Z64" s="6">
        <f ca="1">('TUSD BE'!$AM$11+'TUSD BF'!$AM$11+'TUSD CVA'!$AM$11)*1</f>
        <v>1283.8542973241515</v>
      </c>
      <c r="AA64" s="6"/>
      <c r="AB64" s="6">
        <f>$K$64*$V$64</f>
        <v>0</v>
      </c>
      <c r="AC64" s="6">
        <f>$M$64*$W$64</f>
        <v>28259.618601874627</v>
      </c>
      <c r="AD64" s="6">
        <f>$O$64*$X$64</f>
        <v>0</v>
      </c>
      <c r="AE64" s="6">
        <f>$K$64*$Y$64</f>
        <v>0</v>
      </c>
      <c r="AF64" s="6">
        <f ca="1">$M$64*$Z$64</f>
        <v>25563.665867717646</v>
      </c>
      <c r="AG64" s="6">
        <f>$O$64*$AA$64</f>
        <v>0</v>
      </c>
    </row>
    <row r="65" spans="1:33" ht="11.25" customHeight="1" x14ac:dyDescent="0.25">
      <c r="A65" s="4" t="s">
        <v>21</v>
      </c>
      <c r="B65" s="4" t="s">
        <v>34</v>
      </c>
      <c r="C65" s="4" t="s">
        <v>35</v>
      </c>
      <c r="D65" s="4" t="s">
        <v>33</v>
      </c>
      <c r="E65" s="4" t="s">
        <v>25</v>
      </c>
      <c r="F65" s="4" t="s">
        <v>50</v>
      </c>
      <c r="G65" s="4" t="s">
        <v>25</v>
      </c>
      <c r="H65" s="4" t="s">
        <v>36</v>
      </c>
      <c r="I65" s="5">
        <v>44501</v>
      </c>
      <c r="J65" s="6">
        <v>0</v>
      </c>
      <c r="K65" s="6">
        <v>0</v>
      </c>
      <c r="L65" s="6">
        <v>45.478000000000002</v>
      </c>
      <c r="M65" s="6">
        <v>24.032740862360001</v>
      </c>
      <c r="N65" s="6">
        <v>0</v>
      </c>
      <c r="O65" s="6">
        <v>0</v>
      </c>
      <c r="P65" s="6">
        <v>0</v>
      </c>
      <c r="Q65" s="4" t="s">
        <v>51</v>
      </c>
      <c r="R65" s="4">
        <v>0</v>
      </c>
      <c r="S65" s="6">
        <v>0</v>
      </c>
      <c r="T65" s="6">
        <v>7</v>
      </c>
      <c r="U65" s="6">
        <v>0</v>
      </c>
      <c r="V65" s="6">
        <f>IF(ISERROR(VLOOKUP($S$65,'TAR FIN'!$A$1:$O$88,15,0)),0,VLOOKUP($S$65,'TAR FIN'!$A$1:$O$88,15,0))</f>
        <v>0</v>
      </c>
      <c r="W65" s="6">
        <f>IF(ISERROR(VLOOKUP($T$65,'TAR FIN'!$A$1:$O$88,15,0)),0,VLOOKUP($T$65,'TAR FIN'!$A$1:$O$88,15,0))</f>
        <v>1419.25</v>
      </c>
      <c r="X65" s="6">
        <f>IF(ISERROR(VLOOKUP($U$65,'TAR FIN'!$A$1:$O$88,15,0)),0,VLOOKUP($U$65,'TAR FIN'!$A$1:$O$88,15,0))</f>
        <v>0</v>
      </c>
      <c r="Y65" s="6"/>
      <c r="Z65" s="6">
        <f ca="1">('TUSD BE'!$AM$11+'TUSD BF'!$AM$11+'TUSD CVA'!$AM$11)*1</f>
        <v>1283.8542973241515</v>
      </c>
      <c r="AA65" s="6"/>
      <c r="AB65" s="6">
        <f>$K$65*$V$65</f>
        <v>0</v>
      </c>
      <c r="AC65" s="6">
        <f>$M$65*$W$65</f>
        <v>34108.467468904433</v>
      </c>
      <c r="AD65" s="6">
        <f>$O$65*$X$65</f>
        <v>0</v>
      </c>
      <c r="AE65" s="6">
        <f>$K$65*$Y$65</f>
        <v>0</v>
      </c>
      <c r="AF65" s="6">
        <f ca="1">$M$65*$Z$65</f>
        <v>30854.537632618623</v>
      </c>
      <c r="AG65" s="6">
        <f>$O$65*$AA$65</f>
        <v>0</v>
      </c>
    </row>
    <row r="66" spans="1:33" ht="11.25" customHeight="1" x14ac:dyDescent="0.25">
      <c r="A66" s="4" t="s">
        <v>21</v>
      </c>
      <c r="B66" s="4" t="s">
        <v>34</v>
      </c>
      <c r="C66" s="4" t="s">
        <v>35</v>
      </c>
      <c r="D66" s="4" t="s">
        <v>33</v>
      </c>
      <c r="E66" s="4" t="s">
        <v>25</v>
      </c>
      <c r="F66" s="4" t="s">
        <v>50</v>
      </c>
      <c r="G66" s="4" t="s">
        <v>25</v>
      </c>
      <c r="H66" s="4" t="s">
        <v>36</v>
      </c>
      <c r="I66" s="5">
        <v>44531</v>
      </c>
      <c r="J66" s="6">
        <v>0</v>
      </c>
      <c r="K66" s="6">
        <v>0</v>
      </c>
      <c r="L66" s="6">
        <v>52.598999999999997</v>
      </c>
      <c r="M66" s="6">
        <v>28.7452062228</v>
      </c>
      <c r="N66" s="6">
        <v>0</v>
      </c>
      <c r="O66" s="6">
        <v>0</v>
      </c>
      <c r="P66" s="6">
        <v>0</v>
      </c>
      <c r="Q66" s="4" t="s">
        <v>51</v>
      </c>
      <c r="R66" s="4">
        <v>0</v>
      </c>
      <c r="S66" s="6">
        <v>0</v>
      </c>
      <c r="T66" s="6">
        <v>7</v>
      </c>
      <c r="U66" s="6">
        <v>0</v>
      </c>
      <c r="V66" s="6">
        <f>IF(ISERROR(VLOOKUP($S$66,'TAR FIN'!$A$1:$O$88,15,0)),0,VLOOKUP($S$66,'TAR FIN'!$A$1:$O$88,15,0))</f>
        <v>0</v>
      </c>
      <c r="W66" s="6">
        <f>IF(ISERROR(VLOOKUP($T$66,'TAR FIN'!$A$1:$O$88,15,0)),0,VLOOKUP($T$66,'TAR FIN'!$A$1:$O$88,15,0))</f>
        <v>1419.25</v>
      </c>
      <c r="X66" s="6">
        <f>IF(ISERROR(VLOOKUP($U$66,'TAR FIN'!$A$1:$O$88,15,0)),0,VLOOKUP($U$66,'TAR FIN'!$A$1:$O$88,15,0))</f>
        <v>0</v>
      </c>
      <c r="Y66" s="6"/>
      <c r="Z66" s="6">
        <f ca="1">('TUSD BE'!$AM$11+'TUSD BF'!$AM$11+'TUSD CVA'!$AM$11)*1</f>
        <v>1283.8542973241515</v>
      </c>
      <c r="AA66" s="6"/>
      <c r="AB66" s="6">
        <f>$K$66*$V$66</f>
        <v>0</v>
      </c>
      <c r="AC66" s="6">
        <f>$M$66*$W$66</f>
        <v>40796.6339317089</v>
      </c>
      <c r="AD66" s="6">
        <f>$O$66*$X$66</f>
        <v>0</v>
      </c>
      <c r="AE66" s="6">
        <f>$K$66*$Y$66</f>
        <v>0</v>
      </c>
      <c r="AF66" s="6">
        <f ca="1">$M$66*$Z$66</f>
        <v>36904.656536610724</v>
      </c>
      <c r="AG66" s="6">
        <f>$O$66*$AA$66</f>
        <v>0</v>
      </c>
    </row>
    <row r="67" spans="1:33" ht="11.25" customHeight="1" x14ac:dyDescent="0.25">
      <c r="A67" s="4" t="s">
        <v>21</v>
      </c>
      <c r="B67" s="4" t="s">
        <v>34</v>
      </c>
      <c r="C67" s="4" t="s">
        <v>35</v>
      </c>
      <c r="D67" s="4" t="s">
        <v>33</v>
      </c>
      <c r="E67" s="4" t="s">
        <v>25</v>
      </c>
      <c r="F67" s="4" t="s">
        <v>50</v>
      </c>
      <c r="G67" s="4" t="s">
        <v>25</v>
      </c>
      <c r="H67" s="4" t="s">
        <v>36</v>
      </c>
      <c r="I67" s="5">
        <v>44562</v>
      </c>
      <c r="J67" s="6">
        <v>0</v>
      </c>
      <c r="K67" s="6">
        <v>0</v>
      </c>
      <c r="L67" s="6">
        <v>51.326999999999998</v>
      </c>
      <c r="M67" s="6">
        <v>27.832831548840002</v>
      </c>
      <c r="N67" s="6">
        <v>0</v>
      </c>
      <c r="O67" s="6">
        <v>0</v>
      </c>
      <c r="P67" s="6">
        <v>0</v>
      </c>
      <c r="Q67" s="4" t="s">
        <v>51</v>
      </c>
      <c r="R67" s="4">
        <v>0</v>
      </c>
      <c r="S67" s="6">
        <v>0</v>
      </c>
      <c r="T67" s="6">
        <v>7</v>
      </c>
      <c r="U67" s="6">
        <v>0</v>
      </c>
      <c r="V67" s="6">
        <f>IF(ISERROR(VLOOKUP($S$67,'TAR FIN'!$A$1:$O$88,15,0)),0,VLOOKUP($S$67,'TAR FIN'!$A$1:$O$88,15,0))</f>
        <v>0</v>
      </c>
      <c r="W67" s="6">
        <f>IF(ISERROR(VLOOKUP($T$67,'TAR FIN'!$A$1:$O$88,15,0)),0,VLOOKUP($T$67,'TAR FIN'!$A$1:$O$88,15,0))</f>
        <v>1419.25</v>
      </c>
      <c r="X67" s="6">
        <f>IF(ISERROR(VLOOKUP($U$67,'TAR FIN'!$A$1:$O$88,15,0)),0,VLOOKUP($U$67,'TAR FIN'!$A$1:$O$88,15,0))</f>
        <v>0</v>
      </c>
      <c r="Y67" s="6"/>
      <c r="Z67" s="6">
        <f ca="1">('TUSD BE'!$AM$11+'TUSD BF'!$AM$11+'TUSD CVA'!$AM$11)*1</f>
        <v>1283.8542973241515</v>
      </c>
      <c r="AA67" s="6"/>
      <c r="AB67" s="6">
        <f>$K$67*$V$67</f>
        <v>0</v>
      </c>
      <c r="AC67" s="6">
        <f>$M$67*$W$67</f>
        <v>39501.746175691173</v>
      </c>
      <c r="AD67" s="6">
        <f>$O$67*$X$67</f>
        <v>0</v>
      </c>
      <c r="AE67" s="6">
        <f>$K$67*$Y$67</f>
        <v>0</v>
      </c>
      <c r="AF67" s="6">
        <f ca="1">$M$67*$Z$67</f>
        <v>35733.300390677454</v>
      </c>
      <c r="AG67" s="6">
        <f>$O$67*$AA$67</f>
        <v>0</v>
      </c>
    </row>
    <row r="68" spans="1:33" ht="11.25" customHeight="1" x14ac:dyDescent="0.25">
      <c r="A68" s="4" t="s">
        <v>21</v>
      </c>
      <c r="B68" s="4" t="s">
        <v>34</v>
      </c>
      <c r="C68" s="4" t="s">
        <v>35</v>
      </c>
      <c r="D68" s="4" t="s">
        <v>33</v>
      </c>
      <c r="E68" s="4" t="s">
        <v>25</v>
      </c>
      <c r="F68" s="4" t="s">
        <v>50</v>
      </c>
      <c r="G68" s="4" t="s">
        <v>25</v>
      </c>
      <c r="H68" s="4" t="s">
        <v>36</v>
      </c>
      <c r="I68" s="5">
        <v>44593</v>
      </c>
      <c r="J68" s="6">
        <v>0</v>
      </c>
      <c r="K68" s="6">
        <v>0</v>
      </c>
      <c r="L68" s="6">
        <v>50.866999999999997</v>
      </c>
      <c r="M68" s="6">
        <v>27.760110799700001</v>
      </c>
      <c r="N68" s="6">
        <v>0</v>
      </c>
      <c r="O68" s="6">
        <v>0</v>
      </c>
      <c r="P68" s="6">
        <v>0</v>
      </c>
      <c r="Q68" s="4" t="s">
        <v>51</v>
      </c>
      <c r="R68" s="4">
        <v>0</v>
      </c>
      <c r="S68" s="6">
        <v>0</v>
      </c>
      <c r="T68" s="6">
        <v>7</v>
      </c>
      <c r="U68" s="6">
        <v>0</v>
      </c>
      <c r="V68" s="6">
        <f>IF(ISERROR(VLOOKUP($S$68,'TAR FIN'!$A$1:$O$88,15,0)),0,VLOOKUP($S$68,'TAR FIN'!$A$1:$O$88,15,0))</f>
        <v>0</v>
      </c>
      <c r="W68" s="6">
        <f>IF(ISERROR(VLOOKUP($T$68,'TAR FIN'!$A$1:$O$88,15,0)),0,VLOOKUP($T$68,'TAR FIN'!$A$1:$O$88,15,0))</f>
        <v>1419.25</v>
      </c>
      <c r="X68" s="6">
        <f>IF(ISERROR(VLOOKUP($U$68,'TAR FIN'!$A$1:$O$88,15,0)),0,VLOOKUP($U$68,'TAR FIN'!$A$1:$O$88,15,0))</f>
        <v>0</v>
      </c>
      <c r="Y68" s="6"/>
      <c r="Z68" s="6">
        <f ca="1">('TUSD BE'!$AM$11+'TUSD BF'!$AM$11+'TUSD CVA'!$AM$11)*1</f>
        <v>1283.8542973241515</v>
      </c>
      <c r="AA68" s="6"/>
      <c r="AB68" s="6">
        <f>$K$68*$V$68</f>
        <v>0</v>
      </c>
      <c r="AC68" s="6">
        <f>$M$68*$W$68</f>
        <v>39398.537252474227</v>
      </c>
      <c r="AD68" s="6">
        <f>$O$68*$X$68</f>
        <v>0</v>
      </c>
      <c r="AE68" s="6">
        <f>$K$68*$Y$68</f>
        <v>0</v>
      </c>
      <c r="AF68" s="6">
        <f ca="1">$M$68*$Z$68</f>
        <v>35639.937544389431</v>
      </c>
      <c r="AG68" s="6">
        <f>$O$68*$AA$68</f>
        <v>0</v>
      </c>
    </row>
    <row r="69" spans="1:33" ht="11.25" customHeight="1" x14ac:dyDescent="0.25">
      <c r="A69" s="4" t="s">
        <v>21</v>
      </c>
      <c r="B69" s="4" t="s">
        <v>34</v>
      </c>
      <c r="C69" s="4" t="s">
        <v>35</v>
      </c>
      <c r="D69" s="4" t="s">
        <v>33</v>
      </c>
      <c r="E69" s="4" t="s">
        <v>25</v>
      </c>
      <c r="F69" s="4" t="s">
        <v>50</v>
      </c>
      <c r="G69" s="4" t="s">
        <v>25</v>
      </c>
      <c r="H69" s="4" t="s">
        <v>36</v>
      </c>
      <c r="I69" s="5">
        <v>44621</v>
      </c>
      <c r="J69" s="6">
        <v>0</v>
      </c>
      <c r="K69" s="6">
        <v>0</v>
      </c>
      <c r="L69" s="6">
        <v>57.411999999999999</v>
      </c>
      <c r="M69" s="6">
        <v>30.320498353240001</v>
      </c>
      <c r="N69" s="6">
        <v>0</v>
      </c>
      <c r="O69" s="6">
        <v>0</v>
      </c>
      <c r="P69" s="6">
        <v>0</v>
      </c>
      <c r="Q69" s="4" t="s">
        <v>51</v>
      </c>
      <c r="R69" s="4">
        <v>0</v>
      </c>
      <c r="S69" s="6">
        <v>0</v>
      </c>
      <c r="T69" s="6">
        <v>7</v>
      </c>
      <c r="U69" s="6">
        <v>0</v>
      </c>
      <c r="V69" s="6">
        <f>IF(ISERROR(VLOOKUP($S$69,'TAR FIN'!$A$1:$O$88,15,0)),0,VLOOKUP($S$69,'TAR FIN'!$A$1:$O$88,15,0))</f>
        <v>0</v>
      </c>
      <c r="W69" s="6">
        <f>IF(ISERROR(VLOOKUP($T$69,'TAR FIN'!$A$1:$O$88,15,0)),0,VLOOKUP($T$69,'TAR FIN'!$A$1:$O$88,15,0))</f>
        <v>1419.25</v>
      </c>
      <c r="X69" s="6">
        <f>IF(ISERROR(VLOOKUP($U$69,'TAR FIN'!$A$1:$O$88,15,0)),0,VLOOKUP($U$69,'TAR FIN'!$A$1:$O$88,15,0))</f>
        <v>0</v>
      </c>
      <c r="Y69" s="6"/>
      <c r="Z69" s="6">
        <f ca="1">('TUSD BE'!$AM$11+'TUSD BF'!$AM$11+'TUSD CVA'!$AM$11)*1</f>
        <v>1283.8542973241515</v>
      </c>
      <c r="AA69" s="6"/>
      <c r="AB69" s="6">
        <f>$K$69*$V$69</f>
        <v>0</v>
      </c>
      <c r="AC69" s="6">
        <f>$M$69*$W$69</f>
        <v>43032.36728783587</v>
      </c>
      <c r="AD69" s="6">
        <f>$O$69*$X$69</f>
        <v>0</v>
      </c>
      <c r="AE69" s="6">
        <f>$K$69*$Y$69</f>
        <v>0</v>
      </c>
      <c r="AF69" s="6">
        <f ca="1">$M$69*$Z$69</f>
        <v>38927.102107817038</v>
      </c>
      <c r="AG69" s="6">
        <f>$O$69*$AA$69</f>
        <v>0</v>
      </c>
    </row>
    <row r="70" spans="1:33" ht="11.25" customHeight="1" x14ac:dyDescent="0.25">
      <c r="A70" s="4" t="s">
        <v>21</v>
      </c>
      <c r="B70" s="4" t="s">
        <v>34</v>
      </c>
      <c r="C70" s="4" t="s">
        <v>35</v>
      </c>
      <c r="D70" s="4" t="s">
        <v>33</v>
      </c>
      <c r="E70" s="4" t="s">
        <v>25</v>
      </c>
      <c r="F70" s="4" t="s">
        <v>50</v>
      </c>
      <c r="G70" s="4" t="s">
        <v>25</v>
      </c>
      <c r="H70" s="4" t="s">
        <v>36</v>
      </c>
      <c r="I70" s="5">
        <v>44652</v>
      </c>
      <c r="J70" s="6">
        <v>0</v>
      </c>
      <c r="K70" s="6">
        <v>0</v>
      </c>
      <c r="L70" s="6">
        <v>46.329000000000001</v>
      </c>
      <c r="M70" s="6">
        <v>25.329025626749999</v>
      </c>
      <c r="N70" s="6">
        <v>0</v>
      </c>
      <c r="O70" s="6">
        <v>0</v>
      </c>
      <c r="P70" s="6">
        <v>0</v>
      </c>
      <c r="Q70" s="4" t="s">
        <v>51</v>
      </c>
      <c r="R70" s="4">
        <v>0</v>
      </c>
      <c r="S70" s="6">
        <v>0</v>
      </c>
      <c r="T70" s="6">
        <v>7</v>
      </c>
      <c r="U70" s="6">
        <v>0</v>
      </c>
      <c r="V70" s="6">
        <f>IF(ISERROR(VLOOKUP($S$70,'TAR FIN'!$A$1:$O$88,15,0)),0,VLOOKUP($S$70,'TAR FIN'!$A$1:$O$88,15,0))</f>
        <v>0</v>
      </c>
      <c r="W70" s="6">
        <f>IF(ISERROR(VLOOKUP($T$70,'TAR FIN'!$A$1:$O$88,15,0)),0,VLOOKUP($T$70,'TAR FIN'!$A$1:$O$88,15,0))</f>
        <v>1419.25</v>
      </c>
      <c r="X70" s="6">
        <f>IF(ISERROR(VLOOKUP($U$70,'TAR FIN'!$A$1:$O$88,15,0)),0,VLOOKUP($U$70,'TAR FIN'!$A$1:$O$88,15,0))</f>
        <v>0</v>
      </c>
      <c r="Y70" s="6"/>
      <c r="Z70" s="6">
        <f ca="1">('TUSD BE'!$AM$11+'TUSD BF'!$AM$11+'TUSD CVA'!$AM$11)*1</f>
        <v>1283.8542973241515</v>
      </c>
      <c r="AA70" s="6"/>
      <c r="AB70" s="6">
        <f>$K$70*$V$70</f>
        <v>0</v>
      </c>
      <c r="AC70" s="6">
        <f>$M$70*$W$70</f>
        <v>35948.219620764939</v>
      </c>
      <c r="AD70" s="6">
        <f>$O$70*$X$70</f>
        <v>0</v>
      </c>
      <c r="AE70" s="6">
        <f>$K$70*$Y$70</f>
        <v>0</v>
      </c>
      <c r="AF70" s="6">
        <f ca="1">$M$70*$Z$70</f>
        <v>32518.778397936545</v>
      </c>
      <c r="AG70" s="6">
        <f>$O$70*$AA$70</f>
        <v>0</v>
      </c>
    </row>
    <row r="71" spans="1:33" ht="11.25" customHeight="1" x14ac:dyDescent="0.25">
      <c r="A71" s="4" t="s">
        <v>21</v>
      </c>
      <c r="B71" s="4" t="s">
        <v>34</v>
      </c>
      <c r="C71" s="4" t="s">
        <v>35</v>
      </c>
      <c r="D71" s="4" t="s">
        <v>33</v>
      </c>
      <c r="E71" s="4" t="s">
        <v>25</v>
      </c>
      <c r="F71" s="4" t="s">
        <v>50</v>
      </c>
      <c r="G71" s="4" t="s">
        <v>25</v>
      </c>
      <c r="H71" s="4" t="s">
        <v>36</v>
      </c>
      <c r="I71" s="5">
        <v>44682</v>
      </c>
      <c r="J71" s="6">
        <v>0</v>
      </c>
      <c r="K71" s="6">
        <v>0</v>
      </c>
      <c r="L71" s="6">
        <v>48.935000000000002</v>
      </c>
      <c r="M71" s="6">
        <v>25.7601777257</v>
      </c>
      <c r="N71" s="6">
        <v>0</v>
      </c>
      <c r="O71" s="6">
        <v>0</v>
      </c>
      <c r="P71" s="6">
        <v>0</v>
      </c>
      <c r="Q71" s="4" t="s">
        <v>51</v>
      </c>
      <c r="R71" s="4">
        <v>0</v>
      </c>
      <c r="S71" s="6">
        <v>0</v>
      </c>
      <c r="T71" s="6">
        <v>7</v>
      </c>
      <c r="U71" s="6">
        <v>0</v>
      </c>
      <c r="V71" s="6">
        <f>IF(ISERROR(VLOOKUP($S$71,'TAR FIN'!$A$1:$O$88,15,0)),0,VLOOKUP($S$71,'TAR FIN'!$A$1:$O$88,15,0))</f>
        <v>0</v>
      </c>
      <c r="W71" s="6">
        <f>IF(ISERROR(VLOOKUP($T$71,'TAR FIN'!$A$1:$O$88,15,0)),0,VLOOKUP($T$71,'TAR FIN'!$A$1:$O$88,15,0))</f>
        <v>1419.25</v>
      </c>
      <c r="X71" s="6">
        <f>IF(ISERROR(VLOOKUP($U$71,'TAR FIN'!$A$1:$O$88,15,0)),0,VLOOKUP($U$71,'TAR FIN'!$A$1:$O$88,15,0))</f>
        <v>0</v>
      </c>
      <c r="Y71" s="6"/>
      <c r="Z71" s="6">
        <f ca="1">('TUSD BE'!$AM$11+'TUSD BF'!$AM$11+'TUSD CVA'!$AM$11)*1</f>
        <v>1283.8542973241515</v>
      </c>
      <c r="AA71" s="6"/>
      <c r="AB71" s="6">
        <f>$K$71*$V$71</f>
        <v>0</v>
      </c>
      <c r="AC71" s="6">
        <f>$M$71*$W$71</f>
        <v>36560.132237199723</v>
      </c>
      <c r="AD71" s="6">
        <f>$O$71*$X$71</f>
        <v>0</v>
      </c>
      <c r="AE71" s="6">
        <f>$K$71*$Y$71</f>
        <v>0</v>
      </c>
      <c r="AF71" s="6">
        <f ca="1">$M$71*$Z$71</f>
        <v>33072.314872973831</v>
      </c>
      <c r="AG71" s="6">
        <f>$O$71*$AA$71</f>
        <v>0</v>
      </c>
    </row>
    <row r="72" spans="1:33" ht="11.25" customHeight="1" x14ac:dyDescent="0.25">
      <c r="A72" s="4" t="s">
        <v>21</v>
      </c>
      <c r="B72" s="4" t="s">
        <v>34</v>
      </c>
      <c r="C72" s="4" t="s">
        <v>35</v>
      </c>
      <c r="D72" s="4" t="s">
        <v>33</v>
      </c>
      <c r="E72" s="4" t="s">
        <v>25</v>
      </c>
      <c r="F72" s="4" t="s">
        <v>50</v>
      </c>
      <c r="G72" s="4" t="s">
        <v>25</v>
      </c>
      <c r="H72" s="4" t="s">
        <v>36</v>
      </c>
      <c r="I72" s="5">
        <v>44713</v>
      </c>
      <c r="J72" s="6">
        <v>0</v>
      </c>
      <c r="K72" s="6">
        <v>0</v>
      </c>
      <c r="L72" s="6">
        <v>49.697000000000003</v>
      </c>
      <c r="M72" s="6">
        <v>27.17038111275</v>
      </c>
      <c r="N72" s="6">
        <v>0</v>
      </c>
      <c r="O72" s="6">
        <v>0</v>
      </c>
      <c r="P72" s="6">
        <v>0</v>
      </c>
      <c r="Q72" s="4" t="s">
        <v>51</v>
      </c>
      <c r="R72" s="4">
        <v>0</v>
      </c>
      <c r="S72" s="6">
        <v>0</v>
      </c>
      <c r="T72" s="6">
        <v>7</v>
      </c>
      <c r="U72" s="6">
        <v>0</v>
      </c>
      <c r="V72" s="6">
        <f>IF(ISERROR(VLOOKUP($S$72,'TAR FIN'!$A$1:$O$88,15,0)),0,VLOOKUP($S$72,'TAR FIN'!$A$1:$O$88,15,0))</f>
        <v>0</v>
      </c>
      <c r="W72" s="6">
        <f>IF(ISERROR(VLOOKUP($T$72,'TAR FIN'!$A$1:$O$88,15,0)),0,VLOOKUP($T$72,'TAR FIN'!$A$1:$O$88,15,0))</f>
        <v>1419.25</v>
      </c>
      <c r="X72" s="6">
        <f>IF(ISERROR(VLOOKUP($U$72,'TAR FIN'!$A$1:$O$88,15,0)),0,VLOOKUP($U$72,'TAR FIN'!$A$1:$O$88,15,0))</f>
        <v>0</v>
      </c>
      <c r="Y72" s="6"/>
      <c r="Z72" s="6">
        <f ca="1">('TUSD BE'!$AM$11+'TUSD BF'!$AM$11+'TUSD CVA'!$AM$11)*1</f>
        <v>1283.8542973241515</v>
      </c>
      <c r="AA72" s="6"/>
      <c r="AB72" s="6">
        <f>$K$72*$V$72</f>
        <v>0</v>
      </c>
      <c r="AC72" s="6">
        <f>$M$72*$W$72</f>
        <v>38561.563394270437</v>
      </c>
      <c r="AD72" s="6">
        <f>$O$72*$X$72</f>
        <v>0</v>
      </c>
      <c r="AE72" s="6">
        <f>$K$72*$Y$72</f>
        <v>0</v>
      </c>
      <c r="AF72" s="6">
        <f ca="1">$M$72*$Z$72</f>
        <v>34882.810551539049</v>
      </c>
      <c r="AG72" s="6">
        <f>$O$72*$AA$72</f>
        <v>0</v>
      </c>
    </row>
    <row r="73" spans="1:33" ht="11.25" customHeight="1" x14ac:dyDescent="0.25">
      <c r="A73" s="4" t="s">
        <v>21</v>
      </c>
      <c r="B73" s="4" t="s">
        <v>34</v>
      </c>
      <c r="C73" s="4" t="s">
        <v>35</v>
      </c>
      <c r="D73" s="4" t="s">
        <v>33</v>
      </c>
      <c r="E73" s="4" t="s">
        <v>25</v>
      </c>
      <c r="F73" s="4" t="s">
        <v>50</v>
      </c>
      <c r="G73" s="4" t="s">
        <v>25</v>
      </c>
      <c r="H73" s="4" t="s">
        <v>36</v>
      </c>
      <c r="I73" s="5">
        <v>44743</v>
      </c>
      <c r="J73" s="6">
        <v>0</v>
      </c>
      <c r="K73" s="6">
        <v>0</v>
      </c>
      <c r="L73" s="6">
        <v>48.795999999999999</v>
      </c>
      <c r="M73" s="6">
        <v>25.68700587112</v>
      </c>
      <c r="N73" s="6">
        <v>0</v>
      </c>
      <c r="O73" s="6">
        <v>0</v>
      </c>
      <c r="P73" s="6">
        <v>0</v>
      </c>
      <c r="Q73" s="4" t="s">
        <v>51</v>
      </c>
      <c r="R73" s="4">
        <v>0</v>
      </c>
      <c r="S73" s="6">
        <v>0</v>
      </c>
      <c r="T73" s="6">
        <v>7</v>
      </c>
      <c r="U73" s="6">
        <v>0</v>
      </c>
      <c r="V73" s="6">
        <f>IF(ISERROR(VLOOKUP($S$73,'TAR FIN'!$A$1:$O$88,15,0)),0,VLOOKUP($S$73,'TAR FIN'!$A$1:$O$88,15,0))</f>
        <v>0</v>
      </c>
      <c r="W73" s="6">
        <f>IF(ISERROR(VLOOKUP($T$73,'TAR FIN'!$A$1:$O$88,15,0)),0,VLOOKUP($T$73,'TAR FIN'!$A$1:$O$88,15,0))</f>
        <v>1419.25</v>
      </c>
      <c r="X73" s="6">
        <f>IF(ISERROR(VLOOKUP($U$73,'TAR FIN'!$A$1:$O$88,15,0)),0,VLOOKUP($U$73,'TAR FIN'!$A$1:$O$88,15,0))</f>
        <v>0</v>
      </c>
      <c r="Y73" s="6"/>
      <c r="Z73" s="6">
        <f ca="1">('TUSD BE'!$AM$11+'TUSD BF'!$AM$11+'TUSD CVA'!$AM$11)*1</f>
        <v>1283.8542973241515</v>
      </c>
      <c r="AA73" s="6"/>
      <c r="AB73" s="6">
        <f>$K$73*$V$73</f>
        <v>0</v>
      </c>
      <c r="AC73" s="6">
        <f>$M$73*$W$73</f>
        <v>36456.283082587062</v>
      </c>
      <c r="AD73" s="6">
        <f>$O$73*$X$73</f>
        <v>0</v>
      </c>
      <c r="AE73" s="6">
        <f>$K$73*$Y$73</f>
        <v>0</v>
      </c>
      <c r="AF73" s="6">
        <f ca="1">$M$73*$Z$73</f>
        <v>32978.372873028122</v>
      </c>
      <c r="AG73" s="6">
        <f>$O$73*$AA$73</f>
        <v>0</v>
      </c>
    </row>
    <row r="74" spans="1:33" ht="11.25" customHeight="1" x14ac:dyDescent="0.25">
      <c r="A74" s="4" t="s">
        <v>21</v>
      </c>
      <c r="B74" s="4" t="s">
        <v>34</v>
      </c>
      <c r="C74" s="4" t="s">
        <v>35</v>
      </c>
      <c r="D74" s="4" t="s">
        <v>33</v>
      </c>
      <c r="E74" s="4" t="s">
        <v>25</v>
      </c>
      <c r="F74" s="4" t="s">
        <v>25</v>
      </c>
      <c r="G74" s="4" t="s">
        <v>25</v>
      </c>
      <c r="H74" s="4" t="s">
        <v>37</v>
      </c>
      <c r="I74" s="5">
        <v>44409</v>
      </c>
      <c r="J74" s="6">
        <v>0</v>
      </c>
      <c r="K74" s="6">
        <v>0</v>
      </c>
      <c r="L74" s="6">
        <v>180.10599999999999</v>
      </c>
      <c r="M74" s="6">
        <v>180.10599999999999</v>
      </c>
      <c r="N74" s="6">
        <v>180.10599999999999</v>
      </c>
      <c r="O74" s="6">
        <v>180.10599999999999</v>
      </c>
      <c r="P74" s="6">
        <v>0</v>
      </c>
      <c r="Q74" s="4" t="s">
        <v>26</v>
      </c>
      <c r="R74" s="4">
        <v>0</v>
      </c>
      <c r="S74" s="6">
        <v>0</v>
      </c>
      <c r="T74" s="6">
        <v>8</v>
      </c>
      <c r="U74" s="6">
        <v>51</v>
      </c>
      <c r="V74" s="6">
        <f>IF(ISERROR(VLOOKUP($S$74,'TAR FIN'!$A$1:$O$88,15,0)),0,VLOOKUP($S$74,'TAR FIN'!$A$1:$O$88,15,0))</f>
        <v>0</v>
      </c>
      <c r="W74" s="6">
        <f>IF(ISERROR(VLOOKUP($T$74,'TAR FIN'!$A$1:$O$88,15,0)),0,VLOOKUP($T$74,'TAR FIN'!$A$1:$O$88,15,0))</f>
        <v>70.19</v>
      </c>
      <c r="X74" s="6">
        <f>IF(ISERROR(VLOOKUP($U$74,'TAR FIN'!$A$1:$O$88,15,0)),0,VLOOKUP($U$74,'TAR FIN'!$A$1:$O$88,15,0))</f>
        <v>302.62</v>
      </c>
      <c r="Y74" s="6"/>
      <c r="Z74" s="6">
        <f ca="1">('TUSD BE'!$AM$12+'TUSD BF'!$AM$12+'TUSD CVA'!$AM$12)*1</f>
        <v>110.00224235361931</v>
      </c>
      <c r="AA74" s="6">
        <f>('TE BE'!$AB$6+'TE BF'!$AB$6+'TE CVA'!$AB$6)*1</f>
        <v>274.24484099236821</v>
      </c>
      <c r="AB74" s="6">
        <f>$K$74*$V$74</f>
        <v>0</v>
      </c>
      <c r="AC74" s="6">
        <f>$M$74*$W$74</f>
        <v>12641.64014</v>
      </c>
      <c r="AD74" s="6">
        <f>$O$74*$X$74</f>
        <v>54503.67772</v>
      </c>
      <c r="AE74" s="6">
        <f>$K$74*$Y$74</f>
        <v>0</v>
      </c>
      <c r="AF74" s="6">
        <f ca="1">$M$74*$Z$74</f>
        <v>19812.063861340957</v>
      </c>
      <c r="AG74" s="6">
        <f>$O$74*$AA$74</f>
        <v>49393.141331771469</v>
      </c>
    </row>
    <row r="75" spans="1:33" ht="11.25" customHeight="1" x14ac:dyDescent="0.25">
      <c r="A75" s="4" t="s">
        <v>21</v>
      </c>
      <c r="B75" s="4" t="s">
        <v>34</v>
      </c>
      <c r="C75" s="4" t="s">
        <v>35</v>
      </c>
      <c r="D75" s="4" t="s">
        <v>33</v>
      </c>
      <c r="E75" s="4" t="s">
        <v>25</v>
      </c>
      <c r="F75" s="4" t="s">
        <v>25</v>
      </c>
      <c r="G75" s="4" t="s">
        <v>25</v>
      </c>
      <c r="H75" s="4" t="s">
        <v>37</v>
      </c>
      <c r="I75" s="5">
        <v>44440</v>
      </c>
      <c r="J75" s="6">
        <v>0</v>
      </c>
      <c r="K75" s="6">
        <v>0</v>
      </c>
      <c r="L75" s="6">
        <v>173.40199999999999</v>
      </c>
      <c r="M75" s="6">
        <v>173.40199999999999</v>
      </c>
      <c r="N75" s="6">
        <v>173.40199999999999</v>
      </c>
      <c r="O75" s="6">
        <v>173.40199999999999</v>
      </c>
      <c r="P75" s="6">
        <v>0</v>
      </c>
      <c r="Q75" s="4" t="s">
        <v>26</v>
      </c>
      <c r="R75" s="4">
        <v>0</v>
      </c>
      <c r="S75" s="6">
        <v>0</v>
      </c>
      <c r="T75" s="6">
        <v>8</v>
      </c>
      <c r="U75" s="6">
        <v>51</v>
      </c>
      <c r="V75" s="6">
        <f>IF(ISERROR(VLOOKUP($S$75,'TAR FIN'!$A$1:$O$88,15,0)),0,VLOOKUP($S$75,'TAR FIN'!$A$1:$O$88,15,0))</f>
        <v>0</v>
      </c>
      <c r="W75" s="6">
        <f>IF(ISERROR(VLOOKUP($T$75,'TAR FIN'!$A$1:$O$88,15,0)),0,VLOOKUP($T$75,'TAR FIN'!$A$1:$O$88,15,0))</f>
        <v>70.19</v>
      </c>
      <c r="X75" s="6">
        <f>IF(ISERROR(VLOOKUP($U$75,'TAR FIN'!$A$1:$O$88,15,0)),0,VLOOKUP($U$75,'TAR FIN'!$A$1:$O$88,15,0))</f>
        <v>302.62</v>
      </c>
      <c r="Y75" s="6"/>
      <c r="Z75" s="6">
        <f ca="1">('TUSD BE'!$AM$12+'TUSD BF'!$AM$12+'TUSD CVA'!$AM$12)*1</f>
        <v>110.00224235361931</v>
      </c>
      <c r="AA75" s="6">
        <f>('TE BE'!$AB$6+'TE BF'!$AB$6+'TE CVA'!$AB$6)*1</f>
        <v>274.24484099236821</v>
      </c>
      <c r="AB75" s="6">
        <f>$K$75*$V$75</f>
        <v>0</v>
      </c>
      <c r="AC75" s="6">
        <f>$M$75*$W$75</f>
        <v>12171.086379999999</v>
      </c>
      <c r="AD75" s="6">
        <f>$O$75*$X$75</f>
        <v>52474.913239999994</v>
      </c>
      <c r="AE75" s="6">
        <f>$K$75*$Y$75</f>
        <v>0</v>
      </c>
      <c r="AF75" s="6">
        <f ca="1">$M$75*$Z$75</f>
        <v>19074.608828602293</v>
      </c>
      <c r="AG75" s="6">
        <f>$O$75*$AA$75</f>
        <v>47554.603917758628</v>
      </c>
    </row>
    <row r="76" spans="1:33" ht="11.25" customHeight="1" x14ac:dyDescent="0.25">
      <c r="A76" s="4" t="s">
        <v>21</v>
      </c>
      <c r="B76" s="4" t="s">
        <v>34</v>
      </c>
      <c r="C76" s="4" t="s">
        <v>35</v>
      </c>
      <c r="D76" s="4" t="s">
        <v>33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44470</v>
      </c>
      <c r="J76" s="6">
        <v>0</v>
      </c>
      <c r="K76" s="6">
        <v>0</v>
      </c>
      <c r="L76" s="6">
        <v>191.13900000000001</v>
      </c>
      <c r="M76" s="6">
        <v>191.13900000000001</v>
      </c>
      <c r="N76" s="6">
        <v>191.13900000000001</v>
      </c>
      <c r="O76" s="6">
        <v>191.13900000000001</v>
      </c>
      <c r="P76" s="6">
        <v>0</v>
      </c>
      <c r="Q76" s="4" t="s">
        <v>26</v>
      </c>
      <c r="R76" s="4">
        <v>0</v>
      </c>
      <c r="S76" s="6">
        <v>0</v>
      </c>
      <c r="T76" s="6">
        <v>8</v>
      </c>
      <c r="U76" s="6">
        <v>51</v>
      </c>
      <c r="V76" s="6">
        <f>IF(ISERROR(VLOOKUP($S$76,'TAR FIN'!$A$1:$O$88,15,0)),0,VLOOKUP($S$76,'TAR FIN'!$A$1:$O$88,15,0))</f>
        <v>0</v>
      </c>
      <c r="W76" s="6">
        <f>IF(ISERROR(VLOOKUP($T$76,'TAR FIN'!$A$1:$O$88,15,0)),0,VLOOKUP($T$76,'TAR FIN'!$A$1:$O$88,15,0))</f>
        <v>70.19</v>
      </c>
      <c r="X76" s="6">
        <f>IF(ISERROR(VLOOKUP($U$76,'TAR FIN'!$A$1:$O$88,15,0)),0,VLOOKUP($U$76,'TAR FIN'!$A$1:$O$88,15,0))</f>
        <v>302.62</v>
      </c>
      <c r="Y76" s="6"/>
      <c r="Z76" s="6">
        <f ca="1">('TUSD BE'!$AM$12+'TUSD BF'!$AM$12+'TUSD CVA'!$AM$12)*1</f>
        <v>110.00224235361931</v>
      </c>
      <c r="AA76" s="6">
        <f>('TE BE'!$AB$6+'TE BF'!$AB$6+'TE CVA'!$AB$6)*1</f>
        <v>274.24484099236821</v>
      </c>
      <c r="AB76" s="6">
        <f>$K$76*$V$76</f>
        <v>0</v>
      </c>
      <c r="AC76" s="6">
        <f>$M$76*$W$76</f>
        <v>13416.046410000001</v>
      </c>
      <c r="AD76" s="6">
        <f>$O$76*$X$76</f>
        <v>57842.484180000007</v>
      </c>
      <c r="AE76" s="6">
        <f>$K$76*$Y$76</f>
        <v>0</v>
      </c>
      <c r="AF76" s="6">
        <f ca="1">$M$76*$Z$76</f>
        <v>21025.718601228444</v>
      </c>
      <c r="AG76" s="6">
        <f>$O$76*$AA$76</f>
        <v>52418.884662440272</v>
      </c>
    </row>
    <row r="77" spans="1:33" ht="11.25" customHeight="1" x14ac:dyDescent="0.25">
      <c r="A77" s="4" t="s">
        <v>21</v>
      </c>
      <c r="B77" s="4" t="s">
        <v>34</v>
      </c>
      <c r="C77" s="4" t="s">
        <v>35</v>
      </c>
      <c r="D77" s="4" t="s">
        <v>33</v>
      </c>
      <c r="E77" s="4" t="s">
        <v>25</v>
      </c>
      <c r="F77" s="4" t="s">
        <v>25</v>
      </c>
      <c r="G77" s="4" t="s">
        <v>25</v>
      </c>
      <c r="H77" s="4" t="s">
        <v>37</v>
      </c>
      <c r="I77" s="5">
        <v>44501</v>
      </c>
      <c r="J77" s="6">
        <v>0</v>
      </c>
      <c r="K77" s="6">
        <v>0</v>
      </c>
      <c r="L77" s="6">
        <v>206.661</v>
      </c>
      <c r="M77" s="6">
        <v>206.661</v>
      </c>
      <c r="N77" s="6">
        <v>206.661</v>
      </c>
      <c r="O77" s="6">
        <v>206.661</v>
      </c>
      <c r="P77" s="6">
        <v>0</v>
      </c>
      <c r="Q77" s="4" t="s">
        <v>26</v>
      </c>
      <c r="R77" s="4">
        <v>0</v>
      </c>
      <c r="S77" s="6">
        <v>0</v>
      </c>
      <c r="T77" s="6">
        <v>8</v>
      </c>
      <c r="U77" s="6">
        <v>51</v>
      </c>
      <c r="V77" s="6">
        <f>IF(ISERROR(VLOOKUP($S$77,'TAR FIN'!$A$1:$O$88,15,0)),0,VLOOKUP($S$77,'TAR FIN'!$A$1:$O$88,15,0))</f>
        <v>0</v>
      </c>
      <c r="W77" s="6">
        <f>IF(ISERROR(VLOOKUP($T$77,'TAR FIN'!$A$1:$O$88,15,0)),0,VLOOKUP($T$77,'TAR FIN'!$A$1:$O$88,15,0))</f>
        <v>70.19</v>
      </c>
      <c r="X77" s="6">
        <f>IF(ISERROR(VLOOKUP($U$77,'TAR FIN'!$A$1:$O$88,15,0)),0,VLOOKUP($U$77,'TAR FIN'!$A$1:$O$88,15,0))</f>
        <v>302.62</v>
      </c>
      <c r="Y77" s="6"/>
      <c r="Z77" s="6">
        <f ca="1">('TUSD BE'!$AM$12+'TUSD BF'!$AM$12+'TUSD CVA'!$AM$12)*1</f>
        <v>110.00224235361931</v>
      </c>
      <c r="AA77" s="6">
        <f>('TE BE'!$AB$6+'TE BF'!$AB$6+'TE CVA'!$AB$6)*1</f>
        <v>274.24484099236821</v>
      </c>
      <c r="AB77" s="6">
        <f>$K$77*$V$77</f>
        <v>0</v>
      </c>
      <c r="AC77" s="6">
        <f>$M$77*$W$77</f>
        <v>14505.53559</v>
      </c>
      <c r="AD77" s="6">
        <f>$O$77*$X$77</f>
        <v>62539.751820000005</v>
      </c>
      <c r="AE77" s="6">
        <f>$K$77*$Y$77</f>
        <v>0</v>
      </c>
      <c r="AF77" s="6">
        <f ca="1">$M$77*$Z$77</f>
        <v>22733.173407041319</v>
      </c>
      <c r="AG77" s="6">
        <f>$O$77*$AA$77</f>
        <v>56675.713084323805</v>
      </c>
    </row>
    <row r="78" spans="1:33" ht="11.25" customHeight="1" x14ac:dyDescent="0.25">
      <c r="A78" s="4" t="s">
        <v>21</v>
      </c>
      <c r="B78" s="4" t="s">
        <v>34</v>
      </c>
      <c r="C78" s="4" t="s">
        <v>35</v>
      </c>
      <c r="D78" s="4" t="s">
        <v>33</v>
      </c>
      <c r="E78" s="4" t="s">
        <v>25</v>
      </c>
      <c r="F78" s="4" t="s">
        <v>25</v>
      </c>
      <c r="G78" s="4" t="s">
        <v>25</v>
      </c>
      <c r="H78" s="4" t="s">
        <v>37</v>
      </c>
      <c r="I78" s="5">
        <v>44531</v>
      </c>
      <c r="J78" s="6">
        <v>0</v>
      </c>
      <c r="K78" s="6">
        <v>0</v>
      </c>
      <c r="L78" s="6">
        <v>158.70099999999999</v>
      </c>
      <c r="M78" s="6">
        <v>158.70099999999999</v>
      </c>
      <c r="N78" s="6">
        <v>158.70099999999999</v>
      </c>
      <c r="O78" s="6">
        <v>158.70099999999999</v>
      </c>
      <c r="P78" s="6">
        <v>0</v>
      </c>
      <c r="Q78" s="4" t="s">
        <v>26</v>
      </c>
      <c r="R78" s="4">
        <v>0</v>
      </c>
      <c r="S78" s="6">
        <v>0</v>
      </c>
      <c r="T78" s="6">
        <v>8</v>
      </c>
      <c r="U78" s="6">
        <v>51</v>
      </c>
      <c r="V78" s="6">
        <f>IF(ISERROR(VLOOKUP($S$78,'TAR FIN'!$A$1:$O$88,15,0)),0,VLOOKUP($S$78,'TAR FIN'!$A$1:$O$88,15,0))</f>
        <v>0</v>
      </c>
      <c r="W78" s="6">
        <f>IF(ISERROR(VLOOKUP($T$78,'TAR FIN'!$A$1:$O$88,15,0)),0,VLOOKUP($T$78,'TAR FIN'!$A$1:$O$88,15,0))</f>
        <v>70.19</v>
      </c>
      <c r="X78" s="6">
        <f>IF(ISERROR(VLOOKUP($U$78,'TAR FIN'!$A$1:$O$88,15,0)),0,VLOOKUP($U$78,'TAR FIN'!$A$1:$O$88,15,0))</f>
        <v>302.62</v>
      </c>
      <c r="Y78" s="6"/>
      <c r="Z78" s="6">
        <f ca="1">('TUSD BE'!$AM$12+'TUSD BF'!$AM$12+'TUSD CVA'!$AM$12)*1</f>
        <v>110.00224235361931</v>
      </c>
      <c r="AA78" s="6">
        <f>('TE BE'!$AB$6+'TE BF'!$AB$6+'TE CVA'!$AB$6)*1</f>
        <v>274.24484099236821</v>
      </c>
      <c r="AB78" s="6">
        <f>$K$78*$V$78</f>
        <v>0</v>
      </c>
      <c r="AC78" s="6">
        <f>$M$78*$W$78</f>
        <v>11139.223189999999</v>
      </c>
      <c r="AD78" s="6">
        <f>$O$78*$X$78</f>
        <v>48026.096619999997</v>
      </c>
      <c r="AE78" s="6">
        <f>$K$78*$Y$78</f>
        <v>0</v>
      </c>
      <c r="AF78" s="6">
        <f ca="1">$M$78*$Z$78</f>
        <v>17457.465863761736</v>
      </c>
      <c r="AG78" s="6">
        <f>$O$78*$AA$78</f>
        <v>43522.930510329825</v>
      </c>
    </row>
    <row r="79" spans="1:33" ht="11.25" customHeight="1" x14ac:dyDescent="0.25">
      <c r="A79" s="4" t="s">
        <v>21</v>
      </c>
      <c r="B79" s="4" t="s">
        <v>34</v>
      </c>
      <c r="C79" s="4" t="s">
        <v>35</v>
      </c>
      <c r="D79" s="4" t="s">
        <v>33</v>
      </c>
      <c r="E79" s="4" t="s">
        <v>25</v>
      </c>
      <c r="F79" s="4" t="s">
        <v>25</v>
      </c>
      <c r="G79" s="4" t="s">
        <v>25</v>
      </c>
      <c r="H79" s="4" t="s">
        <v>37</v>
      </c>
      <c r="I79" s="5">
        <v>44562</v>
      </c>
      <c r="J79" s="6">
        <v>0</v>
      </c>
      <c r="K79" s="6">
        <v>0</v>
      </c>
      <c r="L79" s="6">
        <v>133.976</v>
      </c>
      <c r="M79" s="6">
        <v>133.976</v>
      </c>
      <c r="N79" s="6">
        <v>133.976</v>
      </c>
      <c r="O79" s="6">
        <v>133.976</v>
      </c>
      <c r="P79" s="6">
        <v>0</v>
      </c>
      <c r="Q79" s="4" t="s">
        <v>26</v>
      </c>
      <c r="R79" s="4">
        <v>0</v>
      </c>
      <c r="S79" s="6">
        <v>0</v>
      </c>
      <c r="T79" s="6">
        <v>8</v>
      </c>
      <c r="U79" s="6">
        <v>51</v>
      </c>
      <c r="V79" s="6">
        <f>IF(ISERROR(VLOOKUP($S$79,'TAR FIN'!$A$1:$O$88,15,0)),0,VLOOKUP($S$79,'TAR FIN'!$A$1:$O$88,15,0))</f>
        <v>0</v>
      </c>
      <c r="W79" s="6">
        <f>IF(ISERROR(VLOOKUP($T$79,'TAR FIN'!$A$1:$O$88,15,0)),0,VLOOKUP($T$79,'TAR FIN'!$A$1:$O$88,15,0))</f>
        <v>70.19</v>
      </c>
      <c r="X79" s="6">
        <f>IF(ISERROR(VLOOKUP($U$79,'TAR FIN'!$A$1:$O$88,15,0)),0,VLOOKUP($U$79,'TAR FIN'!$A$1:$O$88,15,0))</f>
        <v>302.62</v>
      </c>
      <c r="Y79" s="6"/>
      <c r="Z79" s="6">
        <f ca="1">('TUSD BE'!$AM$12+'TUSD BF'!$AM$12+'TUSD CVA'!$AM$12)*1</f>
        <v>110.00224235361931</v>
      </c>
      <c r="AA79" s="6">
        <f>('TE BE'!$AB$6+'TE BF'!$AB$6+'TE CVA'!$AB$6)*1</f>
        <v>274.24484099236821</v>
      </c>
      <c r="AB79" s="6">
        <f>$K$79*$V$79</f>
        <v>0</v>
      </c>
      <c r="AC79" s="6">
        <f>$M$79*$W$79</f>
        <v>9403.7754399999994</v>
      </c>
      <c r="AD79" s="6">
        <f>$O$79*$X$79</f>
        <v>40543.81712</v>
      </c>
      <c r="AE79" s="6">
        <f>$K$79*$Y$79</f>
        <v>0</v>
      </c>
      <c r="AF79" s="6">
        <f ca="1">$M$79*$Z$79</f>
        <v>14737.6604215685</v>
      </c>
      <c r="AG79" s="6">
        <f>$O$79*$AA$79</f>
        <v>36742.226816793525</v>
      </c>
    </row>
    <row r="80" spans="1:33" ht="11.25" customHeight="1" x14ac:dyDescent="0.25">
      <c r="A80" s="4" t="s">
        <v>21</v>
      </c>
      <c r="B80" s="4" t="s">
        <v>34</v>
      </c>
      <c r="C80" s="4" t="s">
        <v>35</v>
      </c>
      <c r="D80" s="4" t="s">
        <v>33</v>
      </c>
      <c r="E80" s="4" t="s">
        <v>25</v>
      </c>
      <c r="F80" s="4" t="s">
        <v>25</v>
      </c>
      <c r="G80" s="4" t="s">
        <v>25</v>
      </c>
      <c r="H80" s="4" t="s">
        <v>37</v>
      </c>
      <c r="I80" s="5">
        <v>44593</v>
      </c>
      <c r="J80" s="6">
        <v>0</v>
      </c>
      <c r="K80" s="6">
        <v>0</v>
      </c>
      <c r="L80" s="6">
        <v>138.666</v>
      </c>
      <c r="M80" s="6">
        <v>138.666</v>
      </c>
      <c r="N80" s="6">
        <v>138.666</v>
      </c>
      <c r="O80" s="6">
        <v>138.666</v>
      </c>
      <c r="P80" s="6">
        <v>0</v>
      </c>
      <c r="Q80" s="4" t="s">
        <v>26</v>
      </c>
      <c r="R80" s="4">
        <v>0</v>
      </c>
      <c r="S80" s="6">
        <v>0</v>
      </c>
      <c r="T80" s="6">
        <v>8</v>
      </c>
      <c r="U80" s="6">
        <v>51</v>
      </c>
      <c r="V80" s="6">
        <f>IF(ISERROR(VLOOKUP($S$80,'TAR FIN'!$A$1:$O$88,15,0)),0,VLOOKUP($S$80,'TAR FIN'!$A$1:$O$88,15,0))</f>
        <v>0</v>
      </c>
      <c r="W80" s="6">
        <f>IF(ISERROR(VLOOKUP($T$80,'TAR FIN'!$A$1:$O$88,15,0)),0,VLOOKUP($T$80,'TAR FIN'!$A$1:$O$88,15,0))</f>
        <v>70.19</v>
      </c>
      <c r="X80" s="6">
        <f>IF(ISERROR(VLOOKUP($U$80,'TAR FIN'!$A$1:$O$88,15,0)),0,VLOOKUP($U$80,'TAR FIN'!$A$1:$O$88,15,0))</f>
        <v>302.62</v>
      </c>
      <c r="Y80" s="6"/>
      <c r="Z80" s="6">
        <f ca="1">('TUSD BE'!$AM$12+'TUSD BF'!$AM$12+'TUSD CVA'!$AM$12)*1</f>
        <v>110.00224235361931</v>
      </c>
      <c r="AA80" s="6">
        <f>('TE BE'!$AB$6+'TE BF'!$AB$6+'TE CVA'!$AB$6)*1</f>
        <v>274.24484099236821</v>
      </c>
      <c r="AB80" s="6">
        <f>$K$80*$V$80</f>
        <v>0</v>
      </c>
      <c r="AC80" s="6">
        <f>$M$80*$W$80</f>
        <v>9732.9665399999994</v>
      </c>
      <c r="AD80" s="6">
        <f>$O$80*$X$80</f>
        <v>41963.104919999998</v>
      </c>
      <c r="AE80" s="6">
        <f>$K$80*$Y$80</f>
        <v>0</v>
      </c>
      <c r="AF80" s="6">
        <f ca="1">$M$80*$Z$80</f>
        <v>15253.570938206974</v>
      </c>
      <c r="AG80" s="6">
        <f>$O$80*$AA$80</f>
        <v>38028.435121047733</v>
      </c>
    </row>
    <row r="81" spans="1:33" ht="11.25" customHeight="1" x14ac:dyDescent="0.25">
      <c r="A81" s="4" t="s">
        <v>21</v>
      </c>
      <c r="B81" s="4" t="s">
        <v>34</v>
      </c>
      <c r="C81" s="4" t="s">
        <v>35</v>
      </c>
      <c r="D81" s="4" t="s">
        <v>33</v>
      </c>
      <c r="E81" s="4" t="s">
        <v>25</v>
      </c>
      <c r="F81" s="4" t="s">
        <v>25</v>
      </c>
      <c r="G81" s="4" t="s">
        <v>25</v>
      </c>
      <c r="H81" s="4" t="s">
        <v>37</v>
      </c>
      <c r="I81" s="5">
        <v>44621</v>
      </c>
      <c r="J81" s="6">
        <v>0</v>
      </c>
      <c r="K81" s="6">
        <v>0</v>
      </c>
      <c r="L81" s="6">
        <v>150.70599999999999</v>
      </c>
      <c r="M81" s="6">
        <v>150.70599999999999</v>
      </c>
      <c r="N81" s="6">
        <v>150.70599999999999</v>
      </c>
      <c r="O81" s="6">
        <v>150.70599999999999</v>
      </c>
      <c r="P81" s="6">
        <v>0</v>
      </c>
      <c r="Q81" s="4" t="s">
        <v>26</v>
      </c>
      <c r="R81" s="4">
        <v>0</v>
      </c>
      <c r="S81" s="6">
        <v>0</v>
      </c>
      <c r="T81" s="6">
        <v>8</v>
      </c>
      <c r="U81" s="6">
        <v>51</v>
      </c>
      <c r="V81" s="6">
        <f>IF(ISERROR(VLOOKUP($S$81,'TAR FIN'!$A$1:$O$88,15,0)),0,VLOOKUP($S$81,'TAR FIN'!$A$1:$O$88,15,0))</f>
        <v>0</v>
      </c>
      <c r="W81" s="6">
        <f>IF(ISERROR(VLOOKUP($T$81,'TAR FIN'!$A$1:$O$88,15,0)),0,VLOOKUP($T$81,'TAR FIN'!$A$1:$O$88,15,0))</f>
        <v>70.19</v>
      </c>
      <c r="X81" s="6">
        <f>IF(ISERROR(VLOOKUP($U$81,'TAR FIN'!$A$1:$O$88,15,0)),0,VLOOKUP($U$81,'TAR FIN'!$A$1:$O$88,15,0))</f>
        <v>302.62</v>
      </c>
      <c r="Y81" s="6"/>
      <c r="Z81" s="6">
        <f ca="1">('TUSD BE'!$AM$12+'TUSD BF'!$AM$12+'TUSD CVA'!$AM$12)*1</f>
        <v>110.00224235361931</v>
      </c>
      <c r="AA81" s="6">
        <f>('TE BE'!$AB$6+'TE BF'!$AB$6+'TE CVA'!$AB$6)*1</f>
        <v>274.24484099236821</v>
      </c>
      <c r="AB81" s="6">
        <f>$K$81*$V$81</f>
        <v>0</v>
      </c>
      <c r="AC81" s="6">
        <f>$M$81*$W$81</f>
        <v>10578.054139999998</v>
      </c>
      <c r="AD81" s="6">
        <f>$O$81*$X$81</f>
        <v>45606.649719999994</v>
      </c>
      <c r="AE81" s="6">
        <f>$K$81*$Y$81</f>
        <v>0</v>
      </c>
      <c r="AF81" s="6">
        <f ca="1">$M$81*$Z$81</f>
        <v>16577.997936144551</v>
      </c>
      <c r="AG81" s="6">
        <f>$O$81*$AA$81</f>
        <v>41330.343006595838</v>
      </c>
    </row>
    <row r="82" spans="1:33" ht="11.25" customHeight="1" x14ac:dyDescent="0.25">
      <c r="A82" s="4" t="s">
        <v>21</v>
      </c>
      <c r="B82" s="4" t="s">
        <v>34</v>
      </c>
      <c r="C82" s="4" t="s">
        <v>35</v>
      </c>
      <c r="D82" s="4" t="s">
        <v>33</v>
      </c>
      <c r="E82" s="4" t="s">
        <v>25</v>
      </c>
      <c r="F82" s="4" t="s">
        <v>25</v>
      </c>
      <c r="G82" s="4" t="s">
        <v>25</v>
      </c>
      <c r="H82" s="4" t="s">
        <v>37</v>
      </c>
      <c r="I82" s="5">
        <v>44652</v>
      </c>
      <c r="J82" s="6">
        <v>0</v>
      </c>
      <c r="K82" s="6">
        <v>0</v>
      </c>
      <c r="L82" s="6">
        <v>119.78400000000001</v>
      </c>
      <c r="M82" s="6">
        <v>119.78400000000001</v>
      </c>
      <c r="N82" s="6">
        <v>119.78400000000001</v>
      </c>
      <c r="O82" s="6">
        <v>119.78400000000001</v>
      </c>
      <c r="P82" s="6">
        <v>0</v>
      </c>
      <c r="Q82" s="4" t="s">
        <v>26</v>
      </c>
      <c r="R82" s="4">
        <v>0</v>
      </c>
      <c r="S82" s="6">
        <v>0</v>
      </c>
      <c r="T82" s="6">
        <v>8</v>
      </c>
      <c r="U82" s="6">
        <v>51</v>
      </c>
      <c r="V82" s="6">
        <f>IF(ISERROR(VLOOKUP($S$82,'TAR FIN'!$A$1:$O$88,15,0)),0,VLOOKUP($S$82,'TAR FIN'!$A$1:$O$88,15,0))</f>
        <v>0</v>
      </c>
      <c r="W82" s="6">
        <f>IF(ISERROR(VLOOKUP($T$82,'TAR FIN'!$A$1:$O$88,15,0)),0,VLOOKUP($T$82,'TAR FIN'!$A$1:$O$88,15,0))</f>
        <v>70.19</v>
      </c>
      <c r="X82" s="6">
        <f>IF(ISERROR(VLOOKUP($U$82,'TAR FIN'!$A$1:$O$88,15,0)),0,VLOOKUP($U$82,'TAR FIN'!$A$1:$O$88,15,0))</f>
        <v>302.62</v>
      </c>
      <c r="Y82" s="6"/>
      <c r="Z82" s="6">
        <f ca="1">('TUSD BE'!$AM$12+'TUSD BF'!$AM$12+'TUSD CVA'!$AM$12)*1</f>
        <v>110.00224235361931</v>
      </c>
      <c r="AA82" s="6">
        <f>('TE BE'!$AB$6+'TE BF'!$AB$6+'TE CVA'!$AB$6)*1</f>
        <v>274.24484099236821</v>
      </c>
      <c r="AB82" s="6">
        <f>$K$82*$V$82</f>
        <v>0</v>
      </c>
      <c r="AC82" s="6">
        <f>$M$82*$W$82</f>
        <v>8407.6389600000002</v>
      </c>
      <c r="AD82" s="6">
        <f>$O$82*$X$82</f>
        <v>36249.034080000005</v>
      </c>
      <c r="AE82" s="6">
        <f>$K$82*$Y$82</f>
        <v>0</v>
      </c>
      <c r="AF82" s="6">
        <f ca="1">$M$82*$Z$82</f>
        <v>13176.508598085937</v>
      </c>
      <c r="AG82" s="6">
        <f>$O$82*$AA$82</f>
        <v>32850.144033429839</v>
      </c>
    </row>
    <row r="83" spans="1:33" ht="11.25" customHeight="1" x14ac:dyDescent="0.25">
      <c r="A83" s="4" t="s">
        <v>21</v>
      </c>
      <c r="B83" s="4" t="s">
        <v>34</v>
      </c>
      <c r="C83" s="4" t="s">
        <v>35</v>
      </c>
      <c r="D83" s="4" t="s">
        <v>33</v>
      </c>
      <c r="E83" s="4" t="s">
        <v>25</v>
      </c>
      <c r="F83" s="4" t="s">
        <v>25</v>
      </c>
      <c r="G83" s="4" t="s">
        <v>25</v>
      </c>
      <c r="H83" s="4" t="s">
        <v>37</v>
      </c>
      <c r="I83" s="5">
        <v>44682</v>
      </c>
      <c r="J83" s="6">
        <v>0</v>
      </c>
      <c r="K83" s="6">
        <v>0</v>
      </c>
      <c r="L83" s="6">
        <v>148.124</v>
      </c>
      <c r="M83" s="6">
        <v>148.124</v>
      </c>
      <c r="N83" s="6">
        <v>148.124</v>
      </c>
      <c r="O83" s="6">
        <v>148.124</v>
      </c>
      <c r="P83" s="6">
        <v>0</v>
      </c>
      <c r="Q83" s="4" t="s">
        <v>26</v>
      </c>
      <c r="R83" s="4">
        <v>0</v>
      </c>
      <c r="S83" s="6">
        <v>0</v>
      </c>
      <c r="T83" s="6">
        <v>8</v>
      </c>
      <c r="U83" s="6">
        <v>51</v>
      </c>
      <c r="V83" s="6">
        <f>IF(ISERROR(VLOOKUP($S$83,'TAR FIN'!$A$1:$O$88,15,0)),0,VLOOKUP($S$83,'TAR FIN'!$A$1:$O$88,15,0))</f>
        <v>0</v>
      </c>
      <c r="W83" s="6">
        <f>IF(ISERROR(VLOOKUP($T$83,'TAR FIN'!$A$1:$O$88,15,0)),0,VLOOKUP($T$83,'TAR FIN'!$A$1:$O$88,15,0))</f>
        <v>70.19</v>
      </c>
      <c r="X83" s="6">
        <f>IF(ISERROR(VLOOKUP($U$83,'TAR FIN'!$A$1:$O$88,15,0)),0,VLOOKUP($U$83,'TAR FIN'!$A$1:$O$88,15,0))</f>
        <v>302.62</v>
      </c>
      <c r="Y83" s="6"/>
      <c r="Z83" s="6">
        <f ca="1">('TUSD BE'!$AM$12+'TUSD BF'!$AM$12+'TUSD CVA'!$AM$12)*1</f>
        <v>110.00224235361931</v>
      </c>
      <c r="AA83" s="6">
        <f>('TE BE'!$AB$6+'TE BF'!$AB$6+'TE CVA'!$AB$6)*1</f>
        <v>274.24484099236821</v>
      </c>
      <c r="AB83" s="6">
        <f>$K$83*$V$83</f>
        <v>0</v>
      </c>
      <c r="AC83" s="6">
        <f>$M$83*$W$83</f>
        <v>10396.823559999999</v>
      </c>
      <c r="AD83" s="6">
        <f>$O$83*$X$83</f>
        <v>44825.284879999999</v>
      </c>
      <c r="AE83" s="6">
        <f>$K$83*$Y$83</f>
        <v>0</v>
      </c>
      <c r="AF83" s="6">
        <f ca="1">$M$83*$Z$83</f>
        <v>16293.972146387507</v>
      </c>
      <c r="AG83" s="6">
        <f>$O$83*$AA$83</f>
        <v>40622.242827153546</v>
      </c>
    </row>
    <row r="84" spans="1:33" ht="11.25" customHeight="1" x14ac:dyDescent="0.25">
      <c r="A84" s="4" t="s">
        <v>21</v>
      </c>
      <c r="B84" s="4" t="s">
        <v>34</v>
      </c>
      <c r="C84" s="4" t="s">
        <v>35</v>
      </c>
      <c r="D84" s="4" t="s">
        <v>33</v>
      </c>
      <c r="E84" s="4" t="s">
        <v>25</v>
      </c>
      <c r="F84" s="4" t="s">
        <v>25</v>
      </c>
      <c r="G84" s="4" t="s">
        <v>25</v>
      </c>
      <c r="H84" s="4" t="s">
        <v>37</v>
      </c>
      <c r="I84" s="5">
        <v>44713</v>
      </c>
      <c r="J84" s="6">
        <v>0</v>
      </c>
      <c r="K84" s="6">
        <v>0</v>
      </c>
      <c r="L84" s="6">
        <v>143.33099999999999</v>
      </c>
      <c r="M84" s="6">
        <v>143.33099999999999</v>
      </c>
      <c r="N84" s="6">
        <v>143.33099999999999</v>
      </c>
      <c r="O84" s="6">
        <v>143.33099999999999</v>
      </c>
      <c r="P84" s="6">
        <v>0</v>
      </c>
      <c r="Q84" s="4" t="s">
        <v>26</v>
      </c>
      <c r="R84" s="4">
        <v>0</v>
      </c>
      <c r="S84" s="6">
        <v>0</v>
      </c>
      <c r="T84" s="6">
        <v>8</v>
      </c>
      <c r="U84" s="6">
        <v>51</v>
      </c>
      <c r="V84" s="6">
        <f>IF(ISERROR(VLOOKUP($S$84,'TAR FIN'!$A$1:$O$88,15,0)),0,VLOOKUP($S$84,'TAR FIN'!$A$1:$O$88,15,0))</f>
        <v>0</v>
      </c>
      <c r="W84" s="6">
        <f>IF(ISERROR(VLOOKUP($T$84,'TAR FIN'!$A$1:$O$88,15,0)),0,VLOOKUP($T$84,'TAR FIN'!$A$1:$O$88,15,0))</f>
        <v>70.19</v>
      </c>
      <c r="X84" s="6">
        <f>IF(ISERROR(VLOOKUP($U$84,'TAR FIN'!$A$1:$O$88,15,0)),0,VLOOKUP($U$84,'TAR FIN'!$A$1:$O$88,15,0))</f>
        <v>302.62</v>
      </c>
      <c r="Y84" s="6"/>
      <c r="Z84" s="6">
        <f ca="1">('TUSD BE'!$AM$12+'TUSD BF'!$AM$12+'TUSD CVA'!$AM$12)*1</f>
        <v>110.00224235361931</v>
      </c>
      <c r="AA84" s="6">
        <f>('TE BE'!$AB$6+'TE BF'!$AB$6+'TE CVA'!$AB$6)*1</f>
        <v>274.24484099236821</v>
      </c>
      <c r="AB84" s="6">
        <f>$K$84*$V$84</f>
        <v>0</v>
      </c>
      <c r="AC84" s="6">
        <f>$M$84*$W$84</f>
        <v>10060.402889999999</v>
      </c>
      <c r="AD84" s="6">
        <f>$O$84*$X$84</f>
        <v>43374.827219999999</v>
      </c>
      <c r="AE84" s="6">
        <f>$K$84*$Y$84</f>
        <v>0</v>
      </c>
      <c r="AF84" s="6">
        <f ca="1">$M$84*$Z$84</f>
        <v>15766.731398786607</v>
      </c>
      <c r="AG84" s="6">
        <f>$O$84*$AA$84</f>
        <v>39307.787304277124</v>
      </c>
    </row>
    <row r="85" spans="1:33" ht="11.25" customHeight="1" x14ac:dyDescent="0.25">
      <c r="A85" s="4" t="s">
        <v>21</v>
      </c>
      <c r="B85" s="4" t="s">
        <v>34</v>
      </c>
      <c r="C85" s="4" t="s">
        <v>35</v>
      </c>
      <c r="D85" s="4" t="s">
        <v>33</v>
      </c>
      <c r="E85" s="4" t="s">
        <v>25</v>
      </c>
      <c r="F85" s="4" t="s">
        <v>25</v>
      </c>
      <c r="G85" s="4" t="s">
        <v>25</v>
      </c>
      <c r="H85" s="4" t="s">
        <v>37</v>
      </c>
      <c r="I85" s="5">
        <v>44743</v>
      </c>
      <c r="J85" s="6">
        <v>0</v>
      </c>
      <c r="K85" s="6">
        <v>0</v>
      </c>
      <c r="L85" s="6">
        <v>143.77099999999999</v>
      </c>
      <c r="M85" s="6">
        <v>143.77099999999999</v>
      </c>
      <c r="N85" s="6">
        <v>143.77099999999999</v>
      </c>
      <c r="O85" s="6">
        <v>143.77099999999999</v>
      </c>
      <c r="P85" s="6">
        <v>0</v>
      </c>
      <c r="Q85" s="4" t="s">
        <v>26</v>
      </c>
      <c r="R85" s="4">
        <v>0</v>
      </c>
      <c r="S85" s="6">
        <v>0</v>
      </c>
      <c r="T85" s="6">
        <v>8</v>
      </c>
      <c r="U85" s="6">
        <v>51</v>
      </c>
      <c r="V85" s="6">
        <f>IF(ISERROR(VLOOKUP($S$85,'TAR FIN'!$A$1:$O$88,15,0)),0,VLOOKUP($S$85,'TAR FIN'!$A$1:$O$88,15,0))</f>
        <v>0</v>
      </c>
      <c r="W85" s="6">
        <f>IF(ISERROR(VLOOKUP($T$85,'TAR FIN'!$A$1:$O$88,15,0)),0,VLOOKUP($T$85,'TAR FIN'!$A$1:$O$88,15,0))</f>
        <v>70.19</v>
      </c>
      <c r="X85" s="6">
        <f>IF(ISERROR(VLOOKUP($U$85,'TAR FIN'!$A$1:$O$88,15,0)),0,VLOOKUP($U$85,'TAR FIN'!$A$1:$O$88,15,0))</f>
        <v>302.62</v>
      </c>
      <c r="Y85" s="6"/>
      <c r="Z85" s="6">
        <f ca="1">('TUSD BE'!$AM$12+'TUSD BF'!$AM$12+'TUSD CVA'!$AM$12)*1</f>
        <v>110.00224235361931</v>
      </c>
      <c r="AA85" s="6">
        <f>('TE BE'!$AB$6+'TE BF'!$AB$6+'TE CVA'!$AB$6)*1</f>
        <v>274.24484099236821</v>
      </c>
      <c r="AB85" s="6">
        <f>$K$85*$V$85</f>
        <v>0</v>
      </c>
      <c r="AC85" s="6">
        <f>$M$85*$W$85</f>
        <v>10091.286489999999</v>
      </c>
      <c r="AD85" s="6">
        <f>$O$85*$X$85</f>
        <v>43507.980019999995</v>
      </c>
      <c r="AE85" s="6">
        <f>$K$85*$Y$85</f>
        <v>0</v>
      </c>
      <c r="AF85" s="6">
        <f ca="1">$M$85*$Z$85</f>
        <v>15815.132385422201</v>
      </c>
      <c r="AG85" s="6">
        <f>$O$85*$AA$85</f>
        <v>39428.455034313767</v>
      </c>
    </row>
    <row r="86" spans="1:33" ht="11.25" customHeight="1" x14ac:dyDescent="0.25">
      <c r="A86" s="4" t="s">
        <v>21</v>
      </c>
      <c r="B86" s="4" t="s">
        <v>34</v>
      </c>
      <c r="C86" s="4" t="s">
        <v>35</v>
      </c>
      <c r="D86" s="4" t="s">
        <v>33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44409</v>
      </c>
      <c r="J86" s="6">
        <v>1060</v>
      </c>
      <c r="K86" s="6">
        <v>1060</v>
      </c>
      <c r="L86" s="6">
        <v>0</v>
      </c>
      <c r="M86" s="6">
        <v>0</v>
      </c>
      <c r="N86" s="6">
        <v>0</v>
      </c>
      <c r="O86" s="6">
        <v>0</v>
      </c>
      <c r="P86" s="6">
        <v>6</v>
      </c>
      <c r="Q86" s="4" t="s">
        <v>26</v>
      </c>
      <c r="R86" s="4">
        <v>0</v>
      </c>
      <c r="S86" s="6">
        <v>6</v>
      </c>
      <c r="T86" s="6">
        <v>0</v>
      </c>
      <c r="U86" s="6">
        <v>0</v>
      </c>
      <c r="V86" s="6">
        <f>IF(ISERROR(VLOOKUP($S$86,'TAR FIN'!$A$1:$O$88,15,0)),0,VLOOKUP($S$86,'TAR FIN'!$A$1:$O$88,15,0))</f>
        <v>20.43</v>
      </c>
      <c r="W86" s="6">
        <f>IF(ISERROR(VLOOKUP($T$86,'TAR FIN'!$A$1:$O$88,15,0)),0,VLOOKUP($T$86,'TAR FIN'!$A$1:$O$88,15,0))</f>
        <v>0</v>
      </c>
      <c r="X86" s="6">
        <f>IF(ISERROR(VLOOKUP($U$86,'TAR FIN'!$A$1:$O$88,15,0)),0,VLOOKUP($U$86,'TAR FIN'!$A$1:$O$88,15,0))</f>
        <v>0</v>
      </c>
      <c r="Y86" s="6">
        <f ca="1">('TUSD BE'!$AM$10+'TUSD BF'!$AM$10+'TUSD CVA'!$AM$10)*1</f>
        <v>17.702312702839738</v>
      </c>
      <c r="Z86" s="6"/>
      <c r="AA86" s="6"/>
      <c r="AB86" s="6">
        <f>$K$86*$V$86</f>
        <v>21655.8</v>
      </c>
      <c r="AC86" s="6">
        <f>$M$86*$W$86</f>
        <v>0</v>
      </c>
      <c r="AD86" s="6">
        <f>$O$86*$X$86</f>
        <v>0</v>
      </c>
      <c r="AE86" s="6">
        <f ca="1">$K$86*$Y$86</f>
        <v>18764.451465010123</v>
      </c>
      <c r="AF86" s="6">
        <f>$M$86*$Z$86</f>
        <v>0</v>
      </c>
      <c r="AG86" s="6">
        <f>$O$86*$AA$86</f>
        <v>0</v>
      </c>
    </row>
    <row r="87" spans="1:33" ht="11.25" customHeight="1" x14ac:dyDescent="0.25">
      <c r="A87" s="4" t="s">
        <v>21</v>
      </c>
      <c r="B87" s="4" t="s">
        <v>34</v>
      </c>
      <c r="C87" s="4" t="s">
        <v>35</v>
      </c>
      <c r="D87" s="4" t="s">
        <v>33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44440</v>
      </c>
      <c r="J87" s="6">
        <v>1057</v>
      </c>
      <c r="K87" s="6">
        <v>1057</v>
      </c>
      <c r="L87" s="6">
        <v>0</v>
      </c>
      <c r="M87" s="6">
        <v>0</v>
      </c>
      <c r="N87" s="6">
        <v>0</v>
      </c>
      <c r="O87" s="6">
        <v>0</v>
      </c>
      <c r="P87" s="6">
        <v>6</v>
      </c>
      <c r="Q87" s="4" t="s">
        <v>26</v>
      </c>
      <c r="R87" s="4">
        <v>0</v>
      </c>
      <c r="S87" s="6">
        <v>6</v>
      </c>
      <c r="T87" s="6">
        <v>0</v>
      </c>
      <c r="U87" s="6">
        <v>0</v>
      </c>
      <c r="V87" s="6">
        <f>IF(ISERROR(VLOOKUP($S$87,'TAR FIN'!$A$1:$O$88,15,0)),0,VLOOKUP($S$87,'TAR FIN'!$A$1:$O$88,15,0))</f>
        <v>20.43</v>
      </c>
      <c r="W87" s="6">
        <f>IF(ISERROR(VLOOKUP($T$87,'TAR FIN'!$A$1:$O$88,15,0)),0,VLOOKUP($T$87,'TAR FIN'!$A$1:$O$88,15,0))</f>
        <v>0</v>
      </c>
      <c r="X87" s="6">
        <f>IF(ISERROR(VLOOKUP($U$87,'TAR FIN'!$A$1:$O$88,15,0)),0,VLOOKUP($U$87,'TAR FIN'!$A$1:$O$88,15,0))</f>
        <v>0</v>
      </c>
      <c r="Y87" s="6">
        <f ca="1">('TUSD BE'!$AM$10+'TUSD BF'!$AM$10+'TUSD CVA'!$AM$10)*1</f>
        <v>17.702312702839738</v>
      </c>
      <c r="Z87" s="6"/>
      <c r="AA87" s="6"/>
      <c r="AB87" s="6">
        <f>$K$87*$V$87</f>
        <v>21594.51</v>
      </c>
      <c r="AC87" s="6">
        <f>$M$87*$W$87</f>
        <v>0</v>
      </c>
      <c r="AD87" s="6">
        <f>$O$87*$X$87</f>
        <v>0</v>
      </c>
      <c r="AE87" s="6">
        <f ca="1">$K$87*$Y$87</f>
        <v>18711.344526901601</v>
      </c>
      <c r="AF87" s="6">
        <f>$M$87*$Z$87</f>
        <v>0</v>
      </c>
      <c r="AG87" s="6">
        <f>$O$87*$AA$87</f>
        <v>0</v>
      </c>
    </row>
    <row r="88" spans="1:33" ht="11.25" customHeight="1" x14ac:dyDescent="0.25">
      <c r="A88" s="4" t="s">
        <v>21</v>
      </c>
      <c r="B88" s="4" t="s">
        <v>34</v>
      </c>
      <c r="C88" s="4" t="s">
        <v>35</v>
      </c>
      <c r="D88" s="4" t="s">
        <v>33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44470</v>
      </c>
      <c r="J88" s="6">
        <v>955</v>
      </c>
      <c r="K88" s="6">
        <v>955</v>
      </c>
      <c r="L88" s="6">
        <v>0</v>
      </c>
      <c r="M88" s="6">
        <v>0</v>
      </c>
      <c r="N88" s="6">
        <v>0</v>
      </c>
      <c r="O88" s="6">
        <v>0</v>
      </c>
      <c r="P88" s="6">
        <v>6</v>
      </c>
      <c r="Q88" s="4" t="s">
        <v>26</v>
      </c>
      <c r="R88" s="4">
        <v>0</v>
      </c>
      <c r="S88" s="6">
        <v>6</v>
      </c>
      <c r="T88" s="6">
        <v>0</v>
      </c>
      <c r="U88" s="6">
        <v>0</v>
      </c>
      <c r="V88" s="6">
        <f>IF(ISERROR(VLOOKUP($S$88,'TAR FIN'!$A$1:$O$88,15,0)),0,VLOOKUP($S$88,'TAR FIN'!$A$1:$O$88,15,0))</f>
        <v>20.43</v>
      </c>
      <c r="W88" s="6">
        <f>IF(ISERROR(VLOOKUP($T$88,'TAR FIN'!$A$1:$O$88,15,0)),0,VLOOKUP($T$88,'TAR FIN'!$A$1:$O$88,15,0))</f>
        <v>0</v>
      </c>
      <c r="X88" s="6">
        <f>IF(ISERROR(VLOOKUP($U$88,'TAR FIN'!$A$1:$O$88,15,0)),0,VLOOKUP($U$88,'TAR FIN'!$A$1:$O$88,15,0))</f>
        <v>0</v>
      </c>
      <c r="Y88" s="6">
        <f ca="1">('TUSD BE'!$AM$10+'TUSD BF'!$AM$10+'TUSD CVA'!$AM$10)*1</f>
        <v>17.702312702839738</v>
      </c>
      <c r="Z88" s="6"/>
      <c r="AA88" s="6"/>
      <c r="AB88" s="6">
        <f>$K$88*$V$88</f>
        <v>19510.650000000001</v>
      </c>
      <c r="AC88" s="6">
        <f>$M$88*$W$88</f>
        <v>0</v>
      </c>
      <c r="AD88" s="6">
        <f>$O$88*$X$88</f>
        <v>0</v>
      </c>
      <c r="AE88" s="6">
        <f ca="1">$K$88*$Y$88</f>
        <v>16905.70863121195</v>
      </c>
      <c r="AF88" s="6">
        <f>$M$88*$Z$88</f>
        <v>0</v>
      </c>
      <c r="AG88" s="6">
        <f>$O$88*$AA$88</f>
        <v>0</v>
      </c>
    </row>
    <row r="89" spans="1:33" ht="11.25" customHeight="1" x14ac:dyDescent="0.25">
      <c r="A89" s="4" t="s">
        <v>21</v>
      </c>
      <c r="B89" s="4" t="s">
        <v>34</v>
      </c>
      <c r="C89" s="4" t="s">
        <v>35</v>
      </c>
      <c r="D89" s="4" t="s">
        <v>33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44501</v>
      </c>
      <c r="J89" s="6">
        <v>983</v>
      </c>
      <c r="K89" s="6">
        <v>983</v>
      </c>
      <c r="L89" s="6">
        <v>0</v>
      </c>
      <c r="M89" s="6">
        <v>0</v>
      </c>
      <c r="N89" s="6">
        <v>0</v>
      </c>
      <c r="O89" s="6">
        <v>0</v>
      </c>
      <c r="P89" s="6">
        <v>6</v>
      </c>
      <c r="Q89" s="4" t="s">
        <v>26</v>
      </c>
      <c r="R89" s="4">
        <v>0</v>
      </c>
      <c r="S89" s="6">
        <v>6</v>
      </c>
      <c r="T89" s="6">
        <v>0</v>
      </c>
      <c r="U89" s="6">
        <v>0</v>
      </c>
      <c r="V89" s="6">
        <f>IF(ISERROR(VLOOKUP($S$89,'TAR FIN'!$A$1:$O$88,15,0)),0,VLOOKUP($S$89,'TAR FIN'!$A$1:$O$88,15,0))</f>
        <v>20.43</v>
      </c>
      <c r="W89" s="6">
        <f>IF(ISERROR(VLOOKUP($T$89,'TAR FIN'!$A$1:$O$88,15,0)),0,VLOOKUP($T$89,'TAR FIN'!$A$1:$O$88,15,0))</f>
        <v>0</v>
      </c>
      <c r="X89" s="6">
        <f>IF(ISERROR(VLOOKUP($U$89,'TAR FIN'!$A$1:$O$88,15,0)),0,VLOOKUP($U$89,'TAR FIN'!$A$1:$O$88,15,0))</f>
        <v>0</v>
      </c>
      <c r="Y89" s="6">
        <f ca="1">('TUSD BE'!$AM$10+'TUSD BF'!$AM$10+'TUSD CVA'!$AM$10)*1</f>
        <v>17.702312702839738</v>
      </c>
      <c r="Z89" s="6"/>
      <c r="AA89" s="6"/>
      <c r="AB89" s="6">
        <f>$K$89*$V$89</f>
        <v>20082.689999999999</v>
      </c>
      <c r="AC89" s="6">
        <f>$M$89*$W$89</f>
        <v>0</v>
      </c>
      <c r="AD89" s="6">
        <f>$O$89*$X$89</f>
        <v>0</v>
      </c>
      <c r="AE89" s="6">
        <f ca="1">$K$89*$Y$89</f>
        <v>17401.373386891461</v>
      </c>
      <c r="AF89" s="6">
        <f>$M$89*$Z$89</f>
        <v>0</v>
      </c>
      <c r="AG89" s="6">
        <f>$O$89*$AA$89</f>
        <v>0</v>
      </c>
    </row>
    <row r="90" spans="1:33" ht="11.25" customHeight="1" x14ac:dyDescent="0.25">
      <c r="A90" s="4" t="s">
        <v>21</v>
      </c>
      <c r="B90" s="4" t="s">
        <v>34</v>
      </c>
      <c r="C90" s="4" t="s">
        <v>35</v>
      </c>
      <c r="D90" s="4" t="s">
        <v>33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44531</v>
      </c>
      <c r="J90" s="6">
        <v>1079</v>
      </c>
      <c r="K90" s="6">
        <v>1079</v>
      </c>
      <c r="L90" s="6">
        <v>0</v>
      </c>
      <c r="M90" s="6">
        <v>0</v>
      </c>
      <c r="N90" s="6">
        <v>0</v>
      </c>
      <c r="O90" s="6">
        <v>0</v>
      </c>
      <c r="P90" s="6">
        <v>6</v>
      </c>
      <c r="Q90" s="4" t="s">
        <v>26</v>
      </c>
      <c r="R90" s="4">
        <v>0</v>
      </c>
      <c r="S90" s="6">
        <v>6</v>
      </c>
      <c r="T90" s="6">
        <v>0</v>
      </c>
      <c r="U90" s="6">
        <v>0</v>
      </c>
      <c r="V90" s="6">
        <f>IF(ISERROR(VLOOKUP($S$90,'TAR FIN'!$A$1:$O$88,15,0)),0,VLOOKUP($S$90,'TAR FIN'!$A$1:$O$88,15,0))</f>
        <v>20.43</v>
      </c>
      <c r="W90" s="6">
        <f>IF(ISERROR(VLOOKUP($T$90,'TAR FIN'!$A$1:$O$88,15,0)),0,VLOOKUP($T$90,'TAR FIN'!$A$1:$O$88,15,0))</f>
        <v>0</v>
      </c>
      <c r="X90" s="6">
        <f>IF(ISERROR(VLOOKUP($U$90,'TAR FIN'!$A$1:$O$88,15,0)),0,VLOOKUP($U$90,'TAR FIN'!$A$1:$O$88,15,0))</f>
        <v>0</v>
      </c>
      <c r="Y90" s="6">
        <f ca="1">('TUSD BE'!$AM$10+'TUSD BF'!$AM$10+'TUSD CVA'!$AM$10)*1</f>
        <v>17.702312702839738</v>
      </c>
      <c r="Z90" s="6"/>
      <c r="AA90" s="6"/>
      <c r="AB90" s="6">
        <f>$K$90*$V$90</f>
        <v>22043.97</v>
      </c>
      <c r="AC90" s="6">
        <f>$M$90*$W$90</f>
        <v>0</v>
      </c>
      <c r="AD90" s="6">
        <f>$O$90*$X$90</f>
        <v>0</v>
      </c>
      <c r="AE90" s="6">
        <f ca="1">$K$90*$Y$90</f>
        <v>19100.795406364075</v>
      </c>
      <c r="AF90" s="6">
        <f>$M$90*$Z$90</f>
        <v>0</v>
      </c>
      <c r="AG90" s="6">
        <f>$O$90*$AA$90</f>
        <v>0</v>
      </c>
    </row>
    <row r="91" spans="1:33" ht="11.25" customHeight="1" x14ac:dyDescent="0.25">
      <c r="A91" s="4" t="s">
        <v>21</v>
      </c>
      <c r="B91" s="4" t="s">
        <v>34</v>
      </c>
      <c r="C91" s="4" t="s">
        <v>35</v>
      </c>
      <c r="D91" s="4" t="s">
        <v>33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44562</v>
      </c>
      <c r="J91" s="6">
        <v>874</v>
      </c>
      <c r="K91" s="6">
        <v>874</v>
      </c>
      <c r="L91" s="6">
        <v>0</v>
      </c>
      <c r="M91" s="6">
        <v>0</v>
      </c>
      <c r="N91" s="6">
        <v>0</v>
      </c>
      <c r="O91" s="6">
        <v>0</v>
      </c>
      <c r="P91" s="6">
        <v>6</v>
      </c>
      <c r="Q91" s="4" t="s">
        <v>26</v>
      </c>
      <c r="R91" s="4">
        <v>0</v>
      </c>
      <c r="S91" s="6">
        <v>6</v>
      </c>
      <c r="T91" s="6">
        <v>0</v>
      </c>
      <c r="U91" s="6">
        <v>0</v>
      </c>
      <c r="V91" s="6">
        <f>IF(ISERROR(VLOOKUP($S$91,'TAR FIN'!$A$1:$O$88,15,0)),0,VLOOKUP($S$91,'TAR FIN'!$A$1:$O$88,15,0))</f>
        <v>20.43</v>
      </c>
      <c r="W91" s="6">
        <f>IF(ISERROR(VLOOKUP($T$91,'TAR FIN'!$A$1:$O$88,15,0)),0,VLOOKUP($T$91,'TAR FIN'!$A$1:$O$88,15,0))</f>
        <v>0</v>
      </c>
      <c r="X91" s="6">
        <f>IF(ISERROR(VLOOKUP($U$91,'TAR FIN'!$A$1:$O$88,15,0)),0,VLOOKUP($U$91,'TAR FIN'!$A$1:$O$88,15,0))</f>
        <v>0</v>
      </c>
      <c r="Y91" s="6">
        <f ca="1">('TUSD BE'!$AM$10+'TUSD BF'!$AM$10+'TUSD CVA'!$AM$10)*1</f>
        <v>17.702312702839738</v>
      </c>
      <c r="Z91" s="6"/>
      <c r="AA91" s="6"/>
      <c r="AB91" s="6">
        <f>$K$91*$V$91</f>
        <v>17855.82</v>
      </c>
      <c r="AC91" s="6">
        <f>$M$91*$W$91</f>
        <v>0</v>
      </c>
      <c r="AD91" s="6">
        <f>$O$91*$X$91</f>
        <v>0</v>
      </c>
      <c r="AE91" s="6">
        <f ca="1">$K$91*$Y$91</f>
        <v>15471.821302281931</v>
      </c>
      <c r="AF91" s="6">
        <f>$M$91*$Z$91</f>
        <v>0</v>
      </c>
      <c r="AG91" s="6">
        <f>$O$91*$AA$91</f>
        <v>0</v>
      </c>
    </row>
    <row r="92" spans="1:33" ht="11.25" customHeight="1" x14ac:dyDescent="0.25">
      <c r="A92" s="4" t="s">
        <v>21</v>
      </c>
      <c r="B92" s="4" t="s">
        <v>34</v>
      </c>
      <c r="C92" s="4" t="s">
        <v>35</v>
      </c>
      <c r="D92" s="4" t="s">
        <v>33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44593</v>
      </c>
      <c r="J92" s="6">
        <v>936</v>
      </c>
      <c r="K92" s="6">
        <v>936</v>
      </c>
      <c r="L92" s="6">
        <v>0</v>
      </c>
      <c r="M92" s="6">
        <v>0</v>
      </c>
      <c r="N92" s="6">
        <v>0</v>
      </c>
      <c r="O92" s="6">
        <v>0</v>
      </c>
      <c r="P92" s="6">
        <v>7</v>
      </c>
      <c r="Q92" s="4" t="s">
        <v>26</v>
      </c>
      <c r="R92" s="4">
        <v>0</v>
      </c>
      <c r="S92" s="6">
        <v>6</v>
      </c>
      <c r="T92" s="6">
        <v>0</v>
      </c>
      <c r="U92" s="6">
        <v>0</v>
      </c>
      <c r="V92" s="6">
        <f>IF(ISERROR(VLOOKUP($S$92,'TAR FIN'!$A$1:$O$88,15,0)),0,VLOOKUP($S$92,'TAR FIN'!$A$1:$O$88,15,0))</f>
        <v>20.43</v>
      </c>
      <c r="W92" s="6">
        <f>IF(ISERROR(VLOOKUP($T$92,'TAR FIN'!$A$1:$O$88,15,0)),0,VLOOKUP($T$92,'TAR FIN'!$A$1:$O$88,15,0))</f>
        <v>0</v>
      </c>
      <c r="X92" s="6">
        <f>IF(ISERROR(VLOOKUP($U$92,'TAR FIN'!$A$1:$O$88,15,0)),0,VLOOKUP($U$92,'TAR FIN'!$A$1:$O$88,15,0))</f>
        <v>0</v>
      </c>
      <c r="Y92" s="6">
        <f ca="1">('TUSD BE'!$AM$10+'TUSD BF'!$AM$10+'TUSD CVA'!$AM$10)*1</f>
        <v>17.702312702839738</v>
      </c>
      <c r="Z92" s="6"/>
      <c r="AA92" s="6"/>
      <c r="AB92" s="6">
        <f>$K$92*$V$92</f>
        <v>19122.48</v>
      </c>
      <c r="AC92" s="6">
        <f>$M$92*$W$92</f>
        <v>0</v>
      </c>
      <c r="AD92" s="6">
        <f>$O$92*$X$92</f>
        <v>0</v>
      </c>
      <c r="AE92" s="6">
        <f ca="1">$K$92*$Y$92</f>
        <v>16569.364689857994</v>
      </c>
      <c r="AF92" s="6">
        <f>$M$92*$Z$92</f>
        <v>0</v>
      </c>
      <c r="AG92" s="6">
        <f>$O$92*$AA$92</f>
        <v>0</v>
      </c>
    </row>
    <row r="93" spans="1:33" ht="11.25" customHeight="1" x14ac:dyDescent="0.25">
      <c r="A93" s="4" t="s">
        <v>21</v>
      </c>
      <c r="B93" s="4" t="s">
        <v>34</v>
      </c>
      <c r="C93" s="4" t="s">
        <v>35</v>
      </c>
      <c r="D93" s="4" t="s">
        <v>33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44621</v>
      </c>
      <c r="J93" s="6">
        <v>887</v>
      </c>
      <c r="K93" s="6">
        <v>887</v>
      </c>
      <c r="L93" s="6">
        <v>0</v>
      </c>
      <c r="M93" s="6">
        <v>0</v>
      </c>
      <c r="N93" s="6">
        <v>0</v>
      </c>
      <c r="O93" s="6">
        <v>0</v>
      </c>
      <c r="P93" s="6">
        <v>6</v>
      </c>
      <c r="Q93" s="4" t="s">
        <v>26</v>
      </c>
      <c r="R93" s="4">
        <v>0</v>
      </c>
      <c r="S93" s="6">
        <v>6</v>
      </c>
      <c r="T93" s="6">
        <v>0</v>
      </c>
      <c r="U93" s="6">
        <v>0</v>
      </c>
      <c r="V93" s="6">
        <f>IF(ISERROR(VLOOKUP($S$93,'TAR FIN'!$A$1:$O$88,15,0)),0,VLOOKUP($S$93,'TAR FIN'!$A$1:$O$88,15,0))</f>
        <v>20.43</v>
      </c>
      <c r="W93" s="6">
        <f>IF(ISERROR(VLOOKUP($T$93,'TAR FIN'!$A$1:$O$88,15,0)),0,VLOOKUP($T$93,'TAR FIN'!$A$1:$O$88,15,0))</f>
        <v>0</v>
      </c>
      <c r="X93" s="6">
        <f>IF(ISERROR(VLOOKUP($U$93,'TAR FIN'!$A$1:$O$88,15,0)),0,VLOOKUP($U$93,'TAR FIN'!$A$1:$O$88,15,0))</f>
        <v>0</v>
      </c>
      <c r="Y93" s="6">
        <f ca="1">('TUSD BE'!$AM$10+'TUSD BF'!$AM$10+'TUSD CVA'!$AM$10)*1</f>
        <v>17.702312702839738</v>
      </c>
      <c r="Z93" s="6"/>
      <c r="AA93" s="6"/>
      <c r="AB93" s="6">
        <f>$K$93*$V$93</f>
        <v>18121.41</v>
      </c>
      <c r="AC93" s="6">
        <f>$M$93*$W$93</f>
        <v>0</v>
      </c>
      <c r="AD93" s="6">
        <f>$O$93*$X$93</f>
        <v>0</v>
      </c>
      <c r="AE93" s="6">
        <f ca="1">$K$93*$Y$93</f>
        <v>15701.951367418847</v>
      </c>
      <c r="AF93" s="6">
        <f>$M$93*$Z$93</f>
        <v>0</v>
      </c>
      <c r="AG93" s="6">
        <f>$O$93*$AA$93</f>
        <v>0</v>
      </c>
    </row>
    <row r="94" spans="1:33" ht="11.25" customHeight="1" x14ac:dyDescent="0.25">
      <c r="A94" s="4" t="s">
        <v>21</v>
      </c>
      <c r="B94" s="4" t="s">
        <v>34</v>
      </c>
      <c r="C94" s="4" t="s">
        <v>35</v>
      </c>
      <c r="D94" s="4" t="s">
        <v>33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44652</v>
      </c>
      <c r="J94" s="6">
        <v>923</v>
      </c>
      <c r="K94" s="6">
        <v>923</v>
      </c>
      <c r="L94" s="6">
        <v>0</v>
      </c>
      <c r="M94" s="6">
        <v>0</v>
      </c>
      <c r="N94" s="6">
        <v>0</v>
      </c>
      <c r="O94" s="6">
        <v>0</v>
      </c>
      <c r="P94" s="6">
        <v>6</v>
      </c>
      <c r="Q94" s="4" t="s">
        <v>26</v>
      </c>
      <c r="R94" s="4">
        <v>0</v>
      </c>
      <c r="S94" s="6">
        <v>6</v>
      </c>
      <c r="T94" s="6">
        <v>0</v>
      </c>
      <c r="U94" s="6">
        <v>0</v>
      </c>
      <c r="V94" s="6">
        <f>IF(ISERROR(VLOOKUP($S$94,'TAR FIN'!$A$1:$O$88,15,0)),0,VLOOKUP($S$94,'TAR FIN'!$A$1:$O$88,15,0))</f>
        <v>20.43</v>
      </c>
      <c r="W94" s="6">
        <f>IF(ISERROR(VLOOKUP($T$94,'TAR FIN'!$A$1:$O$88,15,0)),0,VLOOKUP($T$94,'TAR FIN'!$A$1:$O$88,15,0))</f>
        <v>0</v>
      </c>
      <c r="X94" s="6">
        <f>IF(ISERROR(VLOOKUP($U$94,'TAR FIN'!$A$1:$O$88,15,0)),0,VLOOKUP($U$94,'TAR FIN'!$A$1:$O$88,15,0))</f>
        <v>0</v>
      </c>
      <c r="Y94" s="6">
        <f ca="1">('TUSD BE'!$AM$10+'TUSD BF'!$AM$10+'TUSD CVA'!$AM$10)*1</f>
        <v>17.702312702839738</v>
      </c>
      <c r="Z94" s="6"/>
      <c r="AA94" s="6"/>
      <c r="AB94" s="6">
        <f>$K$94*$V$94</f>
        <v>18856.89</v>
      </c>
      <c r="AC94" s="6">
        <f>$M$94*$W$94</f>
        <v>0</v>
      </c>
      <c r="AD94" s="6">
        <f>$O$94*$X$94</f>
        <v>0</v>
      </c>
      <c r="AE94" s="6">
        <f ca="1">$K$94*$Y$94</f>
        <v>16339.234624721077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21</v>
      </c>
      <c r="B95" s="4" t="s">
        <v>34</v>
      </c>
      <c r="C95" s="4" t="s">
        <v>35</v>
      </c>
      <c r="D95" s="4" t="s">
        <v>33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44682</v>
      </c>
      <c r="J95" s="6">
        <v>902</v>
      </c>
      <c r="K95" s="6">
        <v>902</v>
      </c>
      <c r="L95" s="6">
        <v>0</v>
      </c>
      <c r="M95" s="6">
        <v>0</v>
      </c>
      <c r="N95" s="6">
        <v>0</v>
      </c>
      <c r="O95" s="6">
        <v>0</v>
      </c>
      <c r="P95" s="6">
        <v>6</v>
      </c>
      <c r="Q95" s="4" t="s">
        <v>26</v>
      </c>
      <c r="R95" s="4">
        <v>0</v>
      </c>
      <c r="S95" s="6">
        <v>6</v>
      </c>
      <c r="T95" s="6">
        <v>0</v>
      </c>
      <c r="U95" s="6">
        <v>0</v>
      </c>
      <c r="V95" s="6">
        <f>IF(ISERROR(VLOOKUP($S$95,'TAR FIN'!$A$1:$O$88,15,0)),0,VLOOKUP($S$95,'TAR FIN'!$A$1:$O$88,15,0))</f>
        <v>20.43</v>
      </c>
      <c r="W95" s="6">
        <f>IF(ISERROR(VLOOKUP($T$95,'TAR FIN'!$A$1:$O$88,15,0)),0,VLOOKUP($T$95,'TAR FIN'!$A$1:$O$88,15,0))</f>
        <v>0</v>
      </c>
      <c r="X95" s="6">
        <f>IF(ISERROR(VLOOKUP($U$95,'TAR FIN'!$A$1:$O$88,15,0)),0,VLOOKUP($U$95,'TAR FIN'!$A$1:$O$88,15,0))</f>
        <v>0</v>
      </c>
      <c r="Y95" s="6">
        <f ca="1">('TUSD BE'!$AM$10+'TUSD BF'!$AM$10+'TUSD CVA'!$AM$10)*1</f>
        <v>17.702312702839738</v>
      </c>
      <c r="Z95" s="6"/>
      <c r="AA95" s="6"/>
      <c r="AB95" s="6">
        <f>$K$95*$V$95</f>
        <v>18427.86</v>
      </c>
      <c r="AC95" s="6">
        <f>$M$95*$W$95</f>
        <v>0</v>
      </c>
      <c r="AD95" s="6">
        <f>$O$95*$X$95</f>
        <v>0</v>
      </c>
      <c r="AE95" s="6">
        <f ca="1">$K$95*$Y$95</f>
        <v>15967.486057961443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21</v>
      </c>
      <c r="B96" s="4" t="s">
        <v>34</v>
      </c>
      <c r="C96" s="4" t="s">
        <v>35</v>
      </c>
      <c r="D96" s="4" t="s">
        <v>33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931</v>
      </c>
      <c r="K96" s="6">
        <v>931</v>
      </c>
      <c r="L96" s="6">
        <v>0</v>
      </c>
      <c r="M96" s="6">
        <v>0</v>
      </c>
      <c r="N96" s="6">
        <v>0</v>
      </c>
      <c r="O96" s="6">
        <v>0</v>
      </c>
      <c r="P96" s="6">
        <v>6</v>
      </c>
      <c r="Q96" s="4" t="s">
        <v>26</v>
      </c>
      <c r="R96" s="4">
        <v>0</v>
      </c>
      <c r="S96" s="6">
        <v>6</v>
      </c>
      <c r="T96" s="6">
        <v>0</v>
      </c>
      <c r="U96" s="6">
        <v>0</v>
      </c>
      <c r="V96" s="6">
        <f>IF(ISERROR(VLOOKUP($S$96,'TAR FIN'!$A$1:$O$88,15,0)),0,VLOOKUP($S$96,'TAR FIN'!$A$1:$O$88,15,0))</f>
        <v>20.43</v>
      </c>
      <c r="W96" s="6">
        <f>IF(ISERROR(VLOOKUP($T$96,'TAR FIN'!$A$1:$O$88,15,0)),0,VLOOKUP($T$96,'TAR FIN'!$A$1:$O$88,15,0))</f>
        <v>0</v>
      </c>
      <c r="X96" s="6">
        <f>IF(ISERROR(VLOOKUP($U$96,'TAR FIN'!$A$1:$O$88,15,0)),0,VLOOKUP($U$96,'TAR FIN'!$A$1:$O$88,15,0))</f>
        <v>0</v>
      </c>
      <c r="Y96" s="6">
        <f ca="1">('TUSD BE'!$AM$10+'TUSD BF'!$AM$10+'TUSD CVA'!$AM$10)*1</f>
        <v>17.702312702839738</v>
      </c>
      <c r="Z96" s="6"/>
      <c r="AA96" s="6"/>
      <c r="AB96" s="6">
        <f>$K$96*$V$96</f>
        <v>19020.329999999998</v>
      </c>
      <c r="AC96" s="6">
        <f>$M$96*$W$96</f>
        <v>0</v>
      </c>
      <c r="AD96" s="6">
        <f>$O$96*$X$96</f>
        <v>0</v>
      </c>
      <c r="AE96" s="6">
        <f ca="1">$K$96*$Y$96</f>
        <v>16480.853126343794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21</v>
      </c>
      <c r="B97" s="4" t="s">
        <v>34</v>
      </c>
      <c r="C97" s="4" t="s">
        <v>35</v>
      </c>
      <c r="D97" s="4" t="s">
        <v>33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44743</v>
      </c>
      <c r="J97" s="6">
        <v>930</v>
      </c>
      <c r="K97" s="6">
        <v>930</v>
      </c>
      <c r="L97" s="6">
        <v>0</v>
      </c>
      <c r="M97" s="6">
        <v>0</v>
      </c>
      <c r="N97" s="6">
        <v>0</v>
      </c>
      <c r="O97" s="6">
        <v>0</v>
      </c>
      <c r="P97" s="6">
        <v>6</v>
      </c>
      <c r="Q97" s="4" t="s">
        <v>26</v>
      </c>
      <c r="R97" s="4">
        <v>0</v>
      </c>
      <c r="S97" s="6">
        <v>6</v>
      </c>
      <c r="T97" s="6">
        <v>0</v>
      </c>
      <c r="U97" s="6">
        <v>0</v>
      </c>
      <c r="V97" s="6">
        <f>IF(ISERROR(VLOOKUP($S$97,'TAR FIN'!$A$1:$O$88,15,0)),0,VLOOKUP($S$97,'TAR FIN'!$A$1:$O$88,15,0))</f>
        <v>20.43</v>
      </c>
      <c r="W97" s="6">
        <f>IF(ISERROR(VLOOKUP($T$97,'TAR FIN'!$A$1:$O$88,15,0)),0,VLOOKUP($T$97,'TAR FIN'!$A$1:$O$88,15,0))</f>
        <v>0</v>
      </c>
      <c r="X97" s="6">
        <f>IF(ISERROR(VLOOKUP($U$97,'TAR FIN'!$A$1:$O$88,15,0)),0,VLOOKUP($U$97,'TAR FIN'!$A$1:$O$88,15,0))</f>
        <v>0</v>
      </c>
      <c r="Y97" s="6">
        <f ca="1">('TUSD BE'!$AM$10+'TUSD BF'!$AM$10+'TUSD CVA'!$AM$10)*1</f>
        <v>17.702312702839738</v>
      </c>
      <c r="Z97" s="6"/>
      <c r="AA97" s="6"/>
      <c r="AB97" s="6">
        <f>$K$97*$V$97</f>
        <v>18999.900000000001</v>
      </c>
      <c r="AC97" s="6">
        <f>$M$97*$W$97</f>
        <v>0</v>
      </c>
      <c r="AD97" s="6">
        <f>$O$97*$X$97</f>
        <v>0</v>
      </c>
      <c r="AE97" s="6">
        <f ca="1">$K$97*$Y$97</f>
        <v>16463.150813640957</v>
      </c>
      <c r="AF97" s="6">
        <f>$M$97*$Z$97</f>
        <v>0</v>
      </c>
      <c r="AG97" s="6">
        <f>$O$97*$AA$97</f>
        <v>0</v>
      </c>
    </row>
    <row r="98" spans="1:33" ht="11.25" customHeight="1" x14ac:dyDescent="0.25">
      <c r="A98" s="4" t="s">
        <v>21</v>
      </c>
      <c r="B98" s="4" t="s">
        <v>34</v>
      </c>
      <c r="C98" s="4" t="s">
        <v>35</v>
      </c>
      <c r="D98" s="4" t="s">
        <v>33</v>
      </c>
      <c r="E98" s="4" t="s">
        <v>25</v>
      </c>
      <c r="F98" s="4" t="s">
        <v>25</v>
      </c>
      <c r="G98" s="4" t="s">
        <v>25</v>
      </c>
      <c r="H98" s="4" t="s">
        <v>36</v>
      </c>
      <c r="I98" s="5">
        <v>44409</v>
      </c>
      <c r="J98" s="6">
        <v>0</v>
      </c>
      <c r="K98" s="6">
        <v>0</v>
      </c>
      <c r="L98" s="6">
        <v>9.4670000000000005</v>
      </c>
      <c r="M98" s="6">
        <v>9.4670000000000005</v>
      </c>
      <c r="N98" s="6">
        <v>9.4670000000000005</v>
      </c>
      <c r="O98" s="6">
        <v>9.4670000000000005</v>
      </c>
      <c r="P98" s="6">
        <v>0</v>
      </c>
      <c r="Q98" s="4" t="s">
        <v>26</v>
      </c>
      <c r="R98" s="4">
        <v>0</v>
      </c>
      <c r="S98" s="6">
        <v>0</v>
      </c>
      <c r="T98" s="6">
        <v>7</v>
      </c>
      <c r="U98" s="6">
        <v>50</v>
      </c>
      <c r="V98" s="6">
        <f>IF(ISERROR(VLOOKUP($S$98,'TAR FIN'!$A$1:$O$88,15,0)),0,VLOOKUP($S$98,'TAR FIN'!$A$1:$O$88,15,0))</f>
        <v>0</v>
      </c>
      <c r="W98" s="6">
        <f>IF(ISERROR(VLOOKUP($T$98,'TAR FIN'!$A$1:$O$88,15,0)),0,VLOOKUP($T$98,'TAR FIN'!$A$1:$O$88,15,0))</f>
        <v>1419.25</v>
      </c>
      <c r="X98" s="6">
        <f>IF(ISERROR(VLOOKUP($U$98,'TAR FIN'!$A$1:$O$88,15,0)),0,VLOOKUP($U$98,'TAR FIN'!$A$1:$O$88,15,0))</f>
        <v>518.44000000000005</v>
      </c>
      <c r="Y98" s="6"/>
      <c r="Z98" s="6">
        <f ca="1">('TUSD BE'!$AM$11+'TUSD BF'!$AM$11+'TUSD CVA'!$AM$11)*1</f>
        <v>1283.8542973241515</v>
      </c>
      <c r="AA98" s="6">
        <f>('TE BE'!$AB$5+'TE BF'!$AB$5+'TE CVA'!$AB$5)*1</f>
        <v>469.66510193737668</v>
      </c>
      <c r="AB98" s="6">
        <f>$K$98*$V$98</f>
        <v>0</v>
      </c>
      <c r="AC98" s="6">
        <f>$M$98*$W$98</f>
        <v>13436.03975</v>
      </c>
      <c r="AD98" s="6">
        <f>$O$98*$X$98</f>
        <v>4908.0714800000005</v>
      </c>
      <c r="AE98" s="6">
        <f>$K$98*$Y$98</f>
        <v>0</v>
      </c>
      <c r="AF98" s="6">
        <f ca="1">$M$98*$Z$98</f>
        <v>12154.248632767743</v>
      </c>
      <c r="AG98" s="6">
        <f>$O$98*$AA$98</f>
        <v>4446.3195200411456</v>
      </c>
    </row>
    <row r="99" spans="1:33" ht="11.25" customHeight="1" x14ac:dyDescent="0.25">
      <c r="A99" s="4" t="s">
        <v>21</v>
      </c>
      <c r="B99" s="4" t="s">
        <v>34</v>
      </c>
      <c r="C99" s="4" t="s">
        <v>35</v>
      </c>
      <c r="D99" s="4" t="s">
        <v>33</v>
      </c>
      <c r="E99" s="4" t="s">
        <v>25</v>
      </c>
      <c r="F99" s="4" t="s">
        <v>25</v>
      </c>
      <c r="G99" s="4" t="s">
        <v>25</v>
      </c>
      <c r="H99" s="4" t="s">
        <v>36</v>
      </c>
      <c r="I99" s="5">
        <v>44440</v>
      </c>
      <c r="J99" s="6">
        <v>0</v>
      </c>
      <c r="K99" s="6">
        <v>0</v>
      </c>
      <c r="L99" s="6">
        <v>8.6820000000000004</v>
      </c>
      <c r="M99" s="6">
        <v>8.6820000000000004</v>
      </c>
      <c r="N99" s="6">
        <v>8.6820000000000004</v>
      </c>
      <c r="O99" s="6">
        <v>8.6820000000000004</v>
      </c>
      <c r="P99" s="6">
        <v>0</v>
      </c>
      <c r="Q99" s="4" t="s">
        <v>26</v>
      </c>
      <c r="R99" s="4">
        <v>0</v>
      </c>
      <c r="S99" s="6">
        <v>0</v>
      </c>
      <c r="T99" s="6">
        <v>7</v>
      </c>
      <c r="U99" s="6">
        <v>50</v>
      </c>
      <c r="V99" s="6">
        <f>IF(ISERROR(VLOOKUP($S$99,'TAR FIN'!$A$1:$O$88,15,0)),0,VLOOKUP($S$99,'TAR FIN'!$A$1:$O$88,15,0))</f>
        <v>0</v>
      </c>
      <c r="W99" s="6">
        <f>IF(ISERROR(VLOOKUP($T$99,'TAR FIN'!$A$1:$O$88,15,0)),0,VLOOKUP($T$99,'TAR FIN'!$A$1:$O$88,15,0))</f>
        <v>1419.25</v>
      </c>
      <c r="X99" s="6">
        <f>IF(ISERROR(VLOOKUP($U$99,'TAR FIN'!$A$1:$O$88,15,0)),0,VLOOKUP($U$99,'TAR FIN'!$A$1:$O$88,15,0))</f>
        <v>518.44000000000005</v>
      </c>
      <c r="Y99" s="6"/>
      <c r="Z99" s="6">
        <f ca="1">('TUSD BE'!$AM$11+'TUSD BF'!$AM$11+'TUSD CVA'!$AM$11)*1</f>
        <v>1283.8542973241515</v>
      </c>
      <c r="AA99" s="6">
        <f>('TE BE'!$AB$5+'TE BF'!$AB$5+'TE CVA'!$AB$5)*1</f>
        <v>469.66510193737668</v>
      </c>
      <c r="AB99" s="6">
        <f>$K$99*$V$99</f>
        <v>0</v>
      </c>
      <c r="AC99" s="6">
        <f>$M$99*$W$99</f>
        <v>12321.9285</v>
      </c>
      <c r="AD99" s="6">
        <f>$O$99*$X$99</f>
        <v>4501.0960800000003</v>
      </c>
      <c r="AE99" s="6">
        <f>$K$99*$Y$99</f>
        <v>0</v>
      </c>
      <c r="AF99" s="6">
        <f ca="1">$M$99*$Z$99</f>
        <v>11146.423009368284</v>
      </c>
      <c r="AG99" s="6">
        <f>$O$99*$AA$99</f>
        <v>4077.6324150203045</v>
      </c>
    </row>
    <row r="100" spans="1:33" ht="11.25" customHeight="1" x14ac:dyDescent="0.25">
      <c r="A100" s="4" t="s">
        <v>21</v>
      </c>
      <c r="B100" s="4" t="s">
        <v>34</v>
      </c>
      <c r="C100" s="4" t="s">
        <v>35</v>
      </c>
      <c r="D100" s="4" t="s">
        <v>33</v>
      </c>
      <c r="E100" s="4" t="s">
        <v>25</v>
      </c>
      <c r="F100" s="4" t="s">
        <v>25</v>
      </c>
      <c r="G100" s="4" t="s">
        <v>25</v>
      </c>
      <c r="H100" s="4" t="s">
        <v>36</v>
      </c>
      <c r="I100" s="5">
        <v>44470</v>
      </c>
      <c r="J100" s="6">
        <v>0</v>
      </c>
      <c r="K100" s="6">
        <v>0</v>
      </c>
      <c r="L100" s="6">
        <v>7.7679999999999998</v>
      </c>
      <c r="M100" s="6">
        <v>7.7679999999999998</v>
      </c>
      <c r="N100" s="6">
        <v>7.7679999999999998</v>
      </c>
      <c r="O100" s="6">
        <v>7.7679999999999998</v>
      </c>
      <c r="P100" s="6">
        <v>0</v>
      </c>
      <c r="Q100" s="4" t="s">
        <v>26</v>
      </c>
      <c r="R100" s="4">
        <v>0</v>
      </c>
      <c r="S100" s="6">
        <v>0</v>
      </c>
      <c r="T100" s="6">
        <v>7</v>
      </c>
      <c r="U100" s="6">
        <v>50</v>
      </c>
      <c r="V100" s="6">
        <f>IF(ISERROR(VLOOKUP($S$100,'TAR FIN'!$A$1:$O$88,15,0)),0,VLOOKUP($S$100,'TAR FIN'!$A$1:$O$88,15,0))</f>
        <v>0</v>
      </c>
      <c r="W100" s="6">
        <f>IF(ISERROR(VLOOKUP($T$100,'TAR FIN'!$A$1:$O$88,15,0)),0,VLOOKUP($T$100,'TAR FIN'!$A$1:$O$88,15,0))</f>
        <v>1419.25</v>
      </c>
      <c r="X100" s="6">
        <f>IF(ISERROR(VLOOKUP($U$100,'TAR FIN'!$A$1:$O$88,15,0)),0,VLOOKUP($U$100,'TAR FIN'!$A$1:$O$88,15,0))</f>
        <v>518.44000000000005</v>
      </c>
      <c r="Y100" s="6"/>
      <c r="Z100" s="6">
        <f ca="1">('TUSD BE'!$AM$11+'TUSD BF'!$AM$11+'TUSD CVA'!$AM$11)*1</f>
        <v>1283.8542973241515</v>
      </c>
      <c r="AA100" s="6">
        <f>('TE BE'!$AB$5+'TE BF'!$AB$5+'TE CVA'!$AB$5)*1</f>
        <v>469.66510193737668</v>
      </c>
      <c r="AB100" s="6">
        <f>$K$100*$V$100</f>
        <v>0</v>
      </c>
      <c r="AC100" s="6">
        <f>$M$100*$W$100</f>
        <v>11024.734</v>
      </c>
      <c r="AD100" s="6">
        <f>$O$100*$X$100</f>
        <v>4027.2419200000004</v>
      </c>
      <c r="AE100" s="6">
        <f>$K$100*$Y$100</f>
        <v>0</v>
      </c>
      <c r="AF100" s="6">
        <f ca="1">$M$100*$Z$100</f>
        <v>9972.980181614008</v>
      </c>
      <c r="AG100" s="6">
        <f>$O$100*$AA$100</f>
        <v>3648.3585118495421</v>
      </c>
    </row>
    <row r="101" spans="1:33" ht="11.25" customHeight="1" x14ac:dyDescent="0.25">
      <c r="A101" s="4" t="s">
        <v>21</v>
      </c>
      <c r="B101" s="4" t="s">
        <v>34</v>
      </c>
      <c r="C101" s="4" t="s">
        <v>35</v>
      </c>
      <c r="D101" s="4" t="s">
        <v>33</v>
      </c>
      <c r="E101" s="4" t="s">
        <v>25</v>
      </c>
      <c r="F101" s="4" t="s">
        <v>25</v>
      </c>
      <c r="G101" s="4" t="s">
        <v>25</v>
      </c>
      <c r="H101" s="4" t="s">
        <v>36</v>
      </c>
      <c r="I101" s="5">
        <v>44501</v>
      </c>
      <c r="J101" s="6">
        <v>0</v>
      </c>
      <c r="K101" s="6">
        <v>0</v>
      </c>
      <c r="L101" s="6">
        <v>7.8209999999999997</v>
      </c>
      <c r="M101" s="6">
        <v>7.8209999999999997</v>
      </c>
      <c r="N101" s="6">
        <v>7.8209999999999997</v>
      </c>
      <c r="O101" s="6">
        <v>7.8209999999999997</v>
      </c>
      <c r="P101" s="6">
        <v>0</v>
      </c>
      <c r="Q101" s="4" t="s">
        <v>26</v>
      </c>
      <c r="R101" s="4">
        <v>0</v>
      </c>
      <c r="S101" s="6">
        <v>0</v>
      </c>
      <c r="T101" s="6">
        <v>7</v>
      </c>
      <c r="U101" s="6">
        <v>50</v>
      </c>
      <c r="V101" s="6">
        <f>IF(ISERROR(VLOOKUP($S$101,'TAR FIN'!$A$1:$O$88,15,0)),0,VLOOKUP($S$101,'TAR FIN'!$A$1:$O$88,15,0))</f>
        <v>0</v>
      </c>
      <c r="W101" s="6">
        <f>IF(ISERROR(VLOOKUP($T$101,'TAR FIN'!$A$1:$O$88,15,0)),0,VLOOKUP($T$101,'TAR FIN'!$A$1:$O$88,15,0))</f>
        <v>1419.25</v>
      </c>
      <c r="X101" s="6">
        <f>IF(ISERROR(VLOOKUP($U$101,'TAR FIN'!$A$1:$O$88,15,0)),0,VLOOKUP($U$101,'TAR FIN'!$A$1:$O$88,15,0))</f>
        <v>518.44000000000005</v>
      </c>
      <c r="Y101" s="6"/>
      <c r="Z101" s="6">
        <f ca="1">('TUSD BE'!$AM$11+'TUSD BF'!$AM$11+'TUSD CVA'!$AM$11)*1</f>
        <v>1283.8542973241515</v>
      </c>
      <c r="AA101" s="6">
        <f>('TE BE'!$AB$5+'TE BF'!$AB$5+'TE CVA'!$AB$5)*1</f>
        <v>469.66510193737668</v>
      </c>
      <c r="AB101" s="6">
        <f>$K$101*$V$101</f>
        <v>0</v>
      </c>
      <c r="AC101" s="6">
        <f>$M$101*$W$101</f>
        <v>11099.954249999999</v>
      </c>
      <c r="AD101" s="6">
        <f>$O$101*$X$101</f>
        <v>4054.7192400000004</v>
      </c>
      <c r="AE101" s="6">
        <f>$K$101*$Y$101</f>
        <v>0</v>
      </c>
      <c r="AF101" s="6">
        <f ca="1">$M$101*$Z$101</f>
        <v>10041.024459372189</v>
      </c>
      <c r="AG101" s="6">
        <f>$O$101*$AA$101</f>
        <v>3673.250762252223</v>
      </c>
    </row>
    <row r="102" spans="1:33" ht="11.25" customHeight="1" x14ac:dyDescent="0.25">
      <c r="A102" s="4" t="s">
        <v>21</v>
      </c>
      <c r="B102" s="4" t="s">
        <v>34</v>
      </c>
      <c r="C102" s="4" t="s">
        <v>35</v>
      </c>
      <c r="D102" s="4" t="s">
        <v>33</v>
      </c>
      <c r="E102" s="4" t="s">
        <v>25</v>
      </c>
      <c r="F102" s="4" t="s">
        <v>25</v>
      </c>
      <c r="G102" s="4" t="s">
        <v>25</v>
      </c>
      <c r="H102" s="4" t="s">
        <v>36</v>
      </c>
      <c r="I102" s="5">
        <v>44531</v>
      </c>
      <c r="J102" s="6">
        <v>0</v>
      </c>
      <c r="K102" s="6">
        <v>0</v>
      </c>
      <c r="L102" s="6">
        <v>5.6539999999999999</v>
      </c>
      <c r="M102" s="6">
        <v>5.6539999999999999</v>
      </c>
      <c r="N102" s="6">
        <v>5.6539999999999999</v>
      </c>
      <c r="O102" s="6">
        <v>5.6539999999999999</v>
      </c>
      <c r="P102" s="6">
        <v>0</v>
      </c>
      <c r="Q102" s="4" t="s">
        <v>26</v>
      </c>
      <c r="R102" s="4">
        <v>0</v>
      </c>
      <c r="S102" s="6">
        <v>0</v>
      </c>
      <c r="T102" s="6">
        <v>7</v>
      </c>
      <c r="U102" s="6">
        <v>50</v>
      </c>
      <c r="V102" s="6">
        <f>IF(ISERROR(VLOOKUP($S$102,'TAR FIN'!$A$1:$O$88,15,0)),0,VLOOKUP($S$102,'TAR FIN'!$A$1:$O$88,15,0))</f>
        <v>0</v>
      </c>
      <c r="W102" s="6">
        <f>IF(ISERROR(VLOOKUP($T$102,'TAR FIN'!$A$1:$O$88,15,0)),0,VLOOKUP($T$102,'TAR FIN'!$A$1:$O$88,15,0))</f>
        <v>1419.25</v>
      </c>
      <c r="X102" s="6">
        <f>IF(ISERROR(VLOOKUP($U$102,'TAR FIN'!$A$1:$O$88,15,0)),0,VLOOKUP($U$102,'TAR FIN'!$A$1:$O$88,15,0))</f>
        <v>518.44000000000005</v>
      </c>
      <c r="Y102" s="6"/>
      <c r="Z102" s="6">
        <f ca="1">('TUSD BE'!$AM$11+'TUSD BF'!$AM$11+'TUSD CVA'!$AM$11)*1</f>
        <v>1283.8542973241515</v>
      </c>
      <c r="AA102" s="6">
        <f>('TE BE'!$AB$5+'TE BF'!$AB$5+'TE CVA'!$AB$5)*1</f>
        <v>469.66510193737668</v>
      </c>
      <c r="AB102" s="6">
        <f>$K$102*$V$102</f>
        <v>0</v>
      </c>
      <c r="AC102" s="6">
        <f>$M$102*$W$102</f>
        <v>8024.4394999999995</v>
      </c>
      <c r="AD102" s="6">
        <f>$O$102*$X$102</f>
        <v>2931.2597600000004</v>
      </c>
      <c r="AE102" s="6">
        <f>$K$102*$Y$102</f>
        <v>0</v>
      </c>
      <c r="AF102" s="6">
        <f ca="1">$M$102*$Z$102</f>
        <v>7258.9121970707529</v>
      </c>
      <c r="AG102" s="6">
        <f>$O$102*$AA$102</f>
        <v>2655.4864863539278</v>
      </c>
    </row>
    <row r="103" spans="1:33" ht="11.25" customHeight="1" x14ac:dyDescent="0.25">
      <c r="A103" s="4" t="s">
        <v>21</v>
      </c>
      <c r="B103" s="4" t="s">
        <v>34</v>
      </c>
      <c r="C103" s="4" t="s">
        <v>35</v>
      </c>
      <c r="D103" s="4" t="s">
        <v>33</v>
      </c>
      <c r="E103" s="4" t="s">
        <v>25</v>
      </c>
      <c r="F103" s="4" t="s">
        <v>25</v>
      </c>
      <c r="G103" s="4" t="s">
        <v>25</v>
      </c>
      <c r="H103" s="4" t="s">
        <v>36</v>
      </c>
      <c r="I103" s="5">
        <v>44562</v>
      </c>
      <c r="J103" s="6">
        <v>0</v>
      </c>
      <c r="K103" s="6">
        <v>0</v>
      </c>
      <c r="L103" s="6">
        <v>4.7830000000000004</v>
      </c>
      <c r="M103" s="6">
        <v>4.7830000000000004</v>
      </c>
      <c r="N103" s="6">
        <v>4.7830000000000004</v>
      </c>
      <c r="O103" s="6">
        <v>4.7830000000000004</v>
      </c>
      <c r="P103" s="6">
        <v>0</v>
      </c>
      <c r="Q103" s="4" t="s">
        <v>26</v>
      </c>
      <c r="R103" s="4">
        <v>0</v>
      </c>
      <c r="S103" s="6">
        <v>0</v>
      </c>
      <c r="T103" s="6">
        <v>7</v>
      </c>
      <c r="U103" s="6">
        <v>50</v>
      </c>
      <c r="V103" s="6">
        <f>IF(ISERROR(VLOOKUP($S$103,'TAR FIN'!$A$1:$O$88,15,0)),0,VLOOKUP($S$103,'TAR FIN'!$A$1:$O$88,15,0))</f>
        <v>0</v>
      </c>
      <c r="W103" s="6">
        <f>IF(ISERROR(VLOOKUP($T$103,'TAR FIN'!$A$1:$O$88,15,0)),0,VLOOKUP($T$103,'TAR FIN'!$A$1:$O$88,15,0))</f>
        <v>1419.25</v>
      </c>
      <c r="X103" s="6">
        <f>IF(ISERROR(VLOOKUP($U$103,'TAR FIN'!$A$1:$O$88,15,0)),0,VLOOKUP($U$103,'TAR FIN'!$A$1:$O$88,15,0))</f>
        <v>518.44000000000005</v>
      </c>
      <c r="Y103" s="6"/>
      <c r="Z103" s="6">
        <f ca="1">('TUSD BE'!$AM$11+'TUSD BF'!$AM$11+'TUSD CVA'!$AM$11)*1</f>
        <v>1283.8542973241515</v>
      </c>
      <c r="AA103" s="6">
        <f>('TE BE'!$AB$5+'TE BF'!$AB$5+'TE CVA'!$AB$5)*1</f>
        <v>469.66510193737668</v>
      </c>
      <c r="AB103" s="6">
        <f>$K$103*$V$103</f>
        <v>0</v>
      </c>
      <c r="AC103" s="6">
        <f>$M$103*$W$103</f>
        <v>6788.2727500000001</v>
      </c>
      <c r="AD103" s="6">
        <f>$O$103*$X$103</f>
        <v>2479.6985200000004</v>
      </c>
      <c r="AE103" s="6">
        <f>$K$103*$Y$103</f>
        <v>0</v>
      </c>
      <c r="AF103" s="6">
        <f ca="1">$M$103*$Z$103</f>
        <v>6140.6751041014168</v>
      </c>
      <c r="AG103" s="6">
        <f>$O$103*$AA$103</f>
        <v>2246.408182566473</v>
      </c>
    </row>
    <row r="104" spans="1:33" ht="11.25" customHeight="1" x14ac:dyDescent="0.25">
      <c r="A104" s="4" t="s">
        <v>21</v>
      </c>
      <c r="B104" s="4" t="s">
        <v>34</v>
      </c>
      <c r="C104" s="4" t="s">
        <v>35</v>
      </c>
      <c r="D104" s="4" t="s">
        <v>33</v>
      </c>
      <c r="E104" s="4" t="s">
        <v>25</v>
      </c>
      <c r="F104" s="4" t="s">
        <v>25</v>
      </c>
      <c r="G104" s="4" t="s">
        <v>25</v>
      </c>
      <c r="H104" s="4" t="s">
        <v>36</v>
      </c>
      <c r="I104" s="5">
        <v>44593</v>
      </c>
      <c r="J104" s="6">
        <v>0</v>
      </c>
      <c r="K104" s="6">
        <v>0</v>
      </c>
      <c r="L104" s="6">
        <v>4.8639999999999999</v>
      </c>
      <c r="M104" s="6">
        <v>4.8639999999999999</v>
      </c>
      <c r="N104" s="6">
        <v>4.8639999999999999</v>
      </c>
      <c r="O104" s="6">
        <v>4.8639999999999999</v>
      </c>
      <c r="P104" s="6">
        <v>0</v>
      </c>
      <c r="Q104" s="4" t="s">
        <v>26</v>
      </c>
      <c r="R104" s="4">
        <v>0</v>
      </c>
      <c r="S104" s="6">
        <v>0</v>
      </c>
      <c r="T104" s="6">
        <v>7</v>
      </c>
      <c r="U104" s="6">
        <v>50</v>
      </c>
      <c r="V104" s="6">
        <f>IF(ISERROR(VLOOKUP($S$104,'TAR FIN'!$A$1:$O$88,15,0)),0,VLOOKUP($S$104,'TAR FIN'!$A$1:$O$88,15,0))</f>
        <v>0</v>
      </c>
      <c r="W104" s="6">
        <f>IF(ISERROR(VLOOKUP($T$104,'TAR FIN'!$A$1:$O$88,15,0)),0,VLOOKUP($T$104,'TAR FIN'!$A$1:$O$88,15,0))</f>
        <v>1419.25</v>
      </c>
      <c r="X104" s="6">
        <f>IF(ISERROR(VLOOKUP($U$104,'TAR FIN'!$A$1:$O$88,15,0)),0,VLOOKUP($U$104,'TAR FIN'!$A$1:$O$88,15,0))</f>
        <v>518.44000000000005</v>
      </c>
      <c r="Y104" s="6"/>
      <c r="Z104" s="6">
        <f ca="1">('TUSD BE'!$AM$11+'TUSD BF'!$AM$11+'TUSD CVA'!$AM$11)*1</f>
        <v>1283.8542973241515</v>
      </c>
      <c r="AA104" s="6">
        <f>('TE BE'!$AB$5+'TE BF'!$AB$5+'TE CVA'!$AB$5)*1</f>
        <v>469.66510193737668</v>
      </c>
      <c r="AB104" s="6">
        <f>$K$104*$V$104</f>
        <v>0</v>
      </c>
      <c r="AC104" s="6">
        <f>$M$104*$W$104</f>
        <v>6903.232</v>
      </c>
      <c r="AD104" s="6">
        <f>$O$104*$X$104</f>
        <v>2521.6921600000001</v>
      </c>
      <c r="AE104" s="6">
        <f>$K$104*$Y$104</f>
        <v>0</v>
      </c>
      <c r="AF104" s="6">
        <f ca="1">$M$104*$Z$104</f>
        <v>6244.6673021846727</v>
      </c>
      <c r="AG104" s="6">
        <f>$O$104*$AA$104</f>
        <v>2284.4510558234001</v>
      </c>
    </row>
    <row r="105" spans="1:33" ht="11.25" customHeight="1" x14ac:dyDescent="0.25">
      <c r="A105" s="4" t="s">
        <v>21</v>
      </c>
      <c r="B105" s="4" t="s">
        <v>34</v>
      </c>
      <c r="C105" s="4" t="s">
        <v>35</v>
      </c>
      <c r="D105" s="4" t="s">
        <v>33</v>
      </c>
      <c r="E105" s="4" t="s">
        <v>25</v>
      </c>
      <c r="F105" s="4" t="s">
        <v>25</v>
      </c>
      <c r="G105" s="4" t="s">
        <v>25</v>
      </c>
      <c r="H105" s="4" t="s">
        <v>36</v>
      </c>
      <c r="I105" s="5">
        <v>44621</v>
      </c>
      <c r="J105" s="6">
        <v>0</v>
      </c>
      <c r="K105" s="6">
        <v>0</v>
      </c>
      <c r="L105" s="6">
        <v>5.569</v>
      </c>
      <c r="M105" s="6">
        <v>5.569</v>
      </c>
      <c r="N105" s="6">
        <v>5.569</v>
      </c>
      <c r="O105" s="6">
        <v>5.569</v>
      </c>
      <c r="P105" s="6">
        <v>0</v>
      </c>
      <c r="Q105" s="4" t="s">
        <v>26</v>
      </c>
      <c r="R105" s="4">
        <v>0</v>
      </c>
      <c r="S105" s="6">
        <v>0</v>
      </c>
      <c r="T105" s="6">
        <v>7</v>
      </c>
      <c r="U105" s="6">
        <v>50</v>
      </c>
      <c r="V105" s="6">
        <f>IF(ISERROR(VLOOKUP($S$105,'TAR FIN'!$A$1:$O$88,15,0)),0,VLOOKUP($S$105,'TAR FIN'!$A$1:$O$88,15,0))</f>
        <v>0</v>
      </c>
      <c r="W105" s="6">
        <f>IF(ISERROR(VLOOKUP($T$105,'TAR FIN'!$A$1:$O$88,15,0)),0,VLOOKUP($T$105,'TAR FIN'!$A$1:$O$88,15,0))</f>
        <v>1419.25</v>
      </c>
      <c r="X105" s="6">
        <f>IF(ISERROR(VLOOKUP($U$105,'TAR FIN'!$A$1:$O$88,15,0)),0,VLOOKUP($U$105,'TAR FIN'!$A$1:$O$88,15,0))</f>
        <v>518.44000000000005</v>
      </c>
      <c r="Y105" s="6"/>
      <c r="Z105" s="6">
        <f ca="1">('TUSD BE'!$AM$11+'TUSD BF'!$AM$11+'TUSD CVA'!$AM$11)*1</f>
        <v>1283.8542973241515</v>
      </c>
      <c r="AA105" s="6">
        <f>('TE BE'!$AB$5+'TE BF'!$AB$5+'TE CVA'!$AB$5)*1</f>
        <v>469.66510193737668</v>
      </c>
      <c r="AB105" s="6">
        <f>$K$105*$V$105</f>
        <v>0</v>
      </c>
      <c r="AC105" s="6">
        <f>$M$105*$W$105</f>
        <v>7903.8032499999999</v>
      </c>
      <c r="AD105" s="6">
        <f>$O$105*$X$105</f>
        <v>2887.1923600000005</v>
      </c>
      <c r="AE105" s="6">
        <f>$K$105*$Y$105</f>
        <v>0</v>
      </c>
      <c r="AF105" s="6">
        <f ca="1">$M$105*$Z$105</f>
        <v>7149.7845817981997</v>
      </c>
      <c r="AG105" s="6">
        <f>$O$105*$AA$105</f>
        <v>2615.5649526892507</v>
      </c>
    </row>
    <row r="106" spans="1:33" ht="11.25" customHeight="1" x14ac:dyDescent="0.25">
      <c r="A106" s="4" t="s">
        <v>21</v>
      </c>
      <c r="B106" s="4" t="s">
        <v>34</v>
      </c>
      <c r="C106" s="4" t="s">
        <v>35</v>
      </c>
      <c r="D106" s="4" t="s">
        <v>33</v>
      </c>
      <c r="E106" s="4" t="s">
        <v>25</v>
      </c>
      <c r="F106" s="4" t="s">
        <v>25</v>
      </c>
      <c r="G106" s="4" t="s">
        <v>25</v>
      </c>
      <c r="H106" s="4" t="s">
        <v>36</v>
      </c>
      <c r="I106" s="5">
        <v>44652</v>
      </c>
      <c r="J106" s="6">
        <v>0</v>
      </c>
      <c r="K106" s="6">
        <v>0</v>
      </c>
      <c r="L106" s="6">
        <v>3.931</v>
      </c>
      <c r="M106" s="6">
        <v>3.931</v>
      </c>
      <c r="N106" s="6">
        <v>3.931</v>
      </c>
      <c r="O106" s="6">
        <v>3.931</v>
      </c>
      <c r="P106" s="6">
        <v>0</v>
      </c>
      <c r="Q106" s="4" t="s">
        <v>26</v>
      </c>
      <c r="R106" s="4">
        <v>0</v>
      </c>
      <c r="S106" s="6">
        <v>0</v>
      </c>
      <c r="T106" s="6">
        <v>7</v>
      </c>
      <c r="U106" s="6">
        <v>50</v>
      </c>
      <c r="V106" s="6">
        <f>IF(ISERROR(VLOOKUP($S$106,'TAR FIN'!$A$1:$O$88,15,0)),0,VLOOKUP($S$106,'TAR FIN'!$A$1:$O$88,15,0))</f>
        <v>0</v>
      </c>
      <c r="W106" s="6">
        <f>IF(ISERROR(VLOOKUP($T$106,'TAR FIN'!$A$1:$O$88,15,0)),0,VLOOKUP($T$106,'TAR FIN'!$A$1:$O$88,15,0))</f>
        <v>1419.25</v>
      </c>
      <c r="X106" s="6">
        <f>IF(ISERROR(VLOOKUP($U$106,'TAR FIN'!$A$1:$O$88,15,0)),0,VLOOKUP($U$106,'TAR FIN'!$A$1:$O$88,15,0))</f>
        <v>518.44000000000005</v>
      </c>
      <c r="Y106" s="6"/>
      <c r="Z106" s="6">
        <f ca="1">('TUSD BE'!$AM$11+'TUSD BF'!$AM$11+'TUSD CVA'!$AM$11)*1</f>
        <v>1283.8542973241515</v>
      </c>
      <c r="AA106" s="6">
        <f>('TE BE'!$AB$5+'TE BF'!$AB$5+'TE CVA'!$AB$5)*1</f>
        <v>469.66510193737668</v>
      </c>
      <c r="AB106" s="6">
        <f>$K$106*$V$106</f>
        <v>0</v>
      </c>
      <c r="AC106" s="6">
        <f>$M$106*$W$106</f>
        <v>5579.0717500000001</v>
      </c>
      <c r="AD106" s="6">
        <f>$O$106*$X$106</f>
        <v>2037.9876400000003</v>
      </c>
      <c r="AE106" s="6">
        <f>$K$106*$Y$106</f>
        <v>0</v>
      </c>
      <c r="AF106" s="6">
        <f ca="1">$M$106*$Z$106</f>
        <v>5046.8312427812398</v>
      </c>
      <c r="AG106" s="6">
        <f>$O$106*$AA$106</f>
        <v>1846.2535157158277</v>
      </c>
    </row>
    <row r="107" spans="1:33" ht="11.25" customHeight="1" x14ac:dyDescent="0.25">
      <c r="A107" s="4" t="s">
        <v>21</v>
      </c>
      <c r="B107" s="4" t="s">
        <v>34</v>
      </c>
      <c r="C107" s="4" t="s">
        <v>35</v>
      </c>
      <c r="D107" s="4" t="s">
        <v>33</v>
      </c>
      <c r="E107" s="4" t="s">
        <v>25</v>
      </c>
      <c r="F107" s="4" t="s">
        <v>25</v>
      </c>
      <c r="G107" s="4" t="s">
        <v>25</v>
      </c>
      <c r="H107" s="4" t="s">
        <v>36</v>
      </c>
      <c r="I107" s="5">
        <v>44682</v>
      </c>
      <c r="J107" s="6">
        <v>0</v>
      </c>
      <c r="K107" s="6">
        <v>0</v>
      </c>
      <c r="L107" s="6">
        <v>5.6840000000000002</v>
      </c>
      <c r="M107" s="6">
        <v>5.6840000000000002</v>
      </c>
      <c r="N107" s="6">
        <v>5.6840000000000002</v>
      </c>
      <c r="O107" s="6">
        <v>5.6840000000000002</v>
      </c>
      <c r="P107" s="6">
        <v>0</v>
      </c>
      <c r="Q107" s="4" t="s">
        <v>26</v>
      </c>
      <c r="R107" s="4">
        <v>0</v>
      </c>
      <c r="S107" s="6">
        <v>0</v>
      </c>
      <c r="T107" s="6">
        <v>7</v>
      </c>
      <c r="U107" s="6">
        <v>50</v>
      </c>
      <c r="V107" s="6">
        <f>IF(ISERROR(VLOOKUP($S$107,'TAR FIN'!$A$1:$O$88,15,0)),0,VLOOKUP($S$107,'TAR FIN'!$A$1:$O$88,15,0))</f>
        <v>0</v>
      </c>
      <c r="W107" s="6">
        <f>IF(ISERROR(VLOOKUP($T$107,'TAR FIN'!$A$1:$O$88,15,0)),0,VLOOKUP($T$107,'TAR FIN'!$A$1:$O$88,15,0))</f>
        <v>1419.25</v>
      </c>
      <c r="X107" s="6">
        <f>IF(ISERROR(VLOOKUP($U$107,'TAR FIN'!$A$1:$O$88,15,0)),0,VLOOKUP($U$107,'TAR FIN'!$A$1:$O$88,15,0))</f>
        <v>518.44000000000005</v>
      </c>
      <c r="Y107" s="6"/>
      <c r="Z107" s="6">
        <f ca="1">('TUSD BE'!$AM$11+'TUSD BF'!$AM$11+'TUSD CVA'!$AM$11)*1</f>
        <v>1283.8542973241515</v>
      </c>
      <c r="AA107" s="6">
        <f>('TE BE'!$AB$5+'TE BF'!$AB$5+'TE CVA'!$AB$5)*1</f>
        <v>469.66510193737668</v>
      </c>
      <c r="AB107" s="6">
        <f>$K$107*$V$107</f>
        <v>0</v>
      </c>
      <c r="AC107" s="6">
        <f>$M$107*$W$107</f>
        <v>8067.0169999999998</v>
      </c>
      <c r="AD107" s="6">
        <f>$O$107*$X$107</f>
        <v>2946.8129600000002</v>
      </c>
      <c r="AE107" s="6">
        <f>$K$107*$Y$107</f>
        <v>0</v>
      </c>
      <c r="AF107" s="6">
        <f ca="1">$M$107*$Z$107</f>
        <v>7297.4278259904777</v>
      </c>
      <c r="AG107" s="6">
        <f>$O$107*$AA$107</f>
        <v>2669.5764394120492</v>
      </c>
    </row>
    <row r="108" spans="1:33" ht="11.25" customHeight="1" x14ac:dyDescent="0.25">
      <c r="A108" s="4" t="s">
        <v>21</v>
      </c>
      <c r="B108" s="4" t="s">
        <v>34</v>
      </c>
      <c r="C108" s="4" t="s">
        <v>35</v>
      </c>
      <c r="D108" s="4" t="s">
        <v>33</v>
      </c>
      <c r="E108" s="4" t="s">
        <v>25</v>
      </c>
      <c r="F108" s="4" t="s">
        <v>25</v>
      </c>
      <c r="G108" s="4" t="s">
        <v>25</v>
      </c>
      <c r="H108" s="4" t="s">
        <v>36</v>
      </c>
      <c r="I108" s="5">
        <v>44713</v>
      </c>
      <c r="J108" s="6">
        <v>0</v>
      </c>
      <c r="K108" s="6">
        <v>0</v>
      </c>
      <c r="L108" s="6">
        <v>5.5490000000000004</v>
      </c>
      <c r="M108" s="6">
        <v>5.5490000000000004</v>
      </c>
      <c r="N108" s="6">
        <v>5.5490000000000004</v>
      </c>
      <c r="O108" s="6">
        <v>5.5490000000000004</v>
      </c>
      <c r="P108" s="6">
        <v>0</v>
      </c>
      <c r="Q108" s="4" t="s">
        <v>26</v>
      </c>
      <c r="R108" s="4">
        <v>0</v>
      </c>
      <c r="S108" s="6">
        <v>0</v>
      </c>
      <c r="T108" s="6">
        <v>7</v>
      </c>
      <c r="U108" s="6">
        <v>50</v>
      </c>
      <c r="V108" s="6">
        <f>IF(ISERROR(VLOOKUP($S$108,'TAR FIN'!$A$1:$O$88,15,0)),0,VLOOKUP($S$108,'TAR FIN'!$A$1:$O$88,15,0))</f>
        <v>0</v>
      </c>
      <c r="W108" s="6">
        <f>IF(ISERROR(VLOOKUP($T$108,'TAR FIN'!$A$1:$O$88,15,0)),0,VLOOKUP($T$108,'TAR FIN'!$A$1:$O$88,15,0))</f>
        <v>1419.25</v>
      </c>
      <c r="X108" s="6">
        <f>IF(ISERROR(VLOOKUP($U$108,'TAR FIN'!$A$1:$O$88,15,0)),0,VLOOKUP($U$108,'TAR FIN'!$A$1:$O$88,15,0))</f>
        <v>518.44000000000005</v>
      </c>
      <c r="Y108" s="6"/>
      <c r="Z108" s="6">
        <f ca="1">('TUSD BE'!$AM$11+'TUSD BF'!$AM$11+'TUSD CVA'!$AM$11)*1</f>
        <v>1283.8542973241515</v>
      </c>
      <c r="AA108" s="6">
        <f>('TE BE'!$AB$5+'TE BF'!$AB$5+'TE CVA'!$AB$5)*1</f>
        <v>469.66510193737668</v>
      </c>
      <c r="AB108" s="6">
        <f>$K$108*$V$108</f>
        <v>0</v>
      </c>
      <c r="AC108" s="6">
        <f>$M$108*$W$108</f>
        <v>7875.4182500000006</v>
      </c>
      <c r="AD108" s="6">
        <f>$O$108*$X$108</f>
        <v>2876.8235600000007</v>
      </c>
      <c r="AE108" s="6">
        <f>$K$108*$Y$108</f>
        <v>0</v>
      </c>
      <c r="AF108" s="6">
        <f ca="1">$M$108*$Z$108</f>
        <v>7124.1074958517174</v>
      </c>
      <c r="AG108" s="6">
        <f>$O$108*$AA$108</f>
        <v>2606.1716506505031</v>
      </c>
    </row>
    <row r="109" spans="1:33" ht="11.25" customHeight="1" x14ac:dyDescent="0.25">
      <c r="A109" s="4" t="s">
        <v>21</v>
      </c>
      <c r="B109" s="4" t="s">
        <v>34</v>
      </c>
      <c r="C109" s="4" t="s">
        <v>35</v>
      </c>
      <c r="D109" s="4" t="s">
        <v>33</v>
      </c>
      <c r="E109" s="4" t="s">
        <v>25</v>
      </c>
      <c r="F109" s="4" t="s">
        <v>25</v>
      </c>
      <c r="G109" s="4" t="s">
        <v>25</v>
      </c>
      <c r="H109" s="4" t="s">
        <v>36</v>
      </c>
      <c r="I109" s="5">
        <v>44743</v>
      </c>
      <c r="J109" s="6">
        <v>0</v>
      </c>
      <c r="K109" s="6">
        <v>0</v>
      </c>
      <c r="L109" s="6">
        <v>4.47</v>
      </c>
      <c r="M109" s="6">
        <v>4.47</v>
      </c>
      <c r="N109" s="6">
        <v>4.47</v>
      </c>
      <c r="O109" s="6">
        <v>4.47</v>
      </c>
      <c r="P109" s="6">
        <v>0</v>
      </c>
      <c r="Q109" s="4" t="s">
        <v>26</v>
      </c>
      <c r="R109" s="4">
        <v>0</v>
      </c>
      <c r="S109" s="6">
        <v>0</v>
      </c>
      <c r="T109" s="6">
        <v>7</v>
      </c>
      <c r="U109" s="6">
        <v>50</v>
      </c>
      <c r="V109" s="6">
        <f>IF(ISERROR(VLOOKUP($S$109,'TAR FIN'!$A$1:$O$88,15,0)),0,VLOOKUP($S$109,'TAR FIN'!$A$1:$O$88,15,0))</f>
        <v>0</v>
      </c>
      <c r="W109" s="6">
        <f>IF(ISERROR(VLOOKUP($T$109,'TAR FIN'!$A$1:$O$88,15,0)),0,VLOOKUP($T$109,'TAR FIN'!$A$1:$O$88,15,0))</f>
        <v>1419.25</v>
      </c>
      <c r="X109" s="6">
        <f>IF(ISERROR(VLOOKUP($U$109,'TAR FIN'!$A$1:$O$88,15,0)),0,VLOOKUP($U$109,'TAR FIN'!$A$1:$O$88,15,0))</f>
        <v>518.44000000000005</v>
      </c>
      <c r="Y109" s="6"/>
      <c r="Z109" s="6">
        <f ca="1">('TUSD BE'!$AM$11+'TUSD BF'!$AM$11+'TUSD CVA'!$AM$11)*1</f>
        <v>1283.8542973241515</v>
      </c>
      <c r="AA109" s="6">
        <f>('TE BE'!$AB$5+'TE BF'!$AB$5+'TE CVA'!$AB$5)*1</f>
        <v>469.66510193737668</v>
      </c>
      <c r="AB109" s="6">
        <f>$K$109*$V$109</f>
        <v>0</v>
      </c>
      <c r="AC109" s="6">
        <f>$M$109*$W$109</f>
        <v>6344.0474999999997</v>
      </c>
      <c r="AD109" s="6">
        <f>$O$109*$X$109</f>
        <v>2317.4268000000002</v>
      </c>
      <c r="AE109" s="6">
        <f>$K$109*$Y$109</f>
        <v>0</v>
      </c>
      <c r="AF109" s="6">
        <f ca="1">$M$109*$Z$109</f>
        <v>5738.8287090389567</v>
      </c>
      <c r="AG109" s="6">
        <f>$O$109*$AA$109</f>
        <v>2099.4030056600736</v>
      </c>
    </row>
    <row r="110" spans="1:33" ht="11.25" customHeight="1" x14ac:dyDescent="0.25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44409</v>
      </c>
      <c r="J110" s="6">
        <v>0</v>
      </c>
      <c r="K110" s="6">
        <v>0</v>
      </c>
      <c r="L110" s="6">
        <v>542.63900000000001</v>
      </c>
      <c r="M110" s="6">
        <v>542.63900000000001</v>
      </c>
      <c r="N110" s="6">
        <v>542.63900000000001</v>
      </c>
      <c r="O110" s="6">
        <v>542.63900000000001</v>
      </c>
      <c r="P110" s="6">
        <v>2963</v>
      </c>
      <c r="Q110" s="4" t="s">
        <v>26</v>
      </c>
      <c r="R110" s="4">
        <v>0</v>
      </c>
      <c r="S110" s="6">
        <v>0</v>
      </c>
      <c r="T110" s="6">
        <v>18</v>
      </c>
      <c r="U110" s="6">
        <v>56</v>
      </c>
      <c r="V110" s="6">
        <f>IF(ISERROR(VLOOKUP($S$110,'TAR FIN'!$A$1:$O$88,15,0)),0,VLOOKUP($S$110,'TAR FIN'!$A$1:$O$88,15,0))</f>
        <v>0</v>
      </c>
      <c r="W110" s="6">
        <f>IF(ISERROR(VLOOKUP($T$110,'TAR FIN'!$A$1:$O$88,15,0)),0,VLOOKUP($T$110,'TAR FIN'!$A$1:$O$88,15,0))</f>
        <v>0</v>
      </c>
      <c r="X110" s="6">
        <f>IF(ISERROR(VLOOKUP($U$110,'TAR FIN'!$A$1:$O$88,15,0)),0,VLOOKUP($U$110,'TAR FIN'!$A$1:$O$88,15,0))</f>
        <v>0</v>
      </c>
      <c r="Y110" s="6"/>
      <c r="Z110" s="6">
        <f ca="1">('TUSD BE'!$AM$20+'TUSD BF'!$AM$20+'TUSD CVA'!$AM$20)*1</f>
        <v>493.10070772969505</v>
      </c>
      <c r="AA110" s="6">
        <f>('TE BE'!$AB$11+'TE BF'!$AB$11+'TE CVA'!$AB$11)*1</f>
        <v>290.52986273778561</v>
      </c>
      <c r="AB110" s="6">
        <f>$K$110*$V$110</f>
        <v>0</v>
      </c>
      <c r="AC110" s="6">
        <f>$M$110*$W$110</f>
        <v>0</v>
      </c>
      <c r="AD110" s="6">
        <f>$O$110*$X$110</f>
        <v>0</v>
      </c>
      <c r="AE110" s="6">
        <f>$K$110*$Y$110</f>
        <v>0</v>
      </c>
      <c r="AF110" s="6">
        <f ca="1">$M$110*$Z$110</f>
        <v>267575.674941734</v>
      </c>
      <c r="AG110" s="6">
        <f>$O$110*$AA$110</f>
        <v>157652.83418616926</v>
      </c>
    </row>
    <row r="111" spans="1:33" ht="11.25" customHeight="1" x14ac:dyDescent="0.25">
      <c r="A111" s="4" t="s">
        <v>27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44409</v>
      </c>
      <c r="J111" s="6">
        <v>0</v>
      </c>
      <c r="K111" s="6">
        <v>0</v>
      </c>
      <c r="L111" s="6">
        <v>2.3889999999999998</v>
      </c>
      <c r="M111" s="6">
        <v>2.3889999999999998</v>
      </c>
      <c r="N111" s="6">
        <v>2.3889999999999998</v>
      </c>
      <c r="O111" s="6">
        <v>2.3889999999999998</v>
      </c>
      <c r="P111" s="6">
        <v>21</v>
      </c>
      <c r="Q111" s="4" t="s">
        <v>26</v>
      </c>
      <c r="R111" s="4">
        <v>0</v>
      </c>
      <c r="S111" s="6">
        <v>0</v>
      </c>
      <c r="T111" s="6">
        <v>18</v>
      </c>
      <c r="U111" s="6">
        <v>56</v>
      </c>
      <c r="V111" s="6">
        <f>IF(ISERROR(VLOOKUP($S$111,'TAR FIN'!$A$1:$O$88,15,0)),0,VLOOKUP($S$111,'TAR FIN'!$A$1:$O$88,15,0))</f>
        <v>0</v>
      </c>
      <c r="W111" s="6">
        <f>IF(ISERROR(VLOOKUP($T$111,'TAR FIN'!$A$1:$O$88,15,0)),0,VLOOKUP($T$111,'TAR FIN'!$A$1:$O$88,15,0))</f>
        <v>0</v>
      </c>
      <c r="X111" s="6">
        <f>IF(ISERROR(VLOOKUP($U$111,'TAR FIN'!$A$1:$O$88,15,0)),0,VLOOKUP($U$111,'TAR FIN'!$A$1:$O$88,15,0))</f>
        <v>0</v>
      </c>
      <c r="Y111" s="6"/>
      <c r="Z111" s="6">
        <f ca="1">('TUSD BE'!$AM$20+'TUSD BF'!$AM$20+'TUSD CVA'!$AM$20)*1</f>
        <v>493.10070772969505</v>
      </c>
      <c r="AA111" s="6">
        <f>('TE BE'!$AB$11+'TE BF'!$AB$11+'TE CVA'!$AB$11)*1</f>
        <v>290.52986273778561</v>
      </c>
      <c r="AB111" s="6">
        <f>$K$111*$V$111</f>
        <v>0</v>
      </c>
      <c r="AC111" s="6">
        <f>$M$111*$W$111</f>
        <v>0</v>
      </c>
      <c r="AD111" s="6">
        <f>$O$111*$X$111</f>
        <v>0</v>
      </c>
      <c r="AE111" s="6">
        <f>$K$111*$Y$111</f>
        <v>0</v>
      </c>
      <c r="AF111" s="6">
        <f ca="1">$M$111*$Z$111</f>
        <v>1178.0175907662413</v>
      </c>
      <c r="AG111" s="6">
        <f>$O$111*$AA$111</f>
        <v>694.07584208056971</v>
      </c>
    </row>
    <row r="112" spans="1:33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44440</v>
      </c>
      <c r="J112" s="6">
        <v>0</v>
      </c>
      <c r="K112" s="6">
        <v>0</v>
      </c>
      <c r="L112" s="6">
        <v>502.65699999999998</v>
      </c>
      <c r="M112" s="6">
        <v>502.65699999999998</v>
      </c>
      <c r="N112" s="6">
        <v>502.65699999999998</v>
      </c>
      <c r="O112" s="6">
        <v>502.65699999999998</v>
      </c>
      <c r="P112" s="6">
        <v>2965</v>
      </c>
      <c r="Q112" s="4" t="s">
        <v>26</v>
      </c>
      <c r="R112" s="4">
        <v>0</v>
      </c>
      <c r="S112" s="6">
        <v>0</v>
      </c>
      <c r="T112" s="6">
        <v>18</v>
      </c>
      <c r="U112" s="6">
        <v>56</v>
      </c>
      <c r="V112" s="6">
        <f>IF(ISERROR(VLOOKUP($S$112,'TAR FIN'!$A$1:$O$88,15,0)),0,VLOOKUP($S$112,'TAR FIN'!$A$1:$O$88,15,0))</f>
        <v>0</v>
      </c>
      <c r="W112" s="6">
        <f>IF(ISERROR(VLOOKUP($T$112,'TAR FIN'!$A$1:$O$88,15,0)),0,VLOOKUP($T$112,'TAR FIN'!$A$1:$O$88,15,0))</f>
        <v>0</v>
      </c>
      <c r="X112" s="6">
        <f>IF(ISERROR(VLOOKUP($U$112,'TAR FIN'!$A$1:$O$88,15,0)),0,VLOOKUP($U$112,'TAR FIN'!$A$1:$O$88,15,0))</f>
        <v>0</v>
      </c>
      <c r="Y112" s="6"/>
      <c r="Z112" s="6">
        <f ca="1">('TUSD BE'!$AM$20+'TUSD BF'!$AM$20+'TUSD CVA'!$AM$20)*1</f>
        <v>493.10070772969505</v>
      </c>
      <c r="AA112" s="6">
        <f>('TE BE'!$AB$11+'TE BF'!$AB$11+'TE CVA'!$AB$11)*1</f>
        <v>290.52986273778561</v>
      </c>
      <c r="AB112" s="6">
        <f>$K$112*$V$112</f>
        <v>0</v>
      </c>
      <c r="AC112" s="6">
        <f>$M$112*$W$112</f>
        <v>0</v>
      </c>
      <c r="AD112" s="6">
        <f>$O$112*$X$112</f>
        <v>0</v>
      </c>
      <c r="AE112" s="6">
        <f>$K$112*$Y$112</f>
        <v>0</v>
      </c>
      <c r="AF112" s="6">
        <f ca="1">$M$112*$Z$112</f>
        <v>247860.52244528531</v>
      </c>
      <c r="AG112" s="6">
        <f>$O$112*$AA$112</f>
        <v>146036.86921418709</v>
      </c>
    </row>
    <row r="113" spans="1:33" ht="11.25" customHeight="1" x14ac:dyDescent="0.25">
      <c r="A113" s="4" t="s">
        <v>27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44440</v>
      </c>
      <c r="J113" s="6">
        <v>0</v>
      </c>
      <c r="K113" s="6">
        <v>0</v>
      </c>
      <c r="L113" s="6">
        <v>2.5299999999999998</v>
      </c>
      <c r="M113" s="6">
        <v>2.5299999999999998</v>
      </c>
      <c r="N113" s="6">
        <v>2.5299999999999998</v>
      </c>
      <c r="O113" s="6">
        <v>2.5299999999999998</v>
      </c>
      <c r="P113" s="6">
        <v>23</v>
      </c>
      <c r="Q113" s="4" t="s">
        <v>26</v>
      </c>
      <c r="R113" s="4">
        <v>0</v>
      </c>
      <c r="S113" s="6">
        <v>0</v>
      </c>
      <c r="T113" s="6">
        <v>18</v>
      </c>
      <c r="U113" s="6">
        <v>56</v>
      </c>
      <c r="V113" s="6">
        <f>IF(ISERROR(VLOOKUP($S$113,'TAR FIN'!$A$1:$O$88,15,0)),0,VLOOKUP($S$113,'TAR FIN'!$A$1:$O$88,15,0))</f>
        <v>0</v>
      </c>
      <c r="W113" s="6">
        <f>IF(ISERROR(VLOOKUP($T$113,'TAR FIN'!$A$1:$O$88,15,0)),0,VLOOKUP($T$113,'TAR FIN'!$A$1:$O$88,15,0))</f>
        <v>0</v>
      </c>
      <c r="X113" s="6">
        <f>IF(ISERROR(VLOOKUP($U$113,'TAR FIN'!$A$1:$O$88,15,0)),0,VLOOKUP($U$113,'TAR FIN'!$A$1:$O$88,15,0))</f>
        <v>0</v>
      </c>
      <c r="Y113" s="6"/>
      <c r="Z113" s="6">
        <f ca="1">('TUSD BE'!$AM$20+'TUSD BF'!$AM$20+'TUSD CVA'!$AM$20)*1</f>
        <v>493.10070772969505</v>
      </c>
      <c r="AA113" s="6">
        <f>('TE BE'!$AB$11+'TE BF'!$AB$11+'TE CVA'!$AB$11)*1</f>
        <v>290.52986273778561</v>
      </c>
      <c r="AB113" s="6">
        <f>$K$113*$V$113</f>
        <v>0</v>
      </c>
      <c r="AC113" s="6">
        <f>$M$113*$W$113</f>
        <v>0</v>
      </c>
      <c r="AD113" s="6">
        <f>$O$113*$X$113</f>
        <v>0</v>
      </c>
      <c r="AE113" s="6">
        <f>$K$113*$Y$113</f>
        <v>0</v>
      </c>
      <c r="AF113" s="6">
        <f ca="1">$M$113*$Z$113</f>
        <v>1247.5447905561284</v>
      </c>
      <c r="AG113" s="6">
        <f>$O$113*$AA$113</f>
        <v>735.04055272659753</v>
      </c>
    </row>
    <row r="114" spans="1:33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44470</v>
      </c>
      <c r="J114" s="6">
        <v>0</v>
      </c>
      <c r="K114" s="6">
        <v>0</v>
      </c>
      <c r="L114" s="6">
        <v>562.58399999999995</v>
      </c>
      <c r="M114" s="6">
        <v>562.58399999999995</v>
      </c>
      <c r="N114" s="6">
        <v>562.58399999999995</v>
      </c>
      <c r="O114" s="6">
        <v>562.58399999999995</v>
      </c>
      <c r="P114" s="6">
        <v>2968</v>
      </c>
      <c r="Q114" s="4" t="s">
        <v>26</v>
      </c>
      <c r="R114" s="4">
        <v>0</v>
      </c>
      <c r="S114" s="6">
        <v>0</v>
      </c>
      <c r="T114" s="6">
        <v>18</v>
      </c>
      <c r="U114" s="6">
        <v>56</v>
      </c>
      <c r="V114" s="6">
        <f>IF(ISERROR(VLOOKUP($S$114,'TAR FIN'!$A$1:$O$88,15,0)),0,VLOOKUP($S$114,'TAR FIN'!$A$1:$O$88,15,0))</f>
        <v>0</v>
      </c>
      <c r="W114" s="6">
        <f>IF(ISERROR(VLOOKUP($T$114,'TAR FIN'!$A$1:$O$88,15,0)),0,VLOOKUP($T$114,'TAR FIN'!$A$1:$O$88,15,0))</f>
        <v>0</v>
      </c>
      <c r="X114" s="6">
        <f>IF(ISERROR(VLOOKUP($U$114,'TAR FIN'!$A$1:$O$88,15,0)),0,VLOOKUP($U$114,'TAR FIN'!$A$1:$O$88,15,0))</f>
        <v>0</v>
      </c>
      <c r="Y114" s="6"/>
      <c r="Z114" s="6">
        <f ca="1">('TUSD BE'!$AM$20+'TUSD BF'!$AM$20+'TUSD CVA'!$AM$20)*1</f>
        <v>493.10070772969505</v>
      </c>
      <c r="AA114" s="6">
        <f>('TE BE'!$AB$11+'TE BF'!$AB$11+'TE CVA'!$AB$11)*1</f>
        <v>290.52986273778561</v>
      </c>
      <c r="AB114" s="6">
        <f>$K$114*$V$114</f>
        <v>0</v>
      </c>
      <c r="AC114" s="6">
        <f>$M$114*$W$114</f>
        <v>0</v>
      </c>
      <c r="AD114" s="6">
        <f>$O$114*$X$114</f>
        <v>0</v>
      </c>
      <c r="AE114" s="6">
        <f>$K$114*$Y$114</f>
        <v>0</v>
      </c>
      <c r="AF114" s="6">
        <f ca="1">$M$114*$Z$114</f>
        <v>277410.56855740276</v>
      </c>
      <c r="AG114" s="6">
        <f>$O$114*$AA$114</f>
        <v>163447.45229847435</v>
      </c>
    </row>
    <row r="115" spans="1:33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44470</v>
      </c>
      <c r="J115" s="6">
        <v>0</v>
      </c>
      <c r="K115" s="6">
        <v>0</v>
      </c>
      <c r="L115" s="6">
        <v>2.69</v>
      </c>
      <c r="M115" s="6">
        <v>2.69</v>
      </c>
      <c r="N115" s="6">
        <v>2.69</v>
      </c>
      <c r="O115" s="6">
        <v>2.69</v>
      </c>
      <c r="P115" s="6">
        <v>24</v>
      </c>
      <c r="Q115" s="4" t="s">
        <v>26</v>
      </c>
      <c r="R115" s="4">
        <v>0</v>
      </c>
      <c r="S115" s="6">
        <v>0</v>
      </c>
      <c r="T115" s="6">
        <v>18</v>
      </c>
      <c r="U115" s="6">
        <v>56</v>
      </c>
      <c r="V115" s="6">
        <f>IF(ISERROR(VLOOKUP($S$115,'TAR FIN'!$A$1:$O$88,15,0)),0,VLOOKUP($S$115,'TAR FIN'!$A$1:$O$88,15,0))</f>
        <v>0</v>
      </c>
      <c r="W115" s="6">
        <f>IF(ISERROR(VLOOKUP($T$115,'TAR FIN'!$A$1:$O$88,15,0)),0,VLOOKUP($T$115,'TAR FIN'!$A$1:$O$88,15,0))</f>
        <v>0</v>
      </c>
      <c r="X115" s="6">
        <f>IF(ISERROR(VLOOKUP($U$115,'TAR FIN'!$A$1:$O$88,15,0)),0,VLOOKUP($U$115,'TAR FIN'!$A$1:$O$88,15,0))</f>
        <v>0</v>
      </c>
      <c r="Y115" s="6"/>
      <c r="Z115" s="6">
        <f ca="1">('TUSD BE'!$AM$20+'TUSD BF'!$AM$20+'TUSD CVA'!$AM$20)*1</f>
        <v>493.10070772969505</v>
      </c>
      <c r="AA115" s="6">
        <f>('TE BE'!$AB$11+'TE BF'!$AB$11+'TE CVA'!$AB$11)*1</f>
        <v>290.52986273778561</v>
      </c>
      <c r="AB115" s="6">
        <f>$K$115*$V$115</f>
        <v>0</v>
      </c>
      <c r="AC115" s="6">
        <f>$M$115*$W$115</f>
        <v>0</v>
      </c>
      <c r="AD115" s="6">
        <f>$O$115*$X$115</f>
        <v>0</v>
      </c>
      <c r="AE115" s="6">
        <f>$K$115*$Y$115</f>
        <v>0</v>
      </c>
      <c r="AF115" s="6">
        <f ca="1">$M$115*$Z$115</f>
        <v>1326.4409037928797</v>
      </c>
      <c r="AG115" s="6">
        <f>$O$115*$AA$115</f>
        <v>781.52533076464329</v>
      </c>
    </row>
    <row r="116" spans="1:33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44501</v>
      </c>
      <c r="J116" s="6">
        <v>0</v>
      </c>
      <c r="K116" s="6">
        <v>0</v>
      </c>
      <c r="L116" s="6">
        <v>559.34100000000001</v>
      </c>
      <c r="M116" s="6">
        <v>559.34100000000001</v>
      </c>
      <c r="N116" s="6">
        <v>559.34100000000001</v>
      </c>
      <c r="O116" s="6">
        <v>559.34100000000001</v>
      </c>
      <c r="P116" s="6">
        <v>2956</v>
      </c>
      <c r="Q116" s="4" t="s">
        <v>26</v>
      </c>
      <c r="R116" s="4">
        <v>0</v>
      </c>
      <c r="S116" s="6">
        <v>0</v>
      </c>
      <c r="T116" s="6">
        <v>18</v>
      </c>
      <c r="U116" s="6">
        <v>56</v>
      </c>
      <c r="V116" s="6">
        <f>IF(ISERROR(VLOOKUP($S$116,'TAR FIN'!$A$1:$O$88,15,0)),0,VLOOKUP($S$116,'TAR FIN'!$A$1:$O$88,15,0))</f>
        <v>0</v>
      </c>
      <c r="W116" s="6">
        <f>IF(ISERROR(VLOOKUP($T$116,'TAR FIN'!$A$1:$O$88,15,0)),0,VLOOKUP($T$116,'TAR FIN'!$A$1:$O$88,15,0))</f>
        <v>0</v>
      </c>
      <c r="X116" s="6">
        <f>IF(ISERROR(VLOOKUP($U$116,'TAR FIN'!$A$1:$O$88,15,0)),0,VLOOKUP($U$116,'TAR FIN'!$A$1:$O$88,15,0))</f>
        <v>0</v>
      </c>
      <c r="Y116" s="6"/>
      <c r="Z116" s="6">
        <f ca="1">('TUSD BE'!$AM$20+'TUSD BF'!$AM$20+'TUSD CVA'!$AM$20)*1</f>
        <v>493.10070772969505</v>
      </c>
      <c r="AA116" s="6">
        <f>('TE BE'!$AB$11+'TE BF'!$AB$11+'TE CVA'!$AB$11)*1</f>
        <v>290.52986273778561</v>
      </c>
      <c r="AB116" s="6">
        <f>$K$116*$V$116</f>
        <v>0</v>
      </c>
      <c r="AC116" s="6">
        <f>$M$116*$W$116</f>
        <v>0</v>
      </c>
      <c r="AD116" s="6">
        <f>$O$116*$X$116</f>
        <v>0</v>
      </c>
      <c r="AE116" s="6">
        <f>$K$116*$Y$116</f>
        <v>0</v>
      </c>
      <c r="AF116" s="6">
        <f ca="1">$M$116*$Z$116</f>
        <v>275811.44296223536</v>
      </c>
      <c r="AG116" s="6">
        <f>$O$116*$AA$116</f>
        <v>162505.26395361574</v>
      </c>
    </row>
    <row r="117" spans="1:33" ht="11.25" customHeight="1" x14ac:dyDescent="0.25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44501</v>
      </c>
      <c r="J117" s="6">
        <v>0</v>
      </c>
      <c r="K117" s="6">
        <v>0</v>
      </c>
      <c r="L117" s="6">
        <v>2.0569999999999999</v>
      </c>
      <c r="M117" s="6">
        <v>2.0569999999999999</v>
      </c>
      <c r="N117" s="6">
        <v>2.0569999999999999</v>
      </c>
      <c r="O117" s="6">
        <v>2.0569999999999999</v>
      </c>
      <c r="P117" s="6">
        <v>24</v>
      </c>
      <c r="Q117" s="4" t="s">
        <v>26</v>
      </c>
      <c r="R117" s="4">
        <v>0</v>
      </c>
      <c r="S117" s="6">
        <v>0</v>
      </c>
      <c r="T117" s="6">
        <v>18</v>
      </c>
      <c r="U117" s="6">
        <v>56</v>
      </c>
      <c r="V117" s="6">
        <f>IF(ISERROR(VLOOKUP($S$117,'TAR FIN'!$A$1:$O$88,15,0)),0,VLOOKUP($S$117,'TAR FIN'!$A$1:$O$88,15,0))</f>
        <v>0</v>
      </c>
      <c r="W117" s="6">
        <f>IF(ISERROR(VLOOKUP($T$117,'TAR FIN'!$A$1:$O$88,15,0)),0,VLOOKUP($T$117,'TAR FIN'!$A$1:$O$88,15,0))</f>
        <v>0</v>
      </c>
      <c r="X117" s="6">
        <f>IF(ISERROR(VLOOKUP($U$117,'TAR FIN'!$A$1:$O$88,15,0)),0,VLOOKUP($U$117,'TAR FIN'!$A$1:$O$88,15,0))</f>
        <v>0</v>
      </c>
      <c r="Y117" s="6"/>
      <c r="Z117" s="6">
        <f ca="1">('TUSD BE'!$AM$20+'TUSD BF'!$AM$20+'TUSD CVA'!$AM$20)*1</f>
        <v>493.10070772969505</v>
      </c>
      <c r="AA117" s="6">
        <f>('TE BE'!$AB$11+'TE BF'!$AB$11+'TE CVA'!$AB$11)*1</f>
        <v>290.52986273778561</v>
      </c>
      <c r="AB117" s="6">
        <f>$K$117*$V$117</f>
        <v>0</v>
      </c>
      <c r="AC117" s="6">
        <f>$M$117*$W$117</f>
        <v>0</v>
      </c>
      <c r="AD117" s="6">
        <f>$O$117*$X$117</f>
        <v>0</v>
      </c>
      <c r="AE117" s="6">
        <f>$K$117*$Y$117</f>
        <v>0</v>
      </c>
      <c r="AF117" s="6">
        <f ca="1">$M$117*$Z$117</f>
        <v>1014.3081557999827</v>
      </c>
      <c r="AG117" s="6">
        <f>$O$117*$AA$117</f>
        <v>597.61992765162495</v>
      </c>
    </row>
    <row r="118" spans="1:33" ht="11.25" customHeight="1" x14ac:dyDescent="0.25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44531</v>
      </c>
      <c r="J118" s="6">
        <v>0</v>
      </c>
      <c r="K118" s="6">
        <v>0</v>
      </c>
      <c r="L118" s="6">
        <v>530.17100000000005</v>
      </c>
      <c r="M118" s="6">
        <v>530.17100000000005</v>
      </c>
      <c r="N118" s="6">
        <v>530.17100000000005</v>
      </c>
      <c r="O118" s="6">
        <v>530.17100000000005</v>
      </c>
      <c r="P118" s="6">
        <v>2952</v>
      </c>
      <c r="Q118" s="4" t="s">
        <v>26</v>
      </c>
      <c r="R118" s="4">
        <v>0</v>
      </c>
      <c r="S118" s="6">
        <v>0</v>
      </c>
      <c r="T118" s="6">
        <v>18</v>
      </c>
      <c r="U118" s="6">
        <v>56</v>
      </c>
      <c r="V118" s="6">
        <f>IF(ISERROR(VLOOKUP($S$118,'TAR FIN'!$A$1:$O$88,15,0)),0,VLOOKUP($S$118,'TAR FIN'!$A$1:$O$88,15,0))</f>
        <v>0</v>
      </c>
      <c r="W118" s="6">
        <f>IF(ISERROR(VLOOKUP($T$118,'TAR FIN'!$A$1:$O$88,15,0)),0,VLOOKUP($T$118,'TAR FIN'!$A$1:$O$88,15,0))</f>
        <v>0</v>
      </c>
      <c r="X118" s="6">
        <f>IF(ISERROR(VLOOKUP($U$118,'TAR FIN'!$A$1:$O$88,15,0)),0,VLOOKUP($U$118,'TAR FIN'!$A$1:$O$88,15,0))</f>
        <v>0</v>
      </c>
      <c r="Y118" s="6"/>
      <c r="Z118" s="6">
        <f ca="1">('TUSD BE'!$AM$20+'TUSD BF'!$AM$20+'TUSD CVA'!$AM$20)*1</f>
        <v>493.10070772969505</v>
      </c>
      <c r="AA118" s="6">
        <f>('TE BE'!$AB$11+'TE BF'!$AB$11+'TE CVA'!$AB$11)*1</f>
        <v>290.52986273778561</v>
      </c>
      <c r="AB118" s="6">
        <f>$K$118*$V$118</f>
        <v>0</v>
      </c>
      <c r="AC118" s="6">
        <f>$M$118*$W$118</f>
        <v>0</v>
      </c>
      <c r="AD118" s="6">
        <f>$O$118*$X$118</f>
        <v>0</v>
      </c>
      <c r="AE118" s="6">
        <f>$K$118*$Y$118</f>
        <v>0</v>
      </c>
      <c r="AF118" s="6">
        <f ca="1">$M$118*$Z$118</f>
        <v>261427.69531776017</v>
      </c>
      <c r="AG118" s="6">
        <f>$O$118*$AA$118</f>
        <v>154030.50785755453</v>
      </c>
    </row>
    <row r="119" spans="1:33" ht="11.25" customHeight="1" x14ac:dyDescent="0.25">
      <c r="A119" s="4" t="s">
        <v>27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44531</v>
      </c>
      <c r="J119" s="6">
        <v>0</v>
      </c>
      <c r="K119" s="6">
        <v>0</v>
      </c>
      <c r="L119" s="6">
        <v>2.0190000000000001</v>
      </c>
      <c r="M119" s="6">
        <v>2.0190000000000001</v>
      </c>
      <c r="N119" s="6">
        <v>2.0190000000000001</v>
      </c>
      <c r="O119" s="6">
        <v>2.0190000000000001</v>
      </c>
      <c r="P119" s="6">
        <v>27</v>
      </c>
      <c r="Q119" s="4" t="s">
        <v>26</v>
      </c>
      <c r="R119" s="4">
        <v>0</v>
      </c>
      <c r="S119" s="6">
        <v>0</v>
      </c>
      <c r="T119" s="6">
        <v>18</v>
      </c>
      <c r="U119" s="6">
        <v>56</v>
      </c>
      <c r="V119" s="6">
        <f>IF(ISERROR(VLOOKUP($S$119,'TAR FIN'!$A$1:$O$88,15,0)),0,VLOOKUP($S$119,'TAR FIN'!$A$1:$O$88,15,0))</f>
        <v>0</v>
      </c>
      <c r="W119" s="6">
        <f>IF(ISERROR(VLOOKUP($T$119,'TAR FIN'!$A$1:$O$88,15,0)),0,VLOOKUP($T$119,'TAR FIN'!$A$1:$O$88,15,0))</f>
        <v>0</v>
      </c>
      <c r="X119" s="6">
        <f>IF(ISERROR(VLOOKUP($U$119,'TAR FIN'!$A$1:$O$88,15,0)),0,VLOOKUP($U$119,'TAR FIN'!$A$1:$O$88,15,0))</f>
        <v>0</v>
      </c>
      <c r="Y119" s="6"/>
      <c r="Z119" s="6">
        <f ca="1">('TUSD BE'!$AM$20+'TUSD BF'!$AM$20+'TUSD CVA'!$AM$20)*1</f>
        <v>493.10070772969505</v>
      </c>
      <c r="AA119" s="6">
        <f>('TE BE'!$AB$11+'TE BF'!$AB$11+'TE CVA'!$AB$11)*1</f>
        <v>290.52986273778561</v>
      </c>
      <c r="AB119" s="6">
        <f>$K$119*$V$119</f>
        <v>0</v>
      </c>
      <c r="AC119" s="6">
        <f>$M$119*$W$119</f>
        <v>0</v>
      </c>
      <c r="AD119" s="6">
        <f>$O$119*$X$119</f>
        <v>0</v>
      </c>
      <c r="AE119" s="6">
        <f>$K$119*$Y$119</f>
        <v>0</v>
      </c>
      <c r="AF119" s="6">
        <f ca="1">$M$119*$Z$119</f>
        <v>995.5703289062543</v>
      </c>
      <c r="AG119" s="6">
        <f>$O$119*$AA$119</f>
        <v>586.57979286758916</v>
      </c>
    </row>
    <row r="120" spans="1:33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510.87900000000002</v>
      </c>
      <c r="M120" s="6">
        <v>510.87900000000002</v>
      </c>
      <c r="N120" s="6">
        <v>510.87900000000002</v>
      </c>
      <c r="O120" s="6">
        <v>510.87900000000002</v>
      </c>
      <c r="P120" s="6">
        <v>2977</v>
      </c>
      <c r="Q120" s="4" t="s">
        <v>26</v>
      </c>
      <c r="R120" s="4">
        <v>0</v>
      </c>
      <c r="S120" s="6">
        <v>0</v>
      </c>
      <c r="T120" s="6">
        <v>18</v>
      </c>
      <c r="U120" s="6">
        <v>56</v>
      </c>
      <c r="V120" s="6">
        <f>IF(ISERROR(VLOOKUP($S$120,'TAR FIN'!$A$1:$O$88,15,0)),0,VLOOKUP($S$120,'TAR FIN'!$A$1:$O$88,15,0))</f>
        <v>0</v>
      </c>
      <c r="W120" s="6">
        <f>IF(ISERROR(VLOOKUP($T$120,'TAR FIN'!$A$1:$O$88,15,0)),0,VLOOKUP($T$120,'TAR FIN'!$A$1:$O$88,15,0))</f>
        <v>0</v>
      </c>
      <c r="X120" s="6">
        <f>IF(ISERROR(VLOOKUP($U$120,'TAR FIN'!$A$1:$O$88,15,0)),0,VLOOKUP($U$120,'TAR FIN'!$A$1:$O$88,15,0))</f>
        <v>0</v>
      </c>
      <c r="Y120" s="6"/>
      <c r="Z120" s="6">
        <f ca="1">('TUSD BE'!$AM$20+'TUSD BF'!$AM$20+'TUSD CVA'!$AM$20)*1</f>
        <v>493.10070772969505</v>
      </c>
      <c r="AA120" s="6">
        <f>('TE BE'!$AB$11+'TE BF'!$AB$11+'TE CVA'!$AB$11)*1</f>
        <v>290.52986273778561</v>
      </c>
      <c r="AB120" s="6">
        <f>$K$120*$V$120</f>
        <v>0</v>
      </c>
      <c r="AC120" s="6">
        <f>$M$120*$W$120</f>
        <v>0</v>
      </c>
      <c r="AD120" s="6">
        <f>$O$120*$X$120</f>
        <v>0</v>
      </c>
      <c r="AE120" s="6">
        <f>$K$120*$Y$120</f>
        <v>0</v>
      </c>
      <c r="AF120" s="6">
        <f ca="1">$M$120*$Z$120</f>
        <v>251914.7964642389</v>
      </c>
      <c r="AG120" s="6">
        <f>$O$120*$AA$120</f>
        <v>148425.60574561718</v>
      </c>
    </row>
    <row r="121" spans="1:33" ht="11.25" customHeight="1" x14ac:dyDescent="0.25">
      <c r="A121" s="4" t="s">
        <v>27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44562</v>
      </c>
      <c r="J121" s="6">
        <v>0</v>
      </c>
      <c r="K121" s="6">
        <v>0</v>
      </c>
      <c r="L121" s="6">
        <v>3.1949999999999998</v>
      </c>
      <c r="M121" s="6">
        <v>3.1949999999999998</v>
      </c>
      <c r="N121" s="6">
        <v>3.1949999999999998</v>
      </c>
      <c r="O121" s="6">
        <v>3.1949999999999998</v>
      </c>
      <c r="P121" s="6">
        <v>38</v>
      </c>
      <c r="Q121" s="4" t="s">
        <v>26</v>
      </c>
      <c r="R121" s="4">
        <v>0</v>
      </c>
      <c r="S121" s="6">
        <v>0</v>
      </c>
      <c r="T121" s="6">
        <v>18</v>
      </c>
      <c r="U121" s="6">
        <v>56</v>
      </c>
      <c r="V121" s="6">
        <f>IF(ISERROR(VLOOKUP($S$121,'TAR FIN'!$A$1:$O$88,15,0)),0,VLOOKUP($S$121,'TAR FIN'!$A$1:$O$88,15,0))</f>
        <v>0</v>
      </c>
      <c r="W121" s="6">
        <f>IF(ISERROR(VLOOKUP($T$121,'TAR FIN'!$A$1:$O$88,15,0)),0,VLOOKUP($T$121,'TAR FIN'!$A$1:$O$88,15,0))</f>
        <v>0</v>
      </c>
      <c r="X121" s="6">
        <f>IF(ISERROR(VLOOKUP($U$121,'TAR FIN'!$A$1:$O$88,15,0)),0,VLOOKUP($U$121,'TAR FIN'!$A$1:$O$88,15,0))</f>
        <v>0</v>
      </c>
      <c r="Y121" s="6"/>
      <c r="Z121" s="6">
        <f ca="1">('TUSD BE'!$AM$20+'TUSD BF'!$AM$20+'TUSD CVA'!$AM$20)*1</f>
        <v>493.10070772969505</v>
      </c>
      <c r="AA121" s="6">
        <f>('TE BE'!$AB$11+'TE BF'!$AB$11+'TE CVA'!$AB$11)*1</f>
        <v>290.52986273778561</v>
      </c>
      <c r="AB121" s="6">
        <f>$K$121*$V$121</f>
        <v>0</v>
      </c>
      <c r="AC121" s="6">
        <f>$M$121*$W$121</f>
        <v>0</v>
      </c>
      <c r="AD121" s="6">
        <f>$O$121*$X$121</f>
        <v>0</v>
      </c>
      <c r="AE121" s="6">
        <f>$K$121*$Y$121</f>
        <v>0</v>
      </c>
      <c r="AF121" s="6">
        <f ca="1">$M$121*$Z$121</f>
        <v>1575.4567611963755</v>
      </c>
      <c r="AG121" s="6">
        <f>$O$121*$AA$121</f>
        <v>928.24291144722497</v>
      </c>
    </row>
    <row r="122" spans="1:33" ht="11.25" customHeight="1" x14ac:dyDescent="0.25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44593</v>
      </c>
      <c r="J122" s="6">
        <v>0</v>
      </c>
      <c r="K122" s="6">
        <v>0</v>
      </c>
      <c r="L122" s="6">
        <v>683.03399999999999</v>
      </c>
      <c r="M122" s="6">
        <v>683.03399999999999</v>
      </c>
      <c r="N122" s="6">
        <v>683.03399999999999</v>
      </c>
      <c r="O122" s="6">
        <v>683.03399999999999</v>
      </c>
      <c r="P122" s="6">
        <v>2972</v>
      </c>
      <c r="Q122" s="4" t="s">
        <v>26</v>
      </c>
      <c r="R122" s="4">
        <v>0</v>
      </c>
      <c r="S122" s="6">
        <v>0</v>
      </c>
      <c r="T122" s="6">
        <v>18</v>
      </c>
      <c r="U122" s="6">
        <v>56</v>
      </c>
      <c r="V122" s="6">
        <f>IF(ISERROR(VLOOKUP($S$122,'TAR FIN'!$A$1:$O$88,15,0)),0,VLOOKUP($S$122,'TAR FIN'!$A$1:$O$88,15,0))</f>
        <v>0</v>
      </c>
      <c r="W122" s="6">
        <f>IF(ISERROR(VLOOKUP($T$122,'TAR FIN'!$A$1:$O$88,15,0)),0,VLOOKUP($T$122,'TAR FIN'!$A$1:$O$88,15,0))</f>
        <v>0</v>
      </c>
      <c r="X122" s="6">
        <f>IF(ISERROR(VLOOKUP($U$122,'TAR FIN'!$A$1:$O$88,15,0)),0,VLOOKUP($U$122,'TAR FIN'!$A$1:$O$88,15,0))</f>
        <v>0</v>
      </c>
      <c r="Y122" s="6"/>
      <c r="Z122" s="6">
        <f ca="1">('TUSD BE'!$AM$20+'TUSD BF'!$AM$20+'TUSD CVA'!$AM$20)*1</f>
        <v>493.10070772969505</v>
      </c>
      <c r="AA122" s="6">
        <f>('TE BE'!$AB$11+'TE BF'!$AB$11+'TE CVA'!$AB$11)*1</f>
        <v>290.52986273778561</v>
      </c>
      <c r="AB122" s="6">
        <f>$K$122*$V$122</f>
        <v>0</v>
      </c>
      <c r="AC122" s="6">
        <f>$M$122*$W$122</f>
        <v>0</v>
      </c>
      <c r="AD122" s="6">
        <f>$O$122*$X$122</f>
        <v>0</v>
      </c>
      <c r="AE122" s="6">
        <f>$K$122*$Y$122</f>
        <v>0</v>
      </c>
      <c r="AF122" s="6">
        <f ca="1">$M$122*$Z$122</f>
        <v>336804.54880344454</v>
      </c>
      <c r="AG122" s="6">
        <f>$O$122*$AA$122</f>
        <v>198441.77426524065</v>
      </c>
    </row>
    <row r="123" spans="1:33" ht="11.25" customHeight="1" x14ac:dyDescent="0.25">
      <c r="A123" s="4" t="s">
        <v>27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44593</v>
      </c>
      <c r="J123" s="6">
        <v>0</v>
      </c>
      <c r="K123" s="6">
        <v>0</v>
      </c>
      <c r="L123" s="6">
        <v>4.5869999999999997</v>
      </c>
      <c r="M123" s="6">
        <v>4.5869999999999997</v>
      </c>
      <c r="N123" s="6">
        <v>4.5869999999999997</v>
      </c>
      <c r="O123" s="6">
        <v>4.5869999999999997</v>
      </c>
      <c r="P123" s="6">
        <v>44</v>
      </c>
      <c r="Q123" s="4" t="s">
        <v>26</v>
      </c>
      <c r="R123" s="4">
        <v>0</v>
      </c>
      <c r="S123" s="6">
        <v>0</v>
      </c>
      <c r="T123" s="6">
        <v>18</v>
      </c>
      <c r="U123" s="6">
        <v>56</v>
      </c>
      <c r="V123" s="6">
        <f>IF(ISERROR(VLOOKUP($S$123,'TAR FIN'!$A$1:$O$88,15,0)),0,VLOOKUP($S$123,'TAR FIN'!$A$1:$O$88,15,0))</f>
        <v>0</v>
      </c>
      <c r="W123" s="6">
        <f>IF(ISERROR(VLOOKUP($T$123,'TAR FIN'!$A$1:$O$88,15,0)),0,VLOOKUP($T$123,'TAR FIN'!$A$1:$O$88,15,0))</f>
        <v>0</v>
      </c>
      <c r="X123" s="6">
        <f>IF(ISERROR(VLOOKUP($U$123,'TAR FIN'!$A$1:$O$88,15,0)),0,VLOOKUP($U$123,'TAR FIN'!$A$1:$O$88,15,0))</f>
        <v>0</v>
      </c>
      <c r="Y123" s="6"/>
      <c r="Z123" s="6">
        <f ca="1">('TUSD BE'!$AM$20+'TUSD BF'!$AM$20+'TUSD CVA'!$AM$20)*1</f>
        <v>493.10070772969505</v>
      </c>
      <c r="AA123" s="6">
        <f>('TE BE'!$AB$11+'TE BF'!$AB$11+'TE CVA'!$AB$11)*1</f>
        <v>290.52986273778561</v>
      </c>
      <c r="AB123" s="6">
        <f>$K$123*$V$123</f>
        <v>0</v>
      </c>
      <c r="AC123" s="6">
        <f>$M$123*$W$123</f>
        <v>0</v>
      </c>
      <c r="AD123" s="6">
        <f>$O$123*$X$123</f>
        <v>0</v>
      </c>
      <c r="AE123" s="6">
        <f>$K$123*$Y$123</f>
        <v>0</v>
      </c>
      <c r="AF123" s="6">
        <f ca="1">$M$123*$Z$123</f>
        <v>2261.8529463561113</v>
      </c>
      <c r="AG123" s="6">
        <f>$O$123*$AA$123</f>
        <v>1332.6604803782225</v>
      </c>
    </row>
    <row r="124" spans="1:33" ht="11.25" customHeight="1" x14ac:dyDescent="0.25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44621</v>
      </c>
      <c r="J124" s="6">
        <v>0</v>
      </c>
      <c r="K124" s="6">
        <v>0</v>
      </c>
      <c r="L124" s="6">
        <v>543.96900000000005</v>
      </c>
      <c r="M124" s="6">
        <v>543.96900000000005</v>
      </c>
      <c r="N124" s="6">
        <v>543.96900000000005</v>
      </c>
      <c r="O124" s="6">
        <v>543.96900000000005</v>
      </c>
      <c r="P124" s="6">
        <v>2975</v>
      </c>
      <c r="Q124" s="4" t="s">
        <v>26</v>
      </c>
      <c r="R124" s="4">
        <v>0</v>
      </c>
      <c r="S124" s="6">
        <v>0</v>
      </c>
      <c r="T124" s="6">
        <v>18</v>
      </c>
      <c r="U124" s="6">
        <v>56</v>
      </c>
      <c r="V124" s="6">
        <f>IF(ISERROR(VLOOKUP($S$124,'TAR FIN'!$A$1:$O$88,15,0)),0,VLOOKUP($S$124,'TAR FIN'!$A$1:$O$88,15,0))</f>
        <v>0</v>
      </c>
      <c r="W124" s="6">
        <f>IF(ISERROR(VLOOKUP($T$124,'TAR FIN'!$A$1:$O$88,15,0)),0,VLOOKUP($T$124,'TAR FIN'!$A$1:$O$88,15,0))</f>
        <v>0</v>
      </c>
      <c r="X124" s="6">
        <f>IF(ISERROR(VLOOKUP($U$124,'TAR FIN'!$A$1:$O$88,15,0)),0,VLOOKUP($U$124,'TAR FIN'!$A$1:$O$88,15,0))</f>
        <v>0</v>
      </c>
      <c r="Y124" s="6"/>
      <c r="Z124" s="6">
        <f ca="1">('TUSD BE'!$AM$20+'TUSD BF'!$AM$20+'TUSD CVA'!$AM$20)*1</f>
        <v>493.10070772969505</v>
      </c>
      <c r="AA124" s="6">
        <f>('TE BE'!$AB$11+'TE BF'!$AB$11+'TE CVA'!$AB$11)*1</f>
        <v>290.52986273778561</v>
      </c>
      <c r="AB124" s="6">
        <f>$K$124*$V$124</f>
        <v>0</v>
      </c>
      <c r="AC124" s="6">
        <f>$M$124*$W$124</f>
        <v>0</v>
      </c>
      <c r="AD124" s="6">
        <f>$O$124*$X$124</f>
        <v>0</v>
      </c>
      <c r="AE124" s="6">
        <f>$K$124*$Y$124</f>
        <v>0</v>
      </c>
      <c r="AF124" s="6">
        <f ca="1">$M$124*$Z$124</f>
        <v>268231.49888301449</v>
      </c>
      <c r="AG124" s="6">
        <f>$O$124*$AA$124</f>
        <v>158039.2389036105</v>
      </c>
    </row>
    <row r="125" spans="1:33" ht="11.25" customHeight="1" x14ac:dyDescent="0.25">
      <c r="A125" s="4" t="s">
        <v>27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44621</v>
      </c>
      <c r="J125" s="6">
        <v>0</v>
      </c>
      <c r="K125" s="6">
        <v>0</v>
      </c>
      <c r="L125" s="6">
        <v>3.645</v>
      </c>
      <c r="M125" s="6">
        <v>3.645</v>
      </c>
      <c r="N125" s="6">
        <v>3.645</v>
      </c>
      <c r="O125" s="6">
        <v>3.645</v>
      </c>
      <c r="P125" s="6">
        <v>48</v>
      </c>
      <c r="Q125" s="4" t="s">
        <v>26</v>
      </c>
      <c r="R125" s="4">
        <v>0</v>
      </c>
      <c r="S125" s="6">
        <v>0</v>
      </c>
      <c r="T125" s="6">
        <v>18</v>
      </c>
      <c r="U125" s="6">
        <v>56</v>
      </c>
      <c r="V125" s="6">
        <f>IF(ISERROR(VLOOKUP($S$125,'TAR FIN'!$A$1:$O$88,15,0)),0,VLOOKUP($S$125,'TAR FIN'!$A$1:$O$88,15,0))</f>
        <v>0</v>
      </c>
      <c r="W125" s="6">
        <f>IF(ISERROR(VLOOKUP($T$125,'TAR FIN'!$A$1:$O$88,15,0)),0,VLOOKUP($T$125,'TAR FIN'!$A$1:$O$88,15,0))</f>
        <v>0</v>
      </c>
      <c r="X125" s="6">
        <f>IF(ISERROR(VLOOKUP($U$125,'TAR FIN'!$A$1:$O$88,15,0)),0,VLOOKUP($U$125,'TAR FIN'!$A$1:$O$88,15,0))</f>
        <v>0</v>
      </c>
      <c r="Y125" s="6"/>
      <c r="Z125" s="6">
        <f ca="1">('TUSD BE'!$AM$20+'TUSD BF'!$AM$20+'TUSD CVA'!$AM$20)*1</f>
        <v>493.10070772969505</v>
      </c>
      <c r="AA125" s="6">
        <f>('TE BE'!$AB$11+'TE BF'!$AB$11+'TE CVA'!$AB$11)*1</f>
        <v>290.52986273778561</v>
      </c>
      <c r="AB125" s="6">
        <f>$K$125*$V$125</f>
        <v>0</v>
      </c>
      <c r="AC125" s="6">
        <f>$M$125*$W$125</f>
        <v>0</v>
      </c>
      <c r="AD125" s="6">
        <f>$O$125*$X$125</f>
        <v>0</v>
      </c>
      <c r="AE125" s="6">
        <f>$K$125*$Y$125</f>
        <v>0</v>
      </c>
      <c r="AF125" s="6">
        <f ca="1">$M$125*$Z$125</f>
        <v>1797.3520796747384</v>
      </c>
      <c r="AG125" s="6">
        <f>$O$125*$AA$125</f>
        <v>1058.9813496792285</v>
      </c>
    </row>
    <row r="126" spans="1:33" ht="11.25" customHeight="1" x14ac:dyDescent="0.25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25</v>
      </c>
      <c r="I126" s="5">
        <v>44652</v>
      </c>
      <c r="J126" s="6">
        <v>0</v>
      </c>
      <c r="K126" s="6">
        <v>0</v>
      </c>
      <c r="L126" s="6">
        <v>587.64499999999998</v>
      </c>
      <c r="M126" s="6">
        <v>587.64499999999998</v>
      </c>
      <c r="N126" s="6">
        <v>587.64499999999998</v>
      </c>
      <c r="O126" s="6">
        <v>587.64499999999998</v>
      </c>
      <c r="P126" s="6">
        <v>2968</v>
      </c>
      <c r="Q126" s="4" t="s">
        <v>26</v>
      </c>
      <c r="R126" s="4">
        <v>0</v>
      </c>
      <c r="S126" s="6">
        <v>0</v>
      </c>
      <c r="T126" s="6">
        <v>18</v>
      </c>
      <c r="U126" s="6">
        <v>56</v>
      </c>
      <c r="V126" s="6">
        <f>IF(ISERROR(VLOOKUP($S$126,'TAR FIN'!$A$1:$O$88,15,0)),0,VLOOKUP($S$126,'TAR FIN'!$A$1:$O$88,15,0))</f>
        <v>0</v>
      </c>
      <c r="W126" s="6">
        <f>IF(ISERROR(VLOOKUP($T$126,'TAR FIN'!$A$1:$O$88,15,0)),0,VLOOKUP($T$126,'TAR FIN'!$A$1:$O$88,15,0))</f>
        <v>0</v>
      </c>
      <c r="X126" s="6">
        <f>IF(ISERROR(VLOOKUP($U$126,'TAR FIN'!$A$1:$O$88,15,0)),0,VLOOKUP($U$126,'TAR FIN'!$A$1:$O$88,15,0))</f>
        <v>0</v>
      </c>
      <c r="Y126" s="6"/>
      <c r="Z126" s="6">
        <f ca="1">('TUSD BE'!$AM$20+'TUSD BF'!$AM$20+'TUSD CVA'!$AM$20)*1</f>
        <v>493.10070772969505</v>
      </c>
      <c r="AA126" s="6">
        <f>('TE BE'!$AB$11+'TE BF'!$AB$11+'TE CVA'!$AB$11)*1</f>
        <v>290.52986273778561</v>
      </c>
      <c r="AB126" s="6">
        <f>$K$126*$V$126</f>
        <v>0</v>
      </c>
      <c r="AC126" s="6">
        <f>$M$126*$W$126</f>
        <v>0</v>
      </c>
      <c r="AD126" s="6">
        <f>$O$126*$X$126</f>
        <v>0</v>
      </c>
      <c r="AE126" s="6">
        <f>$K$126*$Y$126</f>
        <v>0</v>
      </c>
      <c r="AF126" s="6">
        <f ca="1">$M$126*$Z$126</f>
        <v>289768.16539381666</v>
      </c>
      <c r="AG126" s="6">
        <f>$O$126*$AA$126</f>
        <v>170728.42118854602</v>
      </c>
    </row>
    <row r="127" spans="1:33" ht="11.25" customHeight="1" x14ac:dyDescent="0.25">
      <c r="A127" s="4" t="s">
        <v>27</v>
      </c>
      <c r="B127" s="4" t="s">
        <v>22</v>
      </c>
      <c r="C127" s="4" t="s">
        <v>23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25</v>
      </c>
      <c r="I127" s="5">
        <v>44652</v>
      </c>
      <c r="J127" s="6">
        <v>0</v>
      </c>
      <c r="K127" s="6">
        <v>0</v>
      </c>
      <c r="L127" s="6">
        <v>6.05</v>
      </c>
      <c r="M127" s="6">
        <v>6.05</v>
      </c>
      <c r="N127" s="6">
        <v>6.05</v>
      </c>
      <c r="O127" s="6">
        <v>6.05</v>
      </c>
      <c r="P127" s="6">
        <v>56</v>
      </c>
      <c r="Q127" s="4" t="s">
        <v>26</v>
      </c>
      <c r="R127" s="4">
        <v>0</v>
      </c>
      <c r="S127" s="6">
        <v>0</v>
      </c>
      <c r="T127" s="6">
        <v>18</v>
      </c>
      <c r="U127" s="6">
        <v>56</v>
      </c>
      <c r="V127" s="6">
        <f>IF(ISERROR(VLOOKUP($S$127,'TAR FIN'!$A$1:$O$88,15,0)),0,VLOOKUP($S$127,'TAR FIN'!$A$1:$O$88,15,0))</f>
        <v>0</v>
      </c>
      <c r="W127" s="6">
        <f>IF(ISERROR(VLOOKUP($T$127,'TAR FIN'!$A$1:$O$88,15,0)),0,VLOOKUP($T$127,'TAR FIN'!$A$1:$O$88,15,0))</f>
        <v>0</v>
      </c>
      <c r="X127" s="6">
        <f>IF(ISERROR(VLOOKUP($U$127,'TAR FIN'!$A$1:$O$88,15,0)),0,VLOOKUP($U$127,'TAR FIN'!$A$1:$O$88,15,0))</f>
        <v>0</v>
      </c>
      <c r="Y127" s="6"/>
      <c r="Z127" s="6">
        <f ca="1">('TUSD BE'!$AM$20+'TUSD BF'!$AM$20+'TUSD CVA'!$AM$20)*1</f>
        <v>493.10070772969505</v>
      </c>
      <c r="AA127" s="6">
        <f>('TE BE'!$AB$11+'TE BF'!$AB$11+'TE CVA'!$AB$11)*1</f>
        <v>290.52986273778561</v>
      </c>
      <c r="AB127" s="6">
        <f>$K$127*$V$127</f>
        <v>0</v>
      </c>
      <c r="AC127" s="6">
        <f>$M$127*$W$127</f>
        <v>0</v>
      </c>
      <c r="AD127" s="6">
        <f>$O$127*$X$127</f>
        <v>0</v>
      </c>
      <c r="AE127" s="6">
        <f>$K$127*$Y$127</f>
        <v>0</v>
      </c>
      <c r="AF127" s="6">
        <f ca="1">$M$127*$Z$127</f>
        <v>2983.259281764655</v>
      </c>
      <c r="AG127" s="6">
        <f>$O$127*$AA$127</f>
        <v>1757.7056695636029</v>
      </c>
    </row>
    <row r="128" spans="1:33" ht="11.25" customHeight="1" x14ac:dyDescent="0.25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25</v>
      </c>
      <c r="I128" s="5">
        <v>44682</v>
      </c>
      <c r="J128" s="6">
        <v>0</v>
      </c>
      <c r="K128" s="6">
        <v>0</v>
      </c>
      <c r="L128" s="6">
        <v>522.48199999999997</v>
      </c>
      <c r="M128" s="6">
        <v>522.48199999999997</v>
      </c>
      <c r="N128" s="6">
        <v>522.48199999999997</v>
      </c>
      <c r="O128" s="6">
        <v>522.48199999999997</v>
      </c>
      <c r="P128" s="6">
        <v>2948</v>
      </c>
      <c r="Q128" s="4" t="s">
        <v>26</v>
      </c>
      <c r="R128" s="4">
        <v>0</v>
      </c>
      <c r="S128" s="6">
        <v>0</v>
      </c>
      <c r="T128" s="6">
        <v>18</v>
      </c>
      <c r="U128" s="6">
        <v>56</v>
      </c>
      <c r="V128" s="6">
        <f>IF(ISERROR(VLOOKUP($S$128,'TAR FIN'!$A$1:$O$88,15,0)),0,VLOOKUP($S$128,'TAR FIN'!$A$1:$O$88,15,0))</f>
        <v>0</v>
      </c>
      <c r="W128" s="6">
        <f>IF(ISERROR(VLOOKUP($T$128,'TAR FIN'!$A$1:$O$88,15,0)),0,VLOOKUP($T$128,'TAR FIN'!$A$1:$O$88,15,0))</f>
        <v>0</v>
      </c>
      <c r="X128" s="6">
        <f>IF(ISERROR(VLOOKUP($U$128,'TAR FIN'!$A$1:$O$88,15,0)),0,VLOOKUP($U$128,'TAR FIN'!$A$1:$O$88,15,0))</f>
        <v>0</v>
      </c>
      <c r="Y128" s="6"/>
      <c r="Z128" s="6">
        <f ca="1">('TUSD BE'!$AM$20+'TUSD BF'!$AM$20+'TUSD CVA'!$AM$20)*1</f>
        <v>493.10070772969505</v>
      </c>
      <c r="AA128" s="6">
        <f>('TE BE'!$AB$11+'TE BF'!$AB$11+'TE CVA'!$AB$11)*1</f>
        <v>290.52986273778561</v>
      </c>
      <c r="AB128" s="6">
        <f>$K$128*$V$128</f>
        <v>0</v>
      </c>
      <c r="AC128" s="6">
        <f>$M$128*$W$128</f>
        <v>0</v>
      </c>
      <c r="AD128" s="6">
        <f>$O$128*$X$128</f>
        <v>0</v>
      </c>
      <c r="AE128" s="6">
        <f>$K$128*$Y$128</f>
        <v>0</v>
      </c>
      <c r="AF128" s="6">
        <f ca="1">$M$128*$Z$128</f>
        <v>257636.24397602651</v>
      </c>
      <c r="AG128" s="6">
        <f>$O$128*$AA$128</f>
        <v>151796.62374296368</v>
      </c>
    </row>
    <row r="129" spans="1:33" ht="11.25" customHeight="1" x14ac:dyDescent="0.25">
      <c r="A129" s="4" t="s">
        <v>27</v>
      </c>
      <c r="B129" s="4" t="s">
        <v>22</v>
      </c>
      <c r="C129" s="4" t="s">
        <v>23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25</v>
      </c>
      <c r="I129" s="5">
        <v>44682</v>
      </c>
      <c r="J129" s="6">
        <v>0</v>
      </c>
      <c r="K129" s="6">
        <v>0</v>
      </c>
      <c r="L129" s="6">
        <v>5.3959999999999999</v>
      </c>
      <c r="M129" s="6">
        <v>5.3959999999999999</v>
      </c>
      <c r="N129" s="6">
        <v>5.3959999999999999</v>
      </c>
      <c r="O129" s="6">
        <v>5.3959999999999999</v>
      </c>
      <c r="P129" s="6">
        <v>58</v>
      </c>
      <c r="Q129" s="4" t="s">
        <v>26</v>
      </c>
      <c r="R129" s="4">
        <v>0</v>
      </c>
      <c r="S129" s="6">
        <v>0</v>
      </c>
      <c r="T129" s="6">
        <v>18</v>
      </c>
      <c r="U129" s="6">
        <v>56</v>
      </c>
      <c r="V129" s="6">
        <f>IF(ISERROR(VLOOKUP($S$129,'TAR FIN'!$A$1:$O$88,15,0)),0,VLOOKUP($S$129,'TAR FIN'!$A$1:$O$88,15,0))</f>
        <v>0</v>
      </c>
      <c r="W129" s="6">
        <f>IF(ISERROR(VLOOKUP($T$129,'TAR FIN'!$A$1:$O$88,15,0)),0,VLOOKUP($T$129,'TAR FIN'!$A$1:$O$88,15,0))</f>
        <v>0</v>
      </c>
      <c r="X129" s="6">
        <f>IF(ISERROR(VLOOKUP($U$129,'TAR FIN'!$A$1:$O$88,15,0)),0,VLOOKUP($U$129,'TAR FIN'!$A$1:$O$88,15,0))</f>
        <v>0</v>
      </c>
      <c r="Y129" s="6"/>
      <c r="Z129" s="6">
        <f ca="1">('TUSD BE'!$AM$20+'TUSD BF'!$AM$20+'TUSD CVA'!$AM$20)*1</f>
        <v>493.10070772969505</v>
      </c>
      <c r="AA129" s="6">
        <f>('TE BE'!$AB$11+'TE BF'!$AB$11+'TE CVA'!$AB$11)*1</f>
        <v>290.52986273778561</v>
      </c>
      <c r="AB129" s="6">
        <f>$K$129*$V$129</f>
        <v>0</v>
      </c>
      <c r="AC129" s="6">
        <f>$M$129*$W$129</f>
        <v>0</v>
      </c>
      <c r="AD129" s="6">
        <f>$O$129*$X$129</f>
        <v>0</v>
      </c>
      <c r="AE129" s="6">
        <f>$K$129*$Y$129</f>
        <v>0</v>
      </c>
      <c r="AF129" s="6">
        <f ca="1">$M$129*$Z$129</f>
        <v>2660.7714189094345</v>
      </c>
      <c r="AG129" s="6">
        <f>$O$129*$AA$129</f>
        <v>1567.6991393330911</v>
      </c>
    </row>
    <row r="130" spans="1:33" ht="11.25" customHeight="1" x14ac:dyDescent="0.25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25</v>
      </c>
      <c r="I130" s="5">
        <v>44713</v>
      </c>
      <c r="J130" s="6">
        <v>0</v>
      </c>
      <c r="K130" s="6">
        <v>0</v>
      </c>
      <c r="L130" s="6">
        <v>504.49299999999999</v>
      </c>
      <c r="M130" s="6">
        <v>504.49299999999999</v>
      </c>
      <c r="N130" s="6">
        <v>504.49299999999999</v>
      </c>
      <c r="O130" s="6">
        <v>504.49299999999999</v>
      </c>
      <c r="P130" s="6">
        <v>2998</v>
      </c>
      <c r="Q130" s="4" t="s">
        <v>26</v>
      </c>
      <c r="R130" s="4">
        <v>0</v>
      </c>
      <c r="S130" s="6">
        <v>0</v>
      </c>
      <c r="T130" s="6">
        <v>18</v>
      </c>
      <c r="U130" s="6">
        <v>56</v>
      </c>
      <c r="V130" s="6">
        <f>IF(ISERROR(VLOOKUP($S$130,'TAR FIN'!$A$1:$O$88,15,0)),0,VLOOKUP($S$130,'TAR FIN'!$A$1:$O$88,15,0))</f>
        <v>0</v>
      </c>
      <c r="W130" s="6">
        <f>IF(ISERROR(VLOOKUP($T$130,'TAR FIN'!$A$1:$O$88,15,0)),0,VLOOKUP($T$130,'TAR FIN'!$A$1:$O$88,15,0))</f>
        <v>0</v>
      </c>
      <c r="X130" s="6">
        <f>IF(ISERROR(VLOOKUP($U$130,'TAR FIN'!$A$1:$O$88,15,0)),0,VLOOKUP($U$130,'TAR FIN'!$A$1:$O$88,15,0))</f>
        <v>0</v>
      </c>
      <c r="Y130" s="6"/>
      <c r="Z130" s="6">
        <f ca="1">('TUSD BE'!$AM$20+'TUSD BF'!$AM$20+'TUSD CVA'!$AM$20)*1</f>
        <v>493.10070772969505</v>
      </c>
      <c r="AA130" s="6">
        <f>('TE BE'!$AB$11+'TE BF'!$AB$11+'TE CVA'!$AB$11)*1</f>
        <v>290.52986273778561</v>
      </c>
      <c r="AB130" s="6">
        <f>$K$130*$V$130</f>
        <v>0</v>
      </c>
      <c r="AC130" s="6">
        <f>$M$130*$W$130</f>
        <v>0</v>
      </c>
      <c r="AD130" s="6">
        <f>$O$130*$X$130</f>
        <v>0</v>
      </c>
      <c r="AE130" s="6">
        <f>$K$130*$Y$130</f>
        <v>0</v>
      </c>
      <c r="AF130" s="6">
        <f ca="1">$M$130*$Z$130</f>
        <v>248765.85534467705</v>
      </c>
      <c r="AG130" s="6">
        <f>$O$130*$AA$130</f>
        <v>146570.28204217367</v>
      </c>
    </row>
    <row r="131" spans="1:33" ht="11.25" customHeight="1" x14ac:dyDescent="0.25">
      <c r="A131" s="4" t="s">
        <v>27</v>
      </c>
      <c r="B131" s="4" t="s">
        <v>22</v>
      </c>
      <c r="C131" s="4" t="s">
        <v>23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0</v>
      </c>
      <c r="K131" s="6">
        <v>0</v>
      </c>
      <c r="L131" s="6">
        <v>4.7649999999999997</v>
      </c>
      <c r="M131" s="6">
        <v>4.7649999999999997</v>
      </c>
      <c r="N131" s="6">
        <v>4.7649999999999997</v>
      </c>
      <c r="O131" s="6">
        <v>4.7649999999999997</v>
      </c>
      <c r="P131" s="6">
        <v>58</v>
      </c>
      <c r="Q131" s="4" t="s">
        <v>26</v>
      </c>
      <c r="R131" s="4">
        <v>0</v>
      </c>
      <c r="S131" s="6">
        <v>0</v>
      </c>
      <c r="T131" s="6">
        <v>18</v>
      </c>
      <c r="U131" s="6">
        <v>56</v>
      </c>
      <c r="V131" s="6">
        <f>IF(ISERROR(VLOOKUP($S$131,'TAR FIN'!$A$1:$O$88,15,0)),0,VLOOKUP($S$131,'TAR FIN'!$A$1:$O$88,15,0))</f>
        <v>0</v>
      </c>
      <c r="W131" s="6">
        <f>IF(ISERROR(VLOOKUP($T$131,'TAR FIN'!$A$1:$O$88,15,0)),0,VLOOKUP($T$131,'TAR FIN'!$A$1:$O$88,15,0))</f>
        <v>0</v>
      </c>
      <c r="X131" s="6">
        <f>IF(ISERROR(VLOOKUP($U$131,'TAR FIN'!$A$1:$O$88,15,0)),0,VLOOKUP($U$131,'TAR FIN'!$A$1:$O$88,15,0))</f>
        <v>0</v>
      </c>
      <c r="Y131" s="6"/>
      <c r="Z131" s="6">
        <f ca="1">('TUSD BE'!$AM$20+'TUSD BF'!$AM$20+'TUSD CVA'!$AM$20)*1</f>
        <v>493.10070772969505</v>
      </c>
      <c r="AA131" s="6">
        <f>('TE BE'!$AB$11+'TE BF'!$AB$11+'TE CVA'!$AB$11)*1</f>
        <v>290.52986273778561</v>
      </c>
      <c r="AB131" s="6">
        <f>$K$131*$V$131</f>
        <v>0</v>
      </c>
      <c r="AC131" s="6">
        <f>$M$131*$W$131</f>
        <v>0</v>
      </c>
      <c r="AD131" s="6">
        <f>$O$131*$X$131</f>
        <v>0</v>
      </c>
      <c r="AE131" s="6">
        <f>$K$131*$Y$131</f>
        <v>0</v>
      </c>
      <c r="AF131" s="6">
        <f ca="1">$M$131*$Z$131</f>
        <v>2349.6248723319968</v>
      </c>
      <c r="AG131" s="6">
        <f>$O$131*$AA$131</f>
        <v>1384.3747959455484</v>
      </c>
    </row>
    <row r="132" spans="1:33" ht="11.25" customHeight="1" x14ac:dyDescent="0.25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0</v>
      </c>
      <c r="K132" s="6">
        <v>0</v>
      </c>
      <c r="L132" s="6">
        <v>570.91700000000003</v>
      </c>
      <c r="M132" s="6">
        <v>570.91700000000003</v>
      </c>
      <c r="N132" s="6">
        <v>570.91700000000003</v>
      </c>
      <c r="O132" s="6">
        <v>570.91700000000003</v>
      </c>
      <c r="P132" s="6">
        <v>3004</v>
      </c>
      <c r="Q132" s="4" t="s">
        <v>26</v>
      </c>
      <c r="R132" s="4">
        <v>0</v>
      </c>
      <c r="S132" s="6">
        <v>0</v>
      </c>
      <c r="T132" s="6">
        <v>18</v>
      </c>
      <c r="U132" s="6">
        <v>56</v>
      </c>
      <c r="V132" s="6">
        <f>IF(ISERROR(VLOOKUP($S$132,'TAR FIN'!$A$1:$O$88,15,0)),0,VLOOKUP($S$132,'TAR FIN'!$A$1:$O$88,15,0))</f>
        <v>0</v>
      </c>
      <c r="W132" s="6">
        <f>IF(ISERROR(VLOOKUP($T$132,'TAR FIN'!$A$1:$O$88,15,0)),0,VLOOKUP($T$132,'TAR FIN'!$A$1:$O$88,15,0))</f>
        <v>0</v>
      </c>
      <c r="X132" s="6">
        <f>IF(ISERROR(VLOOKUP($U$132,'TAR FIN'!$A$1:$O$88,15,0)),0,VLOOKUP($U$132,'TAR FIN'!$A$1:$O$88,15,0))</f>
        <v>0</v>
      </c>
      <c r="Y132" s="6"/>
      <c r="Z132" s="6">
        <f ca="1">('TUSD BE'!$AM$20+'TUSD BF'!$AM$20+'TUSD CVA'!$AM$20)*1</f>
        <v>493.10070772969505</v>
      </c>
      <c r="AA132" s="6">
        <f>('TE BE'!$AB$11+'TE BF'!$AB$11+'TE CVA'!$AB$11)*1</f>
        <v>290.52986273778561</v>
      </c>
      <c r="AB132" s="6">
        <f>$K$132*$V$132</f>
        <v>0</v>
      </c>
      <c r="AC132" s="6">
        <f>$M$132*$W$132</f>
        <v>0</v>
      </c>
      <c r="AD132" s="6">
        <f>$O$132*$X$132</f>
        <v>0</v>
      </c>
      <c r="AE132" s="6">
        <f>$K$132*$Y$132</f>
        <v>0</v>
      </c>
      <c r="AF132" s="6">
        <f ca="1">$M$132*$Z$132</f>
        <v>281519.57675491431</v>
      </c>
      <c r="AG132" s="6">
        <f>$O$132*$AA$132</f>
        <v>165868.43764466836</v>
      </c>
    </row>
    <row r="133" spans="1:33" ht="11.25" customHeight="1" x14ac:dyDescent="0.25">
      <c r="A133" s="4" t="s">
        <v>27</v>
      </c>
      <c r="B133" s="4" t="s">
        <v>22</v>
      </c>
      <c r="C133" s="4" t="s">
        <v>23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25</v>
      </c>
      <c r="I133" s="5">
        <v>44743</v>
      </c>
      <c r="J133" s="6">
        <v>0</v>
      </c>
      <c r="K133" s="6">
        <v>0</v>
      </c>
      <c r="L133" s="6">
        <v>9.89</v>
      </c>
      <c r="M133" s="6">
        <v>9.89</v>
      </c>
      <c r="N133" s="6">
        <v>9.89</v>
      </c>
      <c r="O133" s="6">
        <v>9.89</v>
      </c>
      <c r="P133" s="6">
        <v>62</v>
      </c>
      <c r="Q133" s="4" t="s">
        <v>26</v>
      </c>
      <c r="R133" s="4">
        <v>0</v>
      </c>
      <c r="S133" s="6">
        <v>0</v>
      </c>
      <c r="T133" s="6">
        <v>18</v>
      </c>
      <c r="U133" s="6">
        <v>56</v>
      </c>
      <c r="V133" s="6">
        <f>IF(ISERROR(VLOOKUP($S$133,'TAR FIN'!$A$1:$O$88,15,0)),0,VLOOKUP($S$133,'TAR FIN'!$A$1:$O$88,15,0))</f>
        <v>0</v>
      </c>
      <c r="W133" s="6">
        <f>IF(ISERROR(VLOOKUP($T$133,'TAR FIN'!$A$1:$O$88,15,0)),0,VLOOKUP($T$133,'TAR FIN'!$A$1:$O$88,15,0))</f>
        <v>0</v>
      </c>
      <c r="X133" s="6">
        <f>IF(ISERROR(VLOOKUP($U$133,'TAR FIN'!$A$1:$O$88,15,0)),0,VLOOKUP($U$133,'TAR FIN'!$A$1:$O$88,15,0))</f>
        <v>0</v>
      </c>
      <c r="Y133" s="6"/>
      <c r="Z133" s="6">
        <f ca="1">('TUSD BE'!$AM$20+'TUSD BF'!$AM$20+'TUSD CVA'!$AM$20)*1</f>
        <v>493.10070772969505</v>
      </c>
      <c r="AA133" s="6">
        <f>('TE BE'!$AB$11+'TE BF'!$AB$11+'TE CVA'!$AB$11)*1</f>
        <v>290.52986273778561</v>
      </c>
      <c r="AB133" s="6">
        <f>$K$133*$V$133</f>
        <v>0</v>
      </c>
      <c r="AC133" s="6">
        <f>$M$133*$W$133</f>
        <v>0</v>
      </c>
      <c r="AD133" s="6">
        <f>$O$133*$X$133</f>
        <v>0</v>
      </c>
      <c r="AE133" s="6">
        <f>$K$133*$Y$133</f>
        <v>0</v>
      </c>
      <c r="AF133" s="6">
        <f ca="1">$M$133*$Z$133</f>
        <v>4876.765999446684</v>
      </c>
      <c r="AG133" s="6">
        <f>$O$133*$AA$133</f>
        <v>2873.3403424766998</v>
      </c>
    </row>
    <row r="134" spans="1:33" ht="11.25" customHeight="1" x14ac:dyDescent="0.25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28</v>
      </c>
      <c r="F134" s="4" t="s">
        <v>25</v>
      </c>
      <c r="G134" s="4" t="s">
        <v>25</v>
      </c>
      <c r="H134" s="4" t="s">
        <v>25</v>
      </c>
      <c r="I134" s="5">
        <v>44409</v>
      </c>
      <c r="J134" s="6">
        <v>0</v>
      </c>
      <c r="K134" s="6">
        <v>0</v>
      </c>
      <c r="L134" s="6">
        <v>10.5</v>
      </c>
      <c r="M134" s="6">
        <v>10.5</v>
      </c>
      <c r="N134" s="6">
        <v>10.5</v>
      </c>
      <c r="O134" s="6">
        <v>10.5</v>
      </c>
      <c r="P134" s="6">
        <v>12</v>
      </c>
      <c r="Q134" s="4" t="s">
        <v>26</v>
      </c>
      <c r="R134" s="4">
        <v>0</v>
      </c>
      <c r="S134" s="6">
        <v>0</v>
      </c>
      <c r="T134" s="6">
        <v>19</v>
      </c>
      <c r="U134" s="6">
        <v>57</v>
      </c>
      <c r="V134" s="6">
        <f>IF(ISERROR(VLOOKUP($S$134,'TAR FIN'!$A$1:$O$88,15,0)),0,VLOOKUP($S$134,'TAR FIN'!$A$1:$O$88,15,0))</f>
        <v>0</v>
      </c>
      <c r="W134" s="6">
        <f>IF(ISERROR(VLOOKUP($T$134,'TAR FIN'!$A$1:$O$88,15,0)),0,VLOOKUP($T$134,'TAR FIN'!$A$1:$O$88,15,0))</f>
        <v>0</v>
      </c>
      <c r="X134" s="6">
        <f>IF(ISERROR(VLOOKUP($U$134,'TAR FIN'!$A$1:$O$88,15,0)),0,VLOOKUP($U$134,'TAR FIN'!$A$1:$O$88,15,0))</f>
        <v>0</v>
      </c>
      <c r="Y134" s="6"/>
      <c r="Z134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34" s="6">
        <f>('TE BE'!$AB$12+'TE BF'!$AB$12+'TE CVA'!$AB$12)*(1-CUSTOS!$M$34)</f>
        <v>101.68545195822496</v>
      </c>
      <c r="AB134" s="6">
        <f>$K$134*$V$134</f>
        <v>0</v>
      </c>
      <c r="AC134" s="6">
        <f>$M$134*$W$134</f>
        <v>0</v>
      </c>
      <c r="AD134" s="6">
        <f>$O$134*$X$134</f>
        <v>0</v>
      </c>
      <c r="AE134" s="6">
        <f>$K$134*$Y$134</f>
        <v>0</v>
      </c>
      <c r="AF134" s="6">
        <f ca="1">$M$134*$Z$134</f>
        <v>1356.9689362979909</v>
      </c>
      <c r="AG134" s="6">
        <f>$O$134*$AA$134</f>
        <v>1067.697245561362</v>
      </c>
    </row>
    <row r="135" spans="1:33" ht="11.25" customHeight="1" x14ac:dyDescent="0.25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28</v>
      </c>
      <c r="F135" s="4" t="s">
        <v>25</v>
      </c>
      <c r="G135" s="4" t="s">
        <v>25</v>
      </c>
      <c r="H135" s="4" t="s">
        <v>25</v>
      </c>
      <c r="I135" s="5">
        <v>44440</v>
      </c>
      <c r="J135" s="6">
        <v>0</v>
      </c>
      <c r="K135" s="6">
        <v>0</v>
      </c>
      <c r="L135" s="6">
        <v>10.35</v>
      </c>
      <c r="M135" s="6">
        <v>10.35</v>
      </c>
      <c r="N135" s="6">
        <v>10.35</v>
      </c>
      <c r="O135" s="6">
        <v>10.35</v>
      </c>
      <c r="P135" s="6">
        <v>12</v>
      </c>
      <c r="Q135" s="4" t="s">
        <v>26</v>
      </c>
      <c r="R135" s="4">
        <v>0</v>
      </c>
      <c r="S135" s="6">
        <v>0</v>
      </c>
      <c r="T135" s="6">
        <v>19</v>
      </c>
      <c r="U135" s="6">
        <v>57</v>
      </c>
      <c r="V135" s="6">
        <f>IF(ISERROR(VLOOKUP($S$135,'TAR FIN'!$A$1:$O$88,15,0)),0,VLOOKUP($S$135,'TAR FIN'!$A$1:$O$88,15,0))</f>
        <v>0</v>
      </c>
      <c r="W135" s="6">
        <f>IF(ISERROR(VLOOKUP($T$135,'TAR FIN'!$A$1:$O$88,15,0)),0,VLOOKUP($T$135,'TAR FIN'!$A$1:$O$88,15,0))</f>
        <v>0</v>
      </c>
      <c r="X135" s="6">
        <f>IF(ISERROR(VLOOKUP($U$135,'TAR FIN'!$A$1:$O$88,15,0)),0,VLOOKUP($U$135,'TAR FIN'!$A$1:$O$88,15,0))</f>
        <v>0</v>
      </c>
      <c r="Y135" s="6"/>
      <c r="Z135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35" s="6">
        <f>('TE BE'!$AB$12+'TE BF'!$AB$12+'TE CVA'!$AB$12)*(1-CUSTOS!$M$34)</f>
        <v>101.68545195822496</v>
      </c>
      <c r="AB135" s="6">
        <f>$K$135*$V$135</f>
        <v>0</v>
      </c>
      <c r="AC135" s="6">
        <f>$M$135*$W$135</f>
        <v>0</v>
      </c>
      <c r="AD135" s="6">
        <f>$O$135*$X$135</f>
        <v>0</v>
      </c>
      <c r="AE135" s="6">
        <f>$K$135*$Y$135</f>
        <v>0</v>
      </c>
      <c r="AF135" s="6">
        <f ca="1">$M$135*$Z$135</f>
        <v>1337.5836657794482</v>
      </c>
      <c r="AG135" s="6">
        <f>$O$135*$AA$135</f>
        <v>1052.4444277676282</v>
      </c>
    </row>
    <row r="136" spans="1:33" ht="11.25" customHeigh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28</v>
      </c>
      <c r="F136" s="4" t="s">
        <v>25</v>
      </c>
      <c r="G136" s="4" t="s">
        <v>25</v>
      </c>
      <c r="H136" s="4" t="s">
        <v>25</v>
      </c>
      <c r="I136" s="5">
        <v>44470</v>
      </c>
      <c r="J136" s="6">
        <v>0</v>
      </c>
      <c r="K136" s="6">
        <v>0</v>
      </c>
      <c r="L136" s="6">
        <v>10.38</v>
      </c>
      <c r="M136" s="6">
        <v>10.38</v>
      </c>
      <c r="N136" s="6">
        <v>10.38</v>
      </c>
      <c r="O136" s="6">
        <v>10.38</v>
      </c>
      <c r="P136" s="6">
        <v>10</v>
      </c>
      <c r="Q136" s="4" t="s">
        <v>26</v>
      </c>
      <c r="R136" s="4">
        <v>0</v>
      </c>
      <c r="S136" s="6">
        <v>0</v>
      </c>
      <c r="T136" s="6">
        <v>19</v>
      </c>
      <c r="U136" s="6">
        <v>57</v>
      </c>
      <c r="V136" s="6">
        <f>IF(ISERROR(VLOOKUP($S$136,'TAR FIN'!$A$1:$O$88,15,0)),0,VLOOKUP($S$136,'TAR FIN'!$A$1:$O$88,15,0))</f>
        <v>0</v>
      </c>
      <c r="W136" s="6">
        <f>IF(ISERROR(VLOOKUP($T$136,'TAR FIN'!$A$1:$O$88,15,0)),0,VLOOKUP($T$136,'TAR FIN'!$A$1:$O$88,15,0))</f>
        <v>0</v>
      </c>
      <c r="X136" s="6">
        <f>IF(ISERROR(VLOOKUP($U$136,'TAR FIN'!$A$1:$O$88,15,0)),0,VLOOKUP($U$136,'TAR FIN'!$A$1:$O$88,15,0))</f>
        <v>0</v>
      </c>
      <c r="Y136" s="6"/>
      <c r="Z136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36" s="6">
        <f>('TE BE'!$AB$12+'TE BF'!$AB$12+'TE CVA'!$AB$12)*(1-CUSTOS!$M$34)</f>
        <v>101.68545195822496</v>
      </c>
      <c r="AB136" s="6">
        <f>$K$136*$V$136</f>
        <v>0</v>
      </c>
      <c r="AC136" s="6">
        <f>$M$136*$W$136</f>
        <v>0</v>
      </c>
      <c r="AD136" s="6">
        <f>$O$136*$X$136</f>
        <v>0</v>
      </c>
      <c r="AE136" s="6">
        <f>$K$136*$Y$136</f>
        <v>0</v>
      </c>
      <c r="AF136" s="6">
        <f ca="1">$M$136*$Z$136</f>
        <v>1341.4607198831568</v>
      </c>
      <c r="AG136" s="6">
        <f>$O$136*$AA$136</f>
        <v>1055.4949913263752</v>
      </c>
    </row>
    <row r="137" spans="1:33" ht="11.25" customHeight="1" x14ac:dyDescent="0.25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28</v>
      </c>
      <c r="F137" s="4" t="s">
        <v>25</v>
      </c>
      <c r="G137" s="4" t="s">
        <v>25</v>
      </c>
      <c r="H137" s="4" t="s">
        <v>25</v>
      </c>
      <c r="I137" s="5">
        <v>44501</v>
      </c>
      <c r="J137" s="6">
        <v>0</v>
      </c>
      <c r="K137" s="6">
        <v>0</v>
      </c>
      <c r="L137" s="6">
        <v>10.59</v>
      </c>
      <c r="M137" s="6">
        <v>10.59</v>
      </c>
      <c r="N137" s="6">
        <v>10.59</v>
      </c>
      <c r="O137" s="6">
        <v>10.59</v>
      </c>
      <c r="P137" s="6">
        <v>10</v>
      </c>
      <c r="Q137" s="4" t="s">
        <v>26</v>
      </c>
      <c r="R137" s="4">
        <v>0</v>
      </c>
      <c r="S137" s="6">
        <v>0</v>
      </c>
      <c r="T137" s="6">
        <v>19</v>
      </c>
      <c r="U137" s="6">
        <v>57</v>
      </c>
      <c r="V137" s="6">
        <f>IF(ISERROR(VLOOKUP($S$137,'TAR FIN'!$A$1:$O$88,15,0)),0,VLOOKUP($S$137,'TAR FIN'!$A$1:$O$88,15,0))</f>
        <v>0</v>
      </c>
      <c r="W137" s="6">
        <f>IF(ISERROR(VLOOKUP($T$137,'TAR FIN'!$A$1:$O$88,15,0)),0,VLOOKUP($T$137,'TAR FIN'!$A$1:$O$88,15,0))</f>
        <v>0</v>
      </c>
      <c r="X137" s="6">
        <f>IF(ISERROR(VLOOKUP($U$137,'TAR FIN'!$A$1:$O$88,15,0)),0,VLOOKUP($U$137,'TAR FIN'!$A$1:$O$88,15,0))</f>
        <v>0</v>
      </c>
      <c r="Y137" s="6"/>
      <c r="Z137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37" s="6">
        <f>('TE BE'!$AB$12+'TE BF'!$AB$12+'TE CVA'!$AB$12)*(1-CUSTOS!$M$34)</f>
        <v>101.68545195822496</v>
      </c>
      <c r="AB137" s="6">
        <f>$K$137*$V$137</f>
        <v>0</v>
      </c>
      <c r="AC137" s="6">
        <f>$M$137*$W$137</f>
        <v>0</v>
      </c>
      <c r="AD137" s="6">
        <f>$O$137*$X$137</f>
        <v>0</v>
      </c>
      <c r="AE137" s="6">
        <f>$K$137*$Y$137</f>
        <v>0</v>
      </c>
      <c r="AF137" s="6">
        <f ca="1">$M$137*$Z$137</f>
        <v>1368.6000986091167</v>
      </c>
      <c r="AG137" s="6">
        <f>$O$137*$AA$137</f>
        <v>1076.8489362376024</v>
      </c>
    </row>
    <row r="138" spans="1:33" ht="11.25" customHeight="1" x14ac:dyDescent="0.25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28</v>
      </c>
      <c r="F138" s="4" t="s">
        <v>25</v>
      </c>
      <c r="G138" s="4" t="s">
        <v>25</v>
      </c>
      <c r="H138" s="4" t="s">
        <v>25</v>
      </c>
      <c r="I138" s="5">
        <v>44531</v>
      </c>
      <c r="J138" s="6">
        <v>0</v>
      </c>
      <c r="K138" s="6">
        <v>0</v>
      </c>
      <c r="L138" s="6">
        <v>10.74</v>
      </c>
      <c r="M138" s="6">
        <v>10.74</v>
      </c>
      <c r="N138" s="6">
        <v>10.74</v>
      </c>
      <c r="O138" s="6">
        <v>10.74</v>
      </c>
      <c r="P138" s="6">
        <v>6</v>
      </c>
      <c r="Q138" s="4" t="s">
        <v>26</v>
      </c>
      <c r="R138" s="4">
        <v>0</v>
      </c>
      <c r="S138" s="6">
        <v>0</v>
      </c>
      <c r="T138" s="6">
        <v>19</v>
      </c>
      <c r="U138" s="6">
        <v>57</v>
      </c>
      <c r="V138" s="6">
        <f>IF(ISERROR(VLOOKUP($S$138,'TAR FIN'!$A$1:$O$88,15,0)),0,VLOOKUP($S$138,'TAR FIN'!$A$1:$O$88,15,0))</f>
        <v>0</v>
      </c>
      <c r="W138" s="6">
        <f>IF(ISERROR(VLOOKUP($T$138,'TAR FIN'!$A$1:$O$88,15,0)),0,VLOOKUP($T$138,'TAR FIN'!$A$1:$O$88,15,0))</f>
        <v>0</v>
      </c>
      <c r="X138" s="6">
        <f>IF(ISERROR(VLOOKUP($U$138,'TAR FIN'!$A$1:$O$88,15,0)),0,VLOOKUP($U$138,'TAR FIN'!$A$1:$O$88,15,0))</f>
        <v>0</v>
      </c>
      <c r="Y138" s="6"/>
      <c r="Z138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38" s="6">
        <f>('TE BE'!$AB$12+'TE BF'!$AB$12+'TE CVA'!$AB$12)*(1-CUSTOS!$M$34)</f>
        <v>101.68545195822496</v>
      </c>
      <c r="AB138" s="6">
        <f>$K$138*$V$138</f>
        <v>0</v>
      </c>
      <c r="AC138" s="6">
        <f>$M$138*$W$138</f>
        <v>0</v>
      </c>
      <c r="AD138" s="6">
        <f>$O$138*$X$138</f>
        <v>0</v>
      </c>
      <c r="AE138" s="6">
        <f>$K$138*$Y$138</f>
        <v>0</v>
      </c>
      <c r="AF138" s="6">
        <f ca="1">$M$138*$Z$138</f>
        <v>1387.9853691276594</v>
      </c>
      <c r="AG138" s="6">
        <f>$O$138*$AA$138</f>
        <v>1092.101754031336</v>
      </c>
    </row>
    <row r="139" spans="1:33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28</v>
      </c>
      <c r="F139" s="4" t="s">
        <v>25</v>
      </c>
      <c r="G139" s="4" t="s">
        <v>25</v>
      </c>
      <c r="H139" s="4" t="s">
        <v>25</v>
      </c>
      <c r="I139" s="5">
        <v>44562</v>
      </c>
      <c r="J139" s="6">
        <v>0</v>
      </c>
      <c r="K139" s="6">
        <v>0</v>
      </c>
      <c r="L139" s="6">
        <v>10.8</v>
      </c>
      <c r="M139" s="6">
        <v>10.8</v>
      </c>
      <c r="N139" s="6">
        <v>10.8</v>
      </c>
      <c r="O139" s="6">
        <v>10.8</v>
      </c>
      <c r="P139" s="6">
        <v>9</v>
      </c>
      <c r="Q139" s="4" t="s">
        <v>26</v>
      </c>
      <c r="R139" s="4">
        <v>0</v>
      </c>
      <c r="S139" s="6">
        <v>0</v>
      </c>
      <c r="T139" s="6">
        <v>19</v>
      </c>
      <c r="U139" s="6">
        <v>57</v>
      </c>
      <c r="V139" s="6">
        <f>IF(ISERROR(VLOOKUP($S$139,'TAR FIN'!$A$1:$O$88,15,0)),0,VLOOKUP($S$139,'TAR FIN'!$A$1:$O$88,15,0))</f>
        <v>0</v>
      </c>
      <c r="W139" s="6">
        <f>IF(ISERROR(VLOOKUP($T$139,'TAR FIN'!$A$1:$O$88,15,0)),0,VLOOKUP($T$139,'TAR FIN'!$A$1:$O$88,15,0))</f>
        <v>0</v>
      </c>
      <c r="X139" s="6">
        <f>IF(ISERROR(VLOOKUP($U$139,'TAR FIN'!$A$1:$O$88,15,0)),0,VLOOKUP($U$139,'TAR FIN'!$A$1:$O$88,15,0))</f>
        <v>0</v>
      </c>
      <c r="Y139" s="6"/>
      <c r="Z139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39" s="6">
        <f>('TE BE'!$AB$12+'TE BF'!$AB$12+'TE CVA'!$AB$12)*(1-CUSTOS!$M$34)</f>
        <v>101.68545195822496</v>
      </c>
      <c r="AB139" s="6">
        <f>$K$139*$V$139</f>
        <v>0</v>
      </c>
      <c r="AC139" s="6">
        <f>$M$139*$W$139</f>
        <v>0</v>
      </c>
      <c r="AD139" s="6">
        <f>$O$139*$X$139</f>
        <v>0</v>
      </c>
      <c r="AE139" s="6">
        <f>$K$139*$Y$139</f>
        <v>0</v>
      </c>
      <c r="AF139" s="6">
        <f ca="1">$M$139*$Z$139</f>
        <v>1395.7394773350766</v>
      </c>
      <c r="AG139" s="6">
        <f>$O$139*$AA$139</f>
        <v>1098.2028811488296</v>
      </c>
    </row>
    <row r="140" spans="1:33" ht="11.25" customHeight="1" x14ac:dyDescent="0.25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28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0</v>
      </c>
      <c r="K140" s="6">
        <v>0</v>
      </c>
      <c r="L140" s="6">
        <v>10.8</v>
      </c>
      <c r="M140" s="6">
        <v>10.8</v>
      </c>
      <c r="N140" s="6">
        <v>10.8</v>
      </c>
      <c r="O140" s="6">
        <v>10.8</v>
      </c>
      <c r="P140" s="6">
        <v>7</v>
      </c>
      <c r="Q140" s="4" t="s">
        <v>26</v>
      </c>
      <c r="R140" s="4">
        <v>0</v>
      </c>
      <c r="S140" s="6">
        <v>0</v>
      </c>
      <c r="T140" s="6">
        <v>19</v>
      </c>
      <c r="U140" s="6">
        <v>57</v>
      </c>
      <c r="V140" s="6">
        <f>IF(ISERROR(VLOOKUP($S$140,'TAR FIN'!$A$1:$O$88,15,0)),0,VLOOKUP($S$140,'TAR FIN'!$A$1:$O$88,15,0))</f>
        <v>0</v>
      </c>
      <c r="W140" s="6">
        <f>IF(ISERROR(VLOOKUP($T$140,'TAR FIN'!$A$1:$O$88,15,0)),0,VLOOKUP($T$140,'TAR FIN'!$A$1:$O$88,15,0))</f>
        <v>0</v>
      </c>
      <c r="X140" s="6">
        <f>IF(ISERROR(VLOOKUP($U$140,'TAR FIN'!$A$1:$O$88,15,0)),0,VLOOKUP($U$140,'TAR FIN'!$A$1:$O$88,15,0))</f>
        <v>0</v>
      </c>
      <c r="Y140" s="6"/>
      <c r="Z140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40" s="6">
        <f>('TE BE'!$AB$12+'TE BF'!$AB$12+'TE CVA'!$AB$12)*(1-CUSTOS!$M$34)</f>
        <v>101.68545195822496</v>
      </c>
      <c r="AB140" s="6">
        <f>$K$140*$V$140</f>
        <v>0</v>
      </c>
      <c r="AC140" s="6">
        <f>$M$140*$W$140</f>
        <v>0</v>
      </c>
      <c r="AD140" s="6">
        <f>$O$140*$X$140</f>
        <v>0</v>
      </c>
      <c r="AE140" s="6">
        <f>$K$140*$Y$140</f>
        <v>0</v>
      </c>
      <c r="AF140" s="6">
        <f ca="1">$M$140*$Z$140</f>
        <v>1395.7394773350766</v>
      </c>
      <c r="AG140" s="6">
        <f>$O$140*$AA$140</f>
        <v>1098.2028811488296</v>
      </c>
    </row>
    <row r="141" spans="1:33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28</v>
      </c>
      <c r="F141" s="4" t="s">
        <v>25</v>
      </c>
      <c r="G141" s="4" t="s">
        <v>25</v>
      </c>
      <c r="H141" s="4" t="s">
        <v>25</v>
      </c>
      <c r="I141" s="5">
        <v>44621</v>
      </c>
      <c r="J141" s="6">
        <v>0</v>
      </c>
      <c r="K141" s="6">
        <v>0</v>
      </c>
      <c r="L141" s="6">
        <v>10.92</v>
      </c>
      <c r="M141" s="6">
        <v>10.92</v>
      </c>
      <c r="N141" s="6">
        <v>10.92</v>
      </c>
      <c r="O141" s="6">
        <v>10.92</v>
      </c>
      <c r="P141" s="6">
        <v>8</v>
      </c>
      <c r="Q141" s="4" t="s">
        <v>26</v>
      </c>
      <c r="R141" s="4">
        <v>0</v>
      </c>
      <c r="S141" s="6">
        <v>0</v>
      </c>
      <c r="T141" s="6">
        <v>19</v>
      </c>
      <c r="U141" s="6">
        <v>57</v>
      </c>
      <c r="V141" s="6">
        <f>IF(ISERROR(VLOOKUP($S$141,'TAR FIN'!$A$1:$O$88,15,0)),0,VLOOKUP($S$141,'TAR FIN'!$A$1:$O$88,15,0))</f>
        <v>0</v>
      </c>
      <c r="W141" s="6">
        <f>IF(ISERROR(VLOOKUP($T$141,'TAR FIN'!$A$1:$O$88,15,0)),0,VLOOKUP($T$141,'TAR FIN'!$A$1:$O$88,15,0))</f>
        <v>0</v>
      </c>
      <c r="X141" s="6">
        <f>IF(ISERROR(VLOOKUP($U$141,'TAR FIN'!$A$1:$O$88,15,0)),0,VLOOKUP($U$141,'TAR FIN'!$A$1:$O$88,15,0))</f>
        <v>0</v>
      </c>
      <c r="Y141" s="6"/>
      <c r="Z141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41" s="6">
        <f>('TE BE'!$AB$12+'TE BF'!$AB$12+'TE CVA'!$AB$12)*(1-CUSTOS!$M$34)</f>
        <v>101.68545195822496</v>
      </c>
      <c r="AB141" s="6">
        <f>$K$141*$V$141</f>
        <v>0</v>
      </c>
      <c r="AC141" s="6">
        <f>$M$141*$W$141</f>
        <v>0</v>
      </c>
      <c r="AD141" s="6">
        <f>$O$141*$X$141</f>
        <v>0</v>
      </c>
      <c r="AE141" s="6">
        <f>$K$141*$Y$141</f>
        <v>0</v>
      </c>
      <c r="AF141" s="6">
        <f ca="1">$M$141*$Z$141</f>
        <v>1411.2476937499107</v>
      </c>
      <c r="AG141" s="6">
        <f>$O$141*$AA$141</f>
        <v>1110.4051353838165</v>
      </c>
    </row>
    <row r="142" spans="1:33" ht="11.25" customHeight="1" x14ac:dyDescent="0.25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28</v>
      </c>
      <c r="F142" s="4" t="s">
        <v>25</v>
      </c>
      <c r="G142" s="4" t="s">
        <v>25</v>
      </c>
      <c r="H142" s="4" t="s">
        <v>25</v>
      </c>
      <c r="I142" s="5">
        <v>44652</v>
      </c>
      <c r="J142" s="6">
        <v>0</v>
      </c>
      <c r="K142" s="6">
        <v>0</v>
      </c>
      <c r="L142" s="6">
        <v>11.13</v>
      </c>
      <c r="M142" s="6">
        <v>11.13</v>
      </c>
      <c r="N142" s="6">
        <v>11.13</v>
      </c>
      <c r="O142" s="6">
        <v>11.13</v>
      </c>
      <c r="P142" s="6">
        <v>9</v>
      </c>
      <c r="Q142" s="4" t="s">
        <v>26</v>
      </c>
      <c r="R142" s="4">
        <v>0</v>
      </c>
      <c r="S142" s="6">
        <v>0</v>
      </c>
      <c r="T142" s="6">
        <v>19</v>
      </c>
      <c r="U142" s="6">
        <v>57</v>
      </c>
      <c r="V142" s="6">
        <f>IF(ISERROR(VLOOKUP($S$142,'TAR FIN'!$A$1:$O$88,15,0)),0,VLOOKUP($S$142,'TAR FIN'!$A$1:$O$88,15,0))</f>
        <v>0</v>
      </c>
      <c r="W142" s="6">
        <f>IF(ISERROR(VLOOKUP($T$142,'TAR FIN'!$A$1:$O$88,15,0)),0,VLOOKUP($T$142,'TAR FIN'!$A$1:$O$88,15,0))</f>
        <v>0</v>
      </c>
      <c r="X142" s="6">
        <f>IF(ISERROR(VLOOKUP($U$142,'TAR FIN'!$A$1:$O$88,15,0)),0,VLOOKUP($U$142,'TAR FIN'!$A$1:$O$88,15,0))</f>
        <v>0</v>
      </c>
      <c r="Y142" s="6"/>
      <c r="Z142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42" s="6">
        <f>('TE BE'!$AB$12+'TE BF'!$AB$12+'TE CVA'!$AB$12)*(1-CUSTOS!$M$34)</f>
        <v>101.68545195822496</v>
      </c>
      <c r="AB142" s="6">
        <f>$K$142*$V$142</f>
        <v>0</v>
      </c>
      <c r="AC142" s="6">
        <f>$M$142*$W$142</f>
        <v>0</v>
      </c>
      <c r="AD142" s="6">
        <f>$O$142*$X$142</f>
        <v>0</v>
      </c>
      <c r="AE142" s="6">
        <f>$K$142*$Y$142</f>
        <v>0</v>
      </c>
      <c r="AF142" s="6">
        <f ca="1">$M$142*$Z$142</f>
        <v>1438.3870724758706</v>
      </c>
      <c r="AG142" s="6">
        <f>$O$142*$AA$142</f>
        <v>1131.759080295044</v>
      </c>
    </row>
    <row r="143" spans="1:33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28</v>
      </c>
      <c r="F143" s="4" t="s">
        <v>25</v>
      </c>
      <c r="G143" s="4" t="s">
        <v>25</v>
      </c>
      <c r="H143" s="4" t="s">
        <v>25</v>
      </c>
      <c r="I143" s="5">
        <v>44682</v>
      </c>
      <c r="J143" s="6">
        <v>0</v>
      </c>
      <c r="K143" s="6">
        <v>0</v>
      </c>
      <c r="L143" s="6">
        <v>11.34</v>
      </c>
      <c r="M143" s="6">
        <v>11.34</v>
      </c>
      <c r="N143" s="6">
        <v>11.34</v>
      </c>
      <c r="O143" s="6">
        <v>11.34</v>
      </c>
      <c r="P143" s="6">
        <v>10</v>
      </c>
      <c r="Q143" s="4" t="s">
        <v>26</v>
      </c>
      <c r="R143" s="4">
        <v>0</v>
      </c>
      <c r="S143" s="6">
        <v>0</v>
      </c>
      <c r="T143" s="6">
        <v>19</v>
      </c>
      <c r="U143" s="6">
        <v>57</v>
      </c>
      <c r="V143" s="6">
        <f>IF(ISERROR(VLOOKUP($S$143,'TAR FIN'!$A$1:$O$88,15,0)),0,VLOOKUP($S$143,'TAR FIN'!$A$1:$O$88,15,0))</f>
        <v>0</v>
      </c>
      <c r="W143" s="6">
        <f>IF(ISERROR(VLOOKUP($T$143,'TAR FIN'!$A$1:$O$88,15,0)),0,VLOOKUP($T$143,'TAR FIN'!$A$1:$O$88,15,0))</f>
        <v>0</v>
      </c>
      <c r="X143" s="6">
        <f>IF(ISERROR(VLOOKUP($U$143,'TAR FIN'!$A$1:$O$88,15,0)),0,VLOOKUP($U$143,'TAR FIN'!$A$1:$O$88,15,0))</f>
        <v>0</v>
      </c>
      <c r="Y143" s="6"/>
      <c r="Z143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43" s="6">
        <f>('TE BE'!$AB$12+'TE BF'!$AB$12+'TE CVA'!$AB$12)*(1-CUSTOS!$M$34)</f>
        <v>101.68545195822496</v>
      </c>
      <c r="AB143" s="6">
        <f>$K$143*$V$143</f>
        <v>0</v>
      </c>
      <c r="AC143" s="6">
        <f>$M$143*$W$143</f>
        <v>0</v>
      </c>
      <c r="AD143" s="6">
        <f>$O$143*$X$143</f>
        <v>0</v>
      </c>
      <c r="AE143" s="6">
        <f>$K$143*$Y$143</f>
        <v>0</v>
      </c>
      <c r="AF143" s="6">
        <f ca="1">$M$143*$Z$143</f>
        <v>1465.5264512018302</v>
      </c>
      <c r="AG143" s="6">
        <f>$O$143*$AA$143</f>
        <v>1153.113025206271</v>
      </c>
    </row>
    <row r="144" spans="1:33" ht="11.25" customHeight="1" x14ac:dyDescent="0.25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28</v>
      </c>
      <c r="F144" s="4" t="s">
        <v>25</v>
      </c>
      <c r="G144" s="4" t="s">
        <v>25</v>
      </c>
      <c r="H144" s="4" t="s">
        <v>25</v>
      </c>
      <c r="I144" s="5">
        <v>44713</v>
      </c>
      <c r="J144" s="6">
        <v>0</v>
      </c>
      <c r="K144" s="6">
        <v>0</v>
      </c>
      <c r="L144" s="6">
        <v>9.99</v>
      </c>
      <c r="M144" s="6">
        <v>9.99</v>
      </c>
      <c r="N144" s="6">
        <v>9.99</v>
      </c>
      <c r="O144" s="6">
        <v>9.99</v>
      </c>
      <c r="P144" s="6">
        <v>5</v>
      </c>
      <c r="Q144" s="4" t="s">
        <v>26</v>
      </c>
      <c r="R144" s="4">
        <v>0</v>
      </c>
      <c r="S144" s="6">
        <v>0</v>
      </c>
      <c r="T144" s="6">
        <v>19</v>
      </c>
      <c r="U144" s="6">
        <v>57</v>
      </c>
      <c r="V144" s="6">
        <f>IF(ISERROR(VLOOKUP($S$144,'TAR FIN'!$A$1:$O$88,15,0)),0,VLOOKUP($S$144,'TAR FIN'!$A$1:$O$88,15,0))</f>
        <v>0</v>
      </c>
      <c r="W144" s="6">
        <f>IF(ISERROR(VLOOKUP($T$144,'TAR FIN'!$A$1:$O$88,15,0)),0,VLOOKUP($T$144,'TAR FIN'!$A$1:$O$88,15,0))</f>
        <v>0</v>
      </c>
      <c r="X144" s="6">
        <f>IF(ISERROR(VLOOKUP($U$144,'TAR FIN'!$A$1:$O$88,15,0)),0,VLOOKUP($U$144,'TAR FIN'!$A$1:$O$88,15,0))</f>
        <v>0</v>
      </c>
      <c r="Y144" s="6"/>
      <c r="Z144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44" s="6">
        <f>('TE BE'!$AB$12+'TE BF'!$AB$12+'TE CVA'!$AB$12)*(1-CUSTOS!$M$34)</f>
        <v>101.68545195822496</v>
      </c>
      <c r="AB144" s="6">
        <f>$K$144*$V$144</f>
        <v>0</v>
      </c>
      <c r="AC144" s="6">
        <f>$M$144*$W$144</f>
        <v>0</v>
      </c>
      <c r="AD144" s="6">
        <f>$O$144*$X$144</f>
        <v>0</v>
      </c>
      <c r="AE144" s="6">
        <f>$K$144*$Y$144</f>
        <v>0</v>
      </c>
      <c r="AF144" s="6">
        <f ca="1">$M$144*$Z$144</f>
        <v>1291.0590165349458</v>
      </c>
      <c r="AG144" s="6">
        <f>$O$144*$AA$144</f>
        <v>1015.8376650626674</v>
      </c>
    </row>
    <row r="145" spans="1:33" ht="11.25" customHeight="1" x14ac:dyDescent="0.25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28</v>
      </c>
      <c r="F145" s="4" t="s">
        <v>25</v>
      </c>
      <c r="G145" s="4" t="s">
        <v>25</v>
      </c>
      <c r="H145" s="4" t="s">
        <v>25</v>
      </c>
      <c r="I145" s="5">
        <v>44743</v>
      </c>
      <c r="J145" s="6">
        <v>0</v>
      </c>
      <c r="K145" s="6">
        <v>0</v>
      </c>
      <c r="L145" s="6">
        <v>9.8699999999999992</v>
      </c>
      <c r="M145" s="6">
        <v>9.8699999999999992</v>
      </c>
      <c r="N145" s="6">
        <v>9.8699999999999992</v>
      </c>
      <c r="O145" s="6">
        <v>9.8699999999999992</v>
      </c>
      <c r="P145" s="6">
        <v>7</v>
      </c>
      <c r="Q145" s="4" t="s">
        <v>26</v>
      </c>
      <c r="R145" s="4">
        <v>0</v>
      </c>
      <c r="S145" s="6">
        <v>0</v>
      </c>
      <c r="T145" s="6">
        <v>19</v>
      </c>
      <c r="U145" s="6">
        <v>57</v>
      </c>
      <c r="V145" s="6">
        <f>IF(ISERROR(VLOOKUP($S$145,'TAR FIN'!$A$1:$O$88,15,0)),0,VLOOKUP($S$145,'TAR FIN'!$A$1:$O$88,15,0))</f>
        <v>0</v>
      </c>
      <c r="W145" s="6">
        <f>IF(ISERROR(VLOOKUP($T$145,'TAR FIN'!$A$1:$O$88,15,0)),0,VLOOKUP($T$145,'TAR FIN'!$A$1:$O$88,15,0))</f>
        <v>0</v>
      </c>
      <c r="X145" s="6">
        <f>IF(ISERROR(VLOOKUP($U$145,'TAR FIN'!$A$1:$O$88,15,0)),0,VLOOKUP($U$145,'TAR FIN'!$A$1:$O$88,15,0))</f>
        <v>0</v>
      </c>
      <c r="Y145" s="6"/>
      <c r="Z145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145" s="6">
        <f>('TE BE'!$AB$12+'TE BF'!$AB$12+'TE CVA'!$AB$12)*(1-CUSTOS!$M$34)</f>
        <v>101.68545195822496</v>
      </c>
      <c r="AB145" s="6">
        <f>$K$145*$V$145</f>
        <v>0</v>
      </c>
      <c r="AC145" s="6">
        <f>$M$145*$W$145</f>
        <v>0</v>
      </c>
      <c r="AD145" s="6">
        <f>$O$145*$X$145</f>
        <v>0</v>
      </c>
      <c r="AE145" s="6">
        <f>$K$145*$Y$145</f>
        <v>0</v>
      </c>
      <c r="AF145" s="6">
        <f ca="1">$M$145*$Z$145</f>
        <v>1275.5508001201115</v>
      </c>
      <c r="AG145" s="6">
        <f>$O$145*$AA$145</f>
        <v>1003.6354108276803</v>
      </c>
    </row>
    <row r="146" spans="1:3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29</v>
      </c>
      <c r="F146" s="4" t="s">
        <v>25</v>
      </c>
      <c r="G146" s="4" t="s">
        <v>25</v>
      </c>
      <c r="H146" s="4" t="s">
        <v>25</v>
      </c>
      <c r="I146" s="5">
        <v>44409</v>
      </c>
      <c r="J146" s="6">
        <v>0</v>
      </c>
      <c r="K146" s="6">
        <v>0</v>
      </c>
      <c r="L146" s="6">
        <v>21.623999999999999</v>
      </c>
      <c r="M146" s="6">
        <v>21.623999999999999</v>
      </c>
      <c r="N146" s="6">
        <v>21.623999999999999</v>
      </c>
      <c r="O146" s="6">
        <v>21.623999999999999</v>
      </c>
      <c r="P146" s="6">
        <v>60</v>
      </c>
      <c r="Q146" s="4" t="s">
        <v>26</v>
      </c>
      <c r="R146" s="4">
        <v>0</v>
      </c>
      <c r="S146" s="6">
        <v>0</v>
      </c>
      <c r="T146" s="6">
        <v>20</v>
      </c>
      <c r="U146" s="6">
        <v>58</v>
      </c>
      <c r="V146" s="6">
        <f>IF(ISERROR(VLOOKUP($S$146,'TAR FIN'!$A$1:$O$88,15,0)),0,VLOOKUP($S$146,'TAR FIN'!$A$1:$O$88,15,0))</f>
        <v>0</v>
      </c>
      <c r="W146" s="6">
        <f>IF(ISERROR(VLOOKUP($T$146,'TAR FIN'!$A$1:$O$88,15,0)),0,VLOOKUP($T$146,'TAR FIN'!$A$1:$O$88,15,0))</f>
        <v>0</v>
      </c>
      <c r="X146" s="6">
        <f>IF(ISERROR(VLOOKUP($U$146,'TAR FIN'!$A$1:$O$88,15,0)),0,VLOOKUP($U$146,'TAR FIN'!$A$1:$O$88,15,0))</f>
        <v>0</v>
      </c>
      <c r="Y146" s="6"/>
      <c r="Z146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46" s="6">
        <f>('TE BE'!$AB$13+'TE BF'!$AB$13+'TE CVA'!$AB$13)*(1-CUSTOS!$M$35)</f>
        <v>174.31791764267135</v>
      </c>
      <c r="AB146" s="6">
        <f>$K$146*$V$146</f>
        <v>0</v>
      </c>
      <c r="AC146" s="6">
        <f>$M$146*$W$146</f>
        <v>0</v>
      </c>
      <c r="AD146" s="6">
        <f>$O$146*$X$146</f>
        <v>0</v>
      </c>
      <c r="AE146" s="6">
        <f>$K$146*$Y$146</f>
        <v>0</v>
      </c>
      <c r="AF146" s="6">
        <f ca="1">$M$146*$Z$146</f>
        <v>4790.7095964910623</v>
      </c>
      <c r="AG146" s="6">
        <f>$O$146*$AA$146</f>
        <v>3769.450651105125</v>
      </c>
    </row>
    <row r="147" spans="1:33" ht="11.25" customHeight="1" x14ac:dyDescent="0.25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29</v>
      </c>
      <c r="F147" s="4" t="s">
        <v>25</v>
      </c>
      <c r="G147" s="4" t="s">
        <v>25</v>
      </c>
      <c r="H147" s="4" t="s">
        <v>25</v>
      </c>
      <c r="I147" s="5">
        <v>44440</v>
      </c>
      <c r="J147" s="6">
        <v>0</v>
      </c>
      <c r="K147" s="6">
        <v>0</v>
      </c>
      <c r="L147" s="6">
        <v>21.747</v>
      </c>
      <c r="M147" s="6">
        <v>21.747</v>
      </c>
      <c r="N147" s="6">
        <v>21.747</v>
      </c>
      <c r="O147" s="6">
        <v>21.747</v>
      </c>
      <c r="P147" s="6">
        <v>56</v>
      </c>
      <c r="Q147" s="4" t="s">
        <v>26</v>
      </c>
      <c r="R147" s="4">
        <v>0</v>
      </c>
      <c r="S147" s="6">
        <v>0</v>
      </c>
      <c r="T147" s="6">
        <v>20</v>
      </c>
      <c r="U147" s="6">
        <v>58</v>
      </c>
      <c r="V147" s="6">
        <f>IF(ISERROR(VLOOKUP($S$147,'TAR FIN'!$A$1:$O$88,15,0)),0,VLOOKUP($S$147,'TAR FIN'!$A$1:$O$88,15,0))</f>
        <v>0</v>
      </c>
      <c r="W147" s="6">
        <f>IF(ISERROR(VLOOKUP($T$147,'TAR FIN'!$A$1:$O$88,15,0)),0,VLOOKUP($T$147,'TAR FIN'!$A$1:$O$88,15,0))</f>
        <v>0</v>
      </c>
      <c r="X147" s="6">
        <f>IF(ISERROR(VLOOKUP($U$147,'TAR FIN'!$A$1:$O$88,15,0)),0,VLOOKUP($U$147,'TAR FIN'!$A$1:$O$88,15,0))</f>
        <v>0</v>
      </c>
      <c r="Y147" s="6"/>
      <c r="Z147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47" s="6">
        <f>('TE BE'!$AB$13+'TE BF'!$AB$13+'TE CVA'!$AB$13)*(1-CUSTOS!$M$35)</f>
        <v>174.31791764267135</v>
      </c>
      <c r="AB147" s="6">
        <f>$K$147*$V$147</f>
        <v>0</v>
      </c>
      <c r="AC147" s="6">
        <f>$M$147*$W$147</f>
        <v>0</v>
      </c>
      <c r="AD147" s="6">
        <f>$O$147*$X$147</f>
        <v>0</v>
      </c>
      <c r="AE147" s="6">
        <f>$K$147*$Y$147</f>
        <v>0</v>
      </c>
      <c r="AF147" s="6">
        <f ca="1">$M$147*$Z$147</f>
        <v>4817.9597481914134</v>
      </c>
      <c r="AG147" s="6">
        <f>$O$147*$AA$147</f>
        <v>3790.8917549751736</v>
      </c>
    </row>
    <row r="148" spans="1:33" ht="11.25" customHeight="1" x14ac:dyDescent="0.25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29</v>
      </c>
      <c r="F148" s="4" t="s">
        <v>25</v>
      </c>
      <c r="G148" s="4" t="s">
        <v>25</v>
      </c>
      <c r="H148" s="4" t="s">
        <v>25</v>
      </c>
      <c r="I148" s="5">
        <v>44470</v>
      </c>
      <c r="J148" s="6">
        <v>0</v>
      </c>
      <c r="K148" s="6">
        <v>0</v>
      </c>
      <c r="L148" s="6">
        <v>22.292000000000002</v>
      </c>
      <c r="M148" s="6">
        <v>22.292000000000002</v>
      </c>
      <c r="N148" s="6">
        <v>22.292000000000002</v>
      </c>
      <c r="O148" s="6">
        <v>22.292000000000002</v>
      </c>
      <c r="P148" s="6">
        <v>46</v>
      </c>
      <c r="Q148" s="4" t="s">
        <v>26</v>
      </c>
      <c r="R148" s="4">
        <v>0</v>
      </c>
      <c r="S148" s="6">
        <v>0</v>
      </c>
      <c r="T148" s="6">
        <v>20</v>
      </c>
      <c r="U148" s="6">
        <v>58</v>
      </c>
      <c r="V148" s="6">
        <f>IF(ISERROR(VLOOKUP($S$148,'TAR FIN'!$A$1:$O$88,15,0)),0,VLOOKUP($S$148,'TAR FIN'!$A$1:$O$88,15,0))</f>
        <v>0</v>
      </c>
      <c r="W148" s="6">
        <f>IF(ISERROR(VLOOKUP($T$148,'TAR FIN'!$A$1:$O$88,15,0)),0,VLOOKUP($T$148,'TAR FIN'!$A$1:$O$88,15,0))</f>
        <v>0</v>
      </c>
      <c r="X148" s="6">
        <f>IF(ISERROR(VLOOKUP($U$148,'TAR FIN'!$A$1:$O$88,15,0)),0,VLOOKUP($U$148,'TAR FIN'!$A$1:$O$88,15,0))</f>
        <v>0</v>
      </c>
      <c r="Y148" s="6"/>
      <c r="Z148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48" s="6">
        <f>('TE BE'!$AB$13+'TE BF'!$AB$13+'TE CVA'!$AB$13)*(1-CUSTOS!$M$35)</f>
        <v>174.31791764267135</v>
      </c>
      <c r="AB148" s="6">
        <f>$K$148*$V$148</f>
        <v>0</v>
      </c>
      <c r="AC148" s="6">
        <f>$M$148*$W$148</f>
        <v>0</v>
      </c>
      <c r="AD148" s="6">
        <f>$O$148*$X$148</f>
        <v>0</v>
      </c>
      <c r="AE148" s="6">
        <f>$K$148*$Y$148</f>
        <v>0</v>
      </c>
      <c r="AF148" s="6">
        <f ca="1">$M$148*$Z$148</f>
        <v>4938.7022902783374</v>
      </c>
      <c r="AG148" s="6">
        <f>$O$148*$AA$148</f>
        <v>3885.8950200904301</v>
      </c>
    </row>
    <row r="149" spans="1:33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29</v>
      </c>
      <c r="F149" s="4" t="s">
        <v>25</v>
      </c>
      <c r="G149" s="4" t="s">
        <v>25</v>
      </c>
      <c r="H149" s="4" t="s">
        <v>25</v>
      </c>
      <c r="I149" s="5">
        <v>44501</v>
      </c>
      <c r="J149" s="6">
        <v>0</v>
      </c>
      <c r="K149" s="6">
        <v>0</v>
      </c>
      <c r="L149" s="6">
        <v>22.673999999999999</v>
      </c>
      <c r="M149" s="6">
        <v>22.673999999999999</v>
      </c>
      <c r="N149" s="6">
        <v>22.673999999999999</v>
      </c>
      <c r="O149" s="6">
        <v>22.673999999999999</v>
      </c>
      <c r="P149" s="6">
        <v>52</v>
      </c>
      <c r="Q149" s="4" t="s">
        <v>26</v>
      </c>
      <c r="R149" s="4">
        <v>0</v>
      </c>
      <c r="S149" s="6">
        <v>0</v>
      </c>
      <c r="T149" s="6">
        <v>20</v>
      </c>
      <c r="U149" s="6">
        <v>58</v>
      </c>
      <c r="V149" s="6">
        <f>IF(ISERROR(VLOOKUP($S$149,'TAR FIN'!$A$1:$O$88,15,0)),0,VLOOKUP($S$149,'TAR FIN'!$A$1:$O$88,15,0))</f>
        <v>0</v>
      </c>
      <c r="W149" s="6">
        <f>IF(ISERROR(VLOOKUP($T$149,'TAR FIN'!$A$1:$O$88,15,0)),0,VLOOKUP($T$149,'TAR FIN'!$A$1:$O$88,15,0))</f>
        <v>0</v>
      </c>
      <c r="X149" s="6">
        <f>IF(ISERROR(VLOOKUP($U$149,'TAR FIN'!$A$1:$O$88,15,0)),0,VLOOKUP($U$149,'TAR FIN'!$A$1:$O$88,15,0))</f>
        <v>0</v>
      </c>
      <c r="Y149" s="6"/>
      <c r="Z149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49" s="6">
        <f>('TE BE'!$AB$13+'TE BF'!$AB$13+'TE CVA'!$AB$13)*(1-CUSTOS!$M$35)</f>
        <v>174.31791764267135</v>
      </c>
      <c r="AB149" s="6">
        <f>$K$149*$V$149</f>
        <v>0</v>
      </c>
      <c r="AC149" s="6">
        <f>$M$149*$W$149</f>
        <v>0</v>
      </c>
      <c r="AD149" s="6">
        <f>$O$149*$X$149</f>
        <v>0</v>
      </c>
      <c r="AE149" s="6">
        <f>$K$149*$Y$149</f>
        <v>0</v>
      </c>
      <c r="AF149" s="6">
        <f ca="1">$M$149*$Z$149</f>
        <v>5023.3328427135748</v>
      </c>
      <c r="AG149" s="6">
        <f>$O$149*$AA$149</f>
        <v>3952.4844646299302</v>
      </c>
    </row>
    <row r="150" spans="1:33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29</v>
      </c>
      <c r="F150" s="4" t="s">
        <v>25</v>
      </c>
      <c r="G150" s="4" t="s">
        <v>25</v>
      </c>
      <c r="H150" s="4" t="s">
        <v>25</v>
      </c>
      <c r="I150" s="5">
        <v>44531</v>
      </c>
      <c r="J150" s="6">
        <v>0</v>
      </c>
      <c r="K150" s="6">
        <v>0</v>
      </c>
      <c r="L150" s="6">
        <v>23.405999999999999</v>
      </c>
      <c r="M150" s="6">
        <v>23.405999999999999</v>
      </c>
      <c r="N150" s="6">
        <v>23.405999999999999</v>
      </c>
      <c r="O150" s="6">
        <v>23.405999999999999</v>
      </c>
      <c r="P150" s="6">
        <v>44</v>
      </c>
      <c r="Q150" s="4" t="s">
        <v>26</v>
      </c>
      <c r="R150" s="4">
        <v>0</v>
      </c>
      <c r="S150" s="6">
        <v>0</v>
      </c>
      <c r="T150" s="6">
        <v>20</v>
      </c>
      <c r="U150" s="6">
        <v>58</v>
      </c>
      <c r="V150" s="6">
        <f>IF(ISERROR(VLOOKUP($S$150,'TAR FIN'!$A$1:$O$88,15,0)),0,VLOOKUP($S$150,'TAR FIN'!$A$1:$O$88,15,0))</f>
        <v>0</v>
      </c>
      <c r="W150" s="6">
        <f>IF(ISERROR(VLOOKUP($T$150,'TAR FIN'!$A$1:$O$88,15,0)),0,VLOOKUP($T$150,'TAR FIN'!$A$1:$O$88,15,0))</f>
        <v>0</v>
      </c>
      <c r="X150" s="6">
        <f>IF(ISERROR(VLOOKUP($U$150,'TAR FIN'!$A$1:$O$88,15,0)),0,VLOOKUP($U$150,'TAR FIN'!$A$1:$O$88,15,0))</f>
        <v>0</v>
      </c>
      <c r="Y150" s="6"/>
      <c r="Z150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0" s="6">
        <f>('TE BE'!$AB$13+'TE BF'!$AB$13+'TE CVA'!$AB$13)*(1-CUSTOS!$M$35)</f>
        <v>174.31791764267135</v>
      </c>
      <c r="AB150" s="6">
        <f>$K$150*$V$150</f>
        <v>0</v>
      </c>
      <c r="AC150" s="6">
        <f>$M$150*$W$150</f>
        <v>0</v>
      </c>
      <c r="AD150" s="6">
        <f>$O$150*$X$150</f>
        <v>0</v>
      </c>
      <c r="AE150" s="6">
        <f>$K$150*$Y$150</f>
        <v>0</v>
      </c>
      <c r="AF150" s="6">
        <f ca="1">$M$150*$Z$150</f>
        <v>5185.504477222984</v>
      </c>
      <c r="AG150" s="6">
        <f>$O$150*$AA$150</f>
        <v>4080.0851803443652</v>
      </c>
    </row>
    <row r="151" spans="1:33" ht="11.25" customHeight="1" x14ac:dyDescent="0.25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29</v>
      </c>
      <c r="F151" s="4" t="s">
        <v>25</v>
      </c>
      <c r="G151" s="4" t="s">
        <v>25</v>
      </c>
      <c r="H151" s="4" t="s">
        <v>25</v>
      </c>
      <c r="I151" s="5">
        <v>44562</v>
      </c>
      <c r="J151" s="6">
        <v>0</v>
      </c>
      <c r="K151" s="6">
        <v>0</v>
      </c>
      <c r="L151" s="6">
        <v>23.407</v>
      </c>
      <c r="M151" s="6">
        <v>23.407</v>
      </c>
      <c r="N151" s="6">
        <v>23.407</v>
      </c>
      <c r="O151" s="6">
        <v>23.407</v>
      </c>
      <c r="P151" s="6">
        <v>45</v>
      </c>
      <c r="Q151" s="4" t="s">
        <v>26</v>
      </c>
      <c r="R151" s="4">
        <v>0</v>
      </c>
      <c r="S151" s="6">
        <v>0</v>
      </c>
      <c r="T151" s="6">
        <v>20</v>
      </c>
      <c r="U151" s="6">
        <v>58</v>
      </c>
      <c r="V151" s="6">
        <f>IF(ISERROR(VLOOKUP($S$151,'TAR FIN'!$A$1:$O$88,15,0)),0,VLOOKUP($S$151,'TAR FIN'!$A$1:$O$88,15,0))</f>
        <v>0</v>
      </c>
      <c r="W151" s="6">
        <f>IF(ISERROR(VLOOKUP($T$151,'TAR FIN'!$A$1:$O$88,15,0)),0,VLOOKUP($T$151,'TAR FIN'!$A$1:$O$88,15,0))</f>
        <v>0</v>
      </c>
      <c r="X151" s="6">
        <f>IF(ISERROR(VLOOKUP($U$151,'TAR FIN'!$A$1:$O$88,15,0)),0,VLOOKUP($U$151,'TAR FIN'!$A$1:$O$88,15,0))</f>
        <v>0</v>
      </c>
      <c r="Y151" s="6"/>
      <c r="Z151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1" s="6">
        <f>('TE BE'!$AB$13+'TE BF'!$AB$13+'TE CVA'!$AB$13)*(1-CUSTOS!$M$35)</f>
        <v>174.31791764267135</v>
      </c>
      <c r="AB151" s="6">
        <f>$K$151*$V$151</f>
        <v>0</v>
      </c>
      <c r="AC151" s="6">
        <f>$M$151*$W$151</f>
        <v>0</v>
      </c>
      <c r="AD151" s="6">
        <f>$O$151*$X$151</f>
        <v>0</v>
      </c>
      <c r="AE151" s="6">
        <f>$K$151*$Y$151</f>
        <v>0</v>
      </c>
      <c r="AF151" s="6">
        <f ca="1">$M$151*$Z$151</f>
        <v>5185.7260231717673</v>
      </c>
      <c r="AG151" s="6">
        <f>$O$151*$AA$151</f>
        <v>4080.259498262008</v>
      </c>
    </row>
    <row r="152" spans="1:33" ht="11.25" customHeight="1" x14ac:dyDescent="0.25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29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24.22</v>
      </c>
      <c r="M152" s="6">
        <v>24.22</v>
      </c>
      <c r="N152" s="6">
        <v>24.22</v>
      </c>
      <c r="O152" s="6">
        <v>24.22</v>
      </c>
      <c r="P152" s="6">
        <v>21</v>
      </c>
      <c r="Q152" s="4" t="s">
        <v>26</v>
      </c>
      <c r="R152" s="4">
        <v>0</v>
      </c>
      <c r="S152" s="6">
        <v>0</v>
      </c>
      <c r="T152" s="6">
        <v>20</v>
      </c>
      <c r="U152" s="6">
        <v>58</v>
      </c>
      <c r="V152" s="6">
        <f>IF(ISERROR(VLOOKUP($S$152,'TAR FIN'!$A$1:$O$88,15,0)),0,VLOOKUP($S$152,'TAR FIN'!$A$1:$O$88,15,0))</f>
        <v>0</v>
      </c>
      <c r="W152" s="6">
        <f>IF(ISERROR(VLOOKUP($T$152,'TAR FIN'!$A$1:$O$88,15,0)),0,VLOOKUP($T$152,'TAR FIN'!$A$1:$O$88,15,0))</f>
        <v>0</v>
      </c>
      <c r="X152" s="6">
        <f>IF(ISERROR(VLOOKUP($U$152,'TAR FIN'!$A$1:$O$88,15,0)),0,VLOOKUP($U$152,'TAR FIN'!$A$1:$O$88,15,0))</f>
        <v>0</v>
      </c>
      <c r="Y152" s="6"/>
      <c r="Z152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2" s="6">
        <f>('TE BE'!$AB$13+'TE BF'!$AB$13+'TE CVA'!$AB$13)*(1-CUSTOS!$M$35)</f>
        <v>174.31791764267135</v>
      </c>
      <c r="AB152" s="6">
        <f>$K$152*$V$152</f>
        <v>0</v>
      </c>
      <c r="AC152" s="6">
        <f>$M$152*$W$152</f>
        <v>0</v>
      </c>
      <c r="AD152" s="6">
        <f>$O$152*$X$152</f>
        <v>0</v>
      </c>
      <c r="AE152" s="6">
        <f>$K$152*$Y$152</f>
        <v>0</v>
      </c>
      <c r="AF152" s="6">
        <f ca="1">$M$152*$Z$152</f>
        <v>5365.8428795326272</v>
      </c>
      <c r="AG152" s="6">
        <f>$O$152*$AA$152</f>
        <v>4221.9799653054997</v>
      </c>
    </row>
    <row r="153" spans="1:33" ht="11.25" customHeight="1" x14ac:dyDescent="0.25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29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24.114000000000001</v>
      </c>
      <c r="M153" s="6">
        <v>24.114000000000001</v>
      </c>
      <c r="N153" s="6">
        <v>24.114000000000001</v>
      </c>
      <c r="O153" s="6">
        <v>24.114000000000001</v>
      </c>
      <c r="P153" s="6">
        <v>43</v>
      </c>
      <c r="Q153" s="4" t="s">
        <v>26</v>
      </c>
      <c r="R153" s="4">
        <v>0</v>
      </c>
      <c r="S153" s="6">
        <v>0</v>
      </c>
      <c r="T153" s="6">
        <v>20</v>
      </c>
      <c r="U153" s="6">
        <v>58</v>
      </c>
      <c r="V153" s="6">
        <f>IF(ISERROR(VLOOKUP($S$153,'TAR FIN'!$A$1:$O$88,15,0)),0,VLOOKUP($S$153,'TAR FIN'!$A$1:$O$88,15,0))</f>
        <v>0</v>
      </c>
      <c r="W153" s="6">
        <f>IF(ISERROR(VLOOKUP($T$153,'TAR FIN'!$A$1:$O$88,15,0)),0,VLOOKUP($T$153,'TAR FIN'!$A$1:$O$88,15,0))</f>
        <v>0</v>
      </c>
      <c r="X153" s="6">
        <f>IF(ISERROR(VLOOKUP($U$153,'TAR FIN'!$A$1:$O$88,15,0)),0,VLOOKUP($U$153,'TAR FIN'!$A$1:$O$88,15,0))</f>
        <v>0</v>
      </c>
      <c r="Y153" s="6"/>
      <c r="Z153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3" s="6">
        <f>('TE BE'!$AB$13+'TE BF'!$AB$13+'TE CVA'!$AB$13)*(1-CUSTOS!$M$35)</f>
        <v>174.31791764267135</v>
      </c>
      <c r="AB153" s="6">
        <f>$K$153*$V$153</f>
        <v>0</v>
      </c>
      <c r="AC153" s="6">
        <f>$M$153*$W$153</f>
        <v>0</v>
      </c>
      <c r="AD153" s="6">
        <f>$O$153*$X$153</f>
        <v>0</v>
      </c>
      <c r="AE153" s="6">
        <f>$K$153*$Y$153</f>
        <v>0</v>
      </c>
      <c r="AF153" s="6">
        <f ca="1">$M$153*$Z$153</f>
        <v>5342.3590089615927</v>
      </c>
      <c r="AG153" s="6">
        <f>$O$153*$AA$153</f>
        <v>4203.502266035377</v>
      </c>
    </row>
    <row r="154" spans="1:33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0</v>
      </c>
      <c r="K154" s="6">
        <v>0</v>
      </c>
      <c r="L154" s="6">
        <v>24.617999999999999</v>
      </c>
      <c r="M154" s="6">
        <v>24.617999999999999</v>
      </c>
      <c r="N154" s="6">
        <v>24.617999999999999</v>
      </c>
      <c r="O154" s="6">
        <v>24.617999999999999</v>
      </c>
      <c r="P154" s="6">
        <v>35</v>
      </c>
      <c r="Q154" s="4" t="s">
        <v>26</v>
      </c>
      <c r="R154" s="4">
        <v>0</v>
      </c>
      <c r="S154" s="6">
        <v>0</v>
      </c>
      <c r="T154" s="6">
        <v>20</v>
      </c>
      <c r="U154" s="6">
        <v>58</v>
      </c>
      <c r="V154" s="6">
        <f>IF(ISERROR(VLOOKUP($S$154,'TAR FIN'!$A$1:$O$88,15,0)),0,VLOOKUP($S$154,'TAR FIN'!$A$1:$O$88,15,0))</f>
        <v>0</v>
      </c>
      <c r="W154" s="6">
        <f>IF(ISERROR(VLOOKUP($T$154,'TAR FIN'!$A$1:$O$88,15,0)),0,VLOOKUP($T$154,'TAR FIN'!$A$1:$O$88,15,0))</f>
        <v>0</v>
      </c>
      <c r="X154" s="6">
        <f>IF(ISERROR(VLOOKUP($U$154,'TAR FIN'!$A$1:$O$88,15,0)),0,VLOOKUP($U$154,'TAR FIN'!$A$1:$O$88,15,0))</f>
        <v>0</v>
      </c>
      <c r="Y154" s="6"/>
      <c r="Z154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4" s="6">
        <f>('TE BE'!$AB$13+'TE BF'!$AB$13+'TE CVA'!$AB$13)*(1-CUSTOS!$M$35)</f>
        <v>174.31791764267135</v>
      </c>
      <c r="AB154" s="6">
        <f>$K$154*$V$154</f>
        <v>0</v>
      </c>
      <c r="AC154" s="6">
        <f>$M$154*$W$154</f>
        <v>0</v>
      </c>
      <c r="AD154" s="6">
        <f>$O$154*$X$154</f>
        <v>0</v>
      </c>
      <c r="AE154" s="6">
        <f>$K$154*$Y$154</f>
        <v>0</v>
      </c>
      <c r="AF154" s="6">
        <f ca="1">$M$154*$Z$154</f>
        <v>5454.0181671483988</v>
      </c>
      <c r="AG154" s="6">
        <f>$O$154*$AA$154</f>
        <v>4291.358496527283</v>
      </c>
    </row>
    <row r="155" spans="1:33" ht="11.25" customHeight="1" x14ac:dyDescent="0.25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29</v>
      </c>
      <c r="F155" s="4" t="s">
        <v>25</v>
      </c>
      <c r="G155" s="4" t="s">
        <v>25</v>
      </c>
      <c r="H155" s="4" t="s">
        <v>25</v>
      </c>
      <c r="I155" s="5">
        <v>44682</v>
      </c>
      <c r="J155" s="6">
        <v>0</v>
      </c>
      <c r="K155" s="6">
        <v>0</v>
      </c>
      <c r="L155" s="6">
        <v>24.742000000000001</v>
      </c>
      <c r="M155" s="6">
        <v>24.742000000000001</v>
      </c>
      <c r="N155" s="6">
        <v>24.742000000000001</v>
      </c>
      <c r="O155" s="6">
        <v>24.742000000000001</v>
      </c>
      <c r="P155" s="6">
        <v>45</v>
      </c>
      <c r="Q155" s="4" t="s">
        <v>26</v>
      </c>
      <c r="R155" s="4">
        <v>0</v>
      </c>
      <c r="S155" s="6">
        <v>0</v>
      </c>
      <c r="T155" s="6">
        <v>20</v>
      </c>
      <c r="U155" s="6">
        <v>58</v>
      </c>
      <c r="V155" s="6">
        <f>IF(ISERROR(VLOOKUP($S$155,'TAR FIN'!$A$1:$O$88,15,0)),0,VLOOKUP($S$155,'TAR FIN'!$A$1:$O$88,15,0))</f>
        <v>0</v>
      </c>
      <c r="W155" s="6">
        <f>IF(ISERROR(VLOOKUP($T$155,'TAR FIN'!$A$1:$O$88,15,0)),0,VLOOKUP($T$155,'TAR FIN'!$A$1:$O$88,15,0))</f>
        <v>0</v>
      </c>
      <c r="X155" s="6">
        <f>IF(ISERROR(VLOOKUP($U$155,'TAR FIN'!$A$1:$O$88,15,0)),0,VLOOKUP($U$155,'TAR FIN'!$A$1:$O$88,15,0))</f>
        <v>0</v>
      </c>
      <c r="Y155" s="6"/>
      <c r="Z155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5" s="6">
        <f>('TE BE'!$AB$13+'TE BF'!$AB$13+'TE CVA'!$AB$13)*(1-CUSTOS!$M$35)</f>
        <v>174.31791764267135</v>
      </c>
      <c r="AB155" s="6">
        <f>$K$155*$V$155</f>
        <v>0</v>
      </c>
      <c r="AC155" s="6">
        <f>$M$155*$W$155</f>
        <v>0</v>
      </c>
      <c r="AD155" s="6">
        <f>$O$155*$X$155</f>
        <v>0</v>
      </c>
      <c r="AE155" s="6">
        <f>$K$155*$Y$155</f>
        <v>0</v>
      </c>
      <c r="AF155" s="6">
        <f ca="1">$M$155*$Z$155</f>
        <v>5481.4898647975333</v>
      </c>
      <c r="AG155" s="6">
        <f>$O$155*$AA$155</f>
        <v>4312.973918314975</v>
      </c>
    </row>
    <row r="156" spans="1:33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29</v>
      </c>
      <c r="F156" s="4" t="s">
        <v>25</v>
      </c>
      <c r="G156" s="4" t="s">
        <v>25</v>
      </c>
      <c r="H156" s="4" t="s">
        <v>25</v>
      </c>
      <c r="I156" s="5">
        <v>44713</v>
      </c>
      <c r="J156" s="6">
        <v>0</v>
      </c>
      <c r="K156" s="6">
        <v>0</v>
      </c>
      <c r="L156" s="6">
        <v>21.544</v>
      </c>
      <c r="M156" s="6">
        <v>21.544</v>
      </c>
      <c r="N156" s="6">
        <v>21.544</v>
      </c>
      <c r="O156" s="6">
        <v>21.544</v>
      </c>
      <c r="P156" s="6">
        <v>54</v>
      </c>
      <c r="Q156" s="4" t="s">
        <v>26</v>
      </c>
      <c r="R156" s="4">
        <v>0</v>
      </c>
      <c r="S156" s="6">
        <v>0</v>
      </c>
      <c r="T156" s="6">
        <v>20</v>
      </c>
      <c r="U156" s="6">
        <v>58</v>
      </c>
      <c r="V156" s="6">
        <f>IF(ISERROR(VLOOKUP($S$156,'TAR FIN'!$A$1:$O$88,15,0)),0,VLOOKUP($S$156,'TAR FIN'!$A$1:$O$88,15,0))</f>
        <v>0</v>
      </c>
      <c r="W156" s="6">
        <f>IF(ISERROR(VLOOKUP($T$156,'TAR FIN'!$A$1:$O$88,15,0)),0,VLOOKUP($T$156,'TAR FIN'!$A$1:$O$88,15,0))</f>
        <v>0</v>
      </c>
      <c r="X156" s="6">
        <f>IF(ISERROR(VLOOKUP($U$156,'TAR FIN'!$A$1:$O$88,15,0)),0,VLOOKUP($U$156,'TAR FIN'!$A$1:$O$88,15,0))</f>
        <v>0</v>
      </c>
      <c r="Y156" s="6"/>
      <c r="Z156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6" s="6">
        <f>('TE BE'!$AB$13+'TE BF'!$AB$13+'TE CVA'!$AB$13)*(1-CUSTOS!$M$35)</f>
        <v>174.31791764267135</v>
      </c>
      <c r="AB156" s="6">
        <f>$K$156*$V$156</f>
        <v>0</v>
      </c>
      <c r="AC156" s="6">
        <f>$M$156*$W$156</f>
        <v>0</v>
      </c>
      <c r="AD156" s="6">
        <f>$O$156*$X$156</f>
        <v>0</v>
      </c>
      <c r="AE156" s="6">
        <f>$K$156*$Y$156</f>
        <v>0</v>
      </c>
      <c r="AF156" s="6">
        <f ca="1">$M$156*$Z$156</f>
        <v>4772.9859205883949</v>
      </c>
      <c r="AG156" s="6">
        <f>$O$156*$AA$156</f>
        <v>3755.5052176937115</v>
      </c>
    </row>
    <row r="157" spans="1:33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29</v>
      </c>
      <c r="F157" s="4" t="s">
        <v>25</v>
      </c>
      <c r="G157" s="4" t="s">
        <v>25</v>
      </c>
      <c r="H157" s="4" t="s">
        <v>25</v>
      </c>
      <c r="I157" s="5">
        <v>44743</v>
      </c>
      <c r="J157" s="6">
        <v>0</v>
      </c>
      <c r="K157" s="6">
        <v>0</v>
      </c>
      <c r="L157" s="6">
        <v>21.042999999999999</v>
      </c>
      <c r="M157" s="6">
        <v>21.042999999999999</v>
      </c>
      <c r="N157" s="6">
        <v>21.042999999999999</v>
      </c>
      <c r="O157" s="6">
        <v>21.042999999999999</v>
      </c>
      <c r="P157" s="6">
        <v>57</v>
      </c>
      <c r="Q157" s="4" t="s">
        <v>26</v>
      </c>
      <c r="R157" s="4">
        <v>0</v>
      </c>
      <c r="S157" s="6">
        <v>0</v>
      </c>
      <c r="T157" s="6">
        <v>20</v>
      </c>
      <c r="U157" s="6">
        <v>58</v>
      </c>
      <c r="V157" s="6">
        <f>IF(ISERROR(VLOOKUP($S$157,'TAR FIN'!$A$1:$O$88,15,0)),0,VLOOKUP($S$157,'TAR FIN'!$A$1:$O$88,15,0))</f>
        <v>0</v>
      </c>
      <c r="W157" s="6">
        <f>IF(ISERROR(VLOOKUP($T$157,'TAR FIN'!$A$1:$O$88,15,0)),0,VLOOKUP($T$157,'TAR FIN'!$A$1:$O$88,15,0))</f>
        <v>0</v>
      </c>
      <c r="X157" s="6">
        <f>IF(ISERROR(VLOOKUP($U$157,'TAR FIN'!$A$1:$O$88,15,0)),0,VLOOKUP($U$157,'TAR FIN'!$A$1:$O$88,15,0))</f>
        <v>0</v>
      </c>
      <c r="Y157" s="6"/>
      <c r="Z157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157" s="6">
        <f>('TE BE'!$AB$13+'TE BF'!$AB$13+'TE CVA'!$AB$13)*(1-CUSTOS!$M$35)</f>
        <v>174.31791764267135</v>
      </c>
      <c r="AB157" s="6">
        <f>$K$157*$V$157</f>
        <v>0</v>
      </c>
      <c r="AC157" s="6">
        <f>$M$157*$W$157</f>
        <v>0</v>
      </c>
      <c r="AD157" s="6">
        <f>$O$157*$X$157</f>
        <v>0</v>
      </c>
      <c r="AE157" s="6">
        <f>$K$157*$Y$157</f>
        <v>0</v>
      </c>
      <c r="AF157" s="6">
        <f ca="1">$M$157*$Z$157</f>
        <v>4661.9914002479381</v>
      </c>
      <c r="AG157" s="6">
        <f>$O$157*$AA$157</f>
        <v>3668.1719409547331</v>
      </c>
    </row>
    <row r="158" spans="1:33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30</v>
      </c>
      <c r="F158" s="4" t="s">
        <v>25</v>
      </c>
      <c r="G158" s="4" t="s">
        <v>25</v>
      </c>
      <c r="H158" s="4" t="s">
        <v>25</v>
      </c>
      <c r="I158" s="5">
        <v>44409</v>
      </c>
      <c r="J158" s="6">
        <v>0</v>
      </c>
      <c r="K158" s="6">
        <v>0</v>
      </c>
      <c r="L158" s="6">
        <v>23.725999999999999</v>
      </c>
      <c r="M158" s="6">
        <v>23.725999999999999</v>
      </c>
      <c r="N158" s="6">
        <v>23.725999999999999</v>
      </c>
      <c r="O158" s="6">
        <v>23.725999999999999</v>
      </c>
      <c r="P158" s="6">
        <v>169</v>
      </c>
      <c r="Q158" s="4" t="s">
        <v>26</v>
      </c>
      <c r="R158" s="4">
        <v>0</v>
      </c>
      <c r="S158" s="6">
        <v>0</v>
      </c>
      <c r="T158" s="6">
        <v>21</v>
      </c>
      <c r="U158" s="6">
        <v>59</v>
      </c>
      <c r="V158" s="6">
        <f>IF(ISERROR(VLOOKUP($S$158,'TAR FIN'!$A$1:$O$88,15,0)),0,VLOOKUP($S$158,'TAR FIN'!$A$1:$O$88,15,0))</f>
        <v>0</v>
      </c>
      <c r="W158" s="6">
        <f>IF(ISERROR(VLOOKUP($T$158,'TAR FIN'!$A$1:$O$88,15,0)),0,VLOOKUP($T$158,'TAR FIN'!$A$1:$O$88,15,0))</f>
        <v>0</v>
      </c>
      <c r="X158" s="6">
        <f>IF(ISERROR(VLOOKUP($U$158,'TAR FIN'!$A$1:$O$88,15,0)),0,VLOOKUP($U$158,'TAR FIN'!$A$1:$O$88,15,0))</f>
        <v>0</v>
      </c>
      <c r="Y158" s="6"/>
      <c r="Z158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58" s="6">
        <f>('TE BE'!$AB$14+'TE BF'!$AB$14+'TE CVA'!$AB$14)*(1-CUSTOS!$M$36)</f>
        <v>261.47687646400703</v>
      </c>
      <c r="AB158" s="6">
        <f>$K$158*$V$158</f>
        <v>0</v>
      </c>
      <c r="AC158" s="6">
        <f>$M$158*$W$158</f>
        <v>0</v>
      </c>
      <c r="AD158" s="6">
        <f>$O$158*$X$158</f>
        <v>0</v>
      </c>
      <c r="AE158" s="6">
        <f>$K$158*$Y$158</f>
        <v>0</v>
      </c>
      <c r="AF158" s="6">
        <f ca="1">$M$158*$Z$158</f>
        <v>7884.5987712504811</v>
      </c>
      <c r="AG158" s="6">
        <f>$O$158*$AA$158</f>
        <v>6203.8003709850309</v>
      </c>
    </row>
    <row r="159" spans="1:33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30</v>
      </c>
      <c r="F159" s="4" t="s">
        <v>25</v>
      </c>
      <c r="G159" s="4" t="s">
        <v>25</v>
      </c>
      <c r="H159" s="4" t="s">
        <v>25</v>
      </c>
      <c r="I159" s="5">
        <v>44440</v>
      </c>
      <c r="J159" s="6">
        <v>0</v>
      </c>
      <c r="K159" s="6">
        <v>0</v>
      </c>
      <c r="L159" s="6">
        <v>21.268999999999998</v>
      </c>
      <c r="M159" s="6">
        <v>21.268999999999998</v>
      </c>
      <c r="N159" s="6">
        <v>21.268999999999998</v>
      </c>
      <c r="O159" s="6">
        <v>21.268999999999998</v>
      </c>
      <c r="P159" s="6">
        <v>196</v>
      </c>
      <c r="Q159" s="4" t="s">
        <v>26</v>
      </c>
      <c r="R159" s="4">
        <v>0</v>
      </c>
      <c r="S159" s="6">
        <v>0</v>
      </c>
      <c r="T159" s="6">
        <v>21</v>
      </c>
      <c r="U159" s="6">
        <v>59</v>
      </c>
      <c r="V159" s="6">
        <f>IF(ISERROR(VLOOKUP($S$159,'TAR FIN'!$A$1:$O$88,15,0)),0,VLOOKUP($S$159,'TAR FIN'!$A$1:$O$88,15,0))</f>
        <v>0</v>
      </c>
      <c r="W159" s="6">
        <f>IF(ISERROR(VLOOKUP($T$159,'TAR FIN'!$A$1:$O$88,15,0)),0,VLOOKUP($T$159,'TAR FIN'!$A$1:$O$88,15,0))</f>
        <v>0</v>
      </c>
      <c r="X159" s="6">
        <f>IF(ISERROR(VLOOKUP($U$159,'TAR FIN'!$A$1:$O$88,15,0)),0,VLOOKUP($U$159,'TAR FIN'!$A$1:$O$88,15,0))</f>
        <v>0</v>
      </c>
      <c r="Y159" s="6"/>
      <c r="Z159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59" s="6">
        <f>('TE BE'!$AB$14+'TE BF'!$AB$14+'TE CVA'!$AB$14)*(1-CUSTOS!$M$36)</f>
        <v>261.47687646400703</v>
      </c>
      <c r="AB159" s="6">
        <f>$K$159*$V$159</f>
        <v>0</v>
      </c>
      <c r="AC159" s="6">
        <f>$M$159*$W$159</f>
        <v>0</v>
      </c>
      <c r="AD159" s="6">
        <f>$O$159*$X$159</f>
        <v>0</v>
      </c>
      <c r="AE159" s="6">
        <f>$K$159*$Y$159</f>
        <v>0</v>
      </c>
      <c r="AF159" s="6">
        <f ca="1">$M$159*$Z$159</f>
        <v>7068.0911770094617</v>
      </c>
      <c r="AG159" s="6">
        <f>$O$159*$AA$159</f>
        <v>5561.3516855129656</v>
      </c>
    </row>
    <row r="160" spans="1:33" ht="11.25" customHeight="1" x14ac:dyDescent="0.25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30</v>
      </c>
      <c r="F160" s="4" t="s">
        <v>25</v>
      </c>
      <c r="G160" s="4" t="s">
        <v>25</v>
      </c>
      <c r="H160" s="4" t="s">
        <v>25</v>
      </c>
      <c r="I160" s="5">
        <v>44470</v>
      </c>
      <c r="J160" s="6">
        <v>0</v>
      </c>
      <c r="K160" s="6">
        <v>0</v>
      </c>
      <c r="L160" s="6">
        <v>26.408000000000001</v>
      </c>
      <c r="M160" s="6">
        <v>26.408000000000001</v>
      </c>
      <c r="N160" s="6">
        <v>26.408000000000001</v>
      </c>
      <c r="O160" s="6">
        <v>26.408000000000001</v>
      </c>
      <c r="P160" s="6">
        <v>164</v>
      </c>
      <c r="Q160" s="4" t="s">
        <v>26</v>
      </c>
      <c r="R160" s="4">
        <v>0</v>
      </c>
      <c r="S160" s="6">
        <v>0</v>
      </c>
      <c r="T160" s="6">
        <v>21</v>
      </c>
      <c r="U160" s="6">
        <v>59</v>
      </c>
      <c r="V160" s="6">
        <f>IF(ISERROR(VLOOKUP($S$160,'TAR FIN'!$A$1:$O$88,15,0)),0,VLOOKUP($S$160,'TAR FIN'!$A$1:$O$88,15,0))</f>
        <v>0</v>
      </c>
      <c r="W160" s="6">
        <f>IF(ISERROR(VLOOKUP($T$160,'TAR FIN'!$A$1:$O$88,15,0)),0,VLOOKUP($T$160,'TAR FIN'!$A$1:$O$88,15,0))</f>
        <v>0</v>
      </c>
      <c r="X160" s="6">
        <f>IF(ISERROR(VLOOKUP($U$160,'TAR FIN'!$A$1:$O$88,15,0)),0,VLOOKUP($U$160,'TAR FIN'!$A$1:$O$88,15,0))</f>
        <v>0</v>
      </c>
      <c r="Y160" s="6"/>
      <c r="Z160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0" s="6">
        <f>('TE BE'!$AB$14+'TE BF'!$AB$14+'TE CVA'!$AB$14)*(1-CUSTOS!$M$36)</f>
        <v>261.47687646400703</v>
      </c>
      <c r="AB160" s="6">
        <f>$K$160*$V$160</f>
        <v>0</v>
      </c>
      <c r="AC160" s="6">
        <f>$M$160*$W$160</f>
        <v>0</v>
      </c>
      <c r="AD160" s="6">
        <f>$O$160*$X$160</f>
        <v>0</v>
      </c>
      <c r="AE160" s="6">
        <f>$K$160*$Y$160</f>
        <v>0</v>
      </c>
      <c r="AF160" s="6">
        <f ca="1">$M$160*$Z$160</f>
        <v>8775.8781232058809</v>
      </c>
      <c r="AG160" s="6">
        <f>$O$160*$AA$160</f>
        <v>6905.0813536614978</v>
      </c>
    </row>
    <row r="161" spans="1:3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30</v>
      </c>
      <c r="F161" s="4" t="s">
        <v>25</v>
      </c>
      <c r="G161" s="4" t="s">
        <v>25</v>
      </c>
      <c r="H161" s="4" t="s">
        <v>25</v>
      </c>
      <c r="I161" s="5">
        <v>44501</v>
      </c>
      <c r="J161" s="6">
        <v>0</v>
      </c>
      <c r="K161" s="6">
        <v>0</v>
      </c>
      <c r="L161" s="6">
        <v>22.603999999999999</v>
      </c>
      <c r="M161" s="6">
        <v>22.603999999999999</v>
      </c>
      <c r="N161" s="6">
        <v>22.603999999999999</v>
      </c>
      <c r="O161" s="6">
        <v>22.603999999999999</v>
      </c>
      <c r="P161" s="6">
        <v>207</v>
      </c>
      <c r="Q161" s="4" t="s">
        <v>26</v>
      </c>
      <c r="R161" s="4">
        <v>0</v>
      </c>
      <c r="S161" s="6">
        <v>0</v>
      </c>
      <c r="T161" s="6">
        <v>21</v>
      </c>
      <c r="U161" s="6">
        <v>59</v>
      </c>
      <c r="V161" s="6">
        <f>IF(ISERROR(VLOOKUP($S$161,'TAR FIN'!$A$1:$O$88,15,0)),0,VLOOKUP($S$161,'TAR FIN'!$A$1:$O$88,15,0))</f>
        <v>0</v>
      </c>
      <c r="W161" s="6">
        <f>IF(ISERROR(VLOOKUP($T$161,'TAR FIN'!$A$1:$O$88,15,0)),0,VLOOKUP($T$161,'TAR FIN'!$A$1:$O$88,15,0))</f>
        <v>0</v>
      </c>
      <c r="X161" s="6">
        <f>IF(ISERROR(VLOOKUP($U$161,'TAR FIN'!$A$1:$O$88,15,0)),0,VLOOKUP($U$161,'TAR FIN'!$A$1:$O$88,15,0))</f>
        <v>0</v>
      </c>
      <c r="Y161" s="6"/>
      <c r="Z161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1" s="6">
        <f>('TE BE'!$AB$14+'TE BF'!$AB$14+'TE CVA'!$AB$14)*(1-CUSTOS!$M$36)</f>
        <v>261.47687646400703</v>
      </c>
      <c r="AB161" s="6">
        <f>$K$161*$V$161</f>
        <v>0</v>
      </c>
      <c r="AC161" s="6">
        <f>$M$161*$W$161</f>
        <v>0</v>
      </c>
      <c r="AD161" s="6">
        <f>$O$161*$X$161</f>
        <v>0</v>
      </c>
      <c r="AE161" s="6">
        <f>$K$161*$Y$161</f>
        <v>0</v>
      </c>
      <c r="AF161" s="6">
        <f ca="1">$M$161*$Z$161</f>
        <v>7511.7369394481111</v>
      </c>
      <c r="AG161" s="6">
        <f>$O$161*$AA$161</f>
        <v>5910.4233155924148</v>
      </c>
    </row>
    <row r="162" spans="1:33" ht="11.25" customHeight="1" x14ac:dyDescent="0.25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30</v>
      </c>
      <c r="F162" s="4" t="s">
        <v>25</v>
      </c>
      <c r="G162" s="4" t="s">
        <v>25</v>
      </c>
      <c r="H162" s="4" t="s">
        <v>25</v>
      </c>
      <c r="I162" s="5">
        <v>44531</v>
      </c>
      <c r="J162" s="6">
        <v>0</v>
      </c>
      <c r="K162" s="6">
        <v>0</v>
      </c>
      <c r="L162" s="6">
        <v>25.882999999999999</v>
      </c>
      <c r="M162" s="6">
        <v>25.882999999999999</v>
      </c>
      <c r="N162" s="6">
        <v>25.882999999999999</v>
      </c>
      <c r="O162" s="6">
        <v>25.882999999999999</v>
      </c>
      <c r="P162" s="6">
        <v>196</v>
      </c>
      <c r="Q162" s="4" t="s">
        <v>26</v>
      </c>
      <c r="R162" s="4">
        <v>0</v>
      </c>
      <c r="S162" s="6">
        <v>0</v>
      </c>
      <c r="T162" s="6">
        <v>21</v>
      </c>
      <c r="U162" s="6">
        <v>59</v>
      </c>
      <c r="V162" s="6">
        <f>IF(ISERROR(VLOOKUP($S$162,'TAR FIN'!$A$1:$O$88,15,0)),0,VLOOKUP($S$162,'TAR FIN'!$A$1:$O$88,15,0))</f>
        <v>0</v>
      </c>
      <c r="W162" s="6">
        <f>IF(ISERROR(VLOOKUP($T$162,'TAR FIN'!$A$1:$O$88,15,0)),0,VLOOKUP($T$162,'TAR FIN'!$A$1:$O$88,15,0))</f>
        <v>0</v>
      </c>
      <c r="X162" s="6">
        <f>IF(ISERROR(VLOOKUP($U$162,'TAR FIN'!$A$1:$O$88,15,0)),0,VLOOKUP($U$162,'TAR FIN'!$A$1:$O$88,15,0))</f>
        <v>0</v>
      </c>
      <c r="Y162" s="6"/>
      <c r="Z162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2" s="6">
        <f>('TE BE'!$AB$14+'TE BF'!$AB$14+'TE CVA'!$AB$14)*(1-CUSTOS!$M$36)</f>
        <v>261.47687646400703</v>
      </c>
      <c r="AB162" s="6">
        <f>$K$162*$V$162</f>
        <v>0</v>
      </c>
      <c r="AC162" s="6">
        <f>$M$162*$W$162</f>
        <v>0</v>
      </c>
      <c r="AD162" s="6">
        <f>$O$162*$X$162</f>
        <v>0</v>
      </c>
      <c r="AE162" s="6">
        <f>$K$162*$Y$162</f>
        <v>0</v>
      </c>
      <c r="AF162" s="6">
        <f ca="1">$M$162*$Z$162</f>
        <v>8601.4106885389956</v>
      </c>
      <c r="AG162" s="6">
        <f>$O$162*$AA$162</f>
        <v>6767.8059935178935</v>
      </c>
    </row>
    <row r="163" spans="1:3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30</v>
      </c>
      <c r="F163" s="4" t="s">
        <v>25</v>
      </c>
      <c r="G163" s="4" t="s">
        <v>25</v>
      </c>
      <c r="H163" s="4" t="s">
        <v>25</v>
      </c>
      <c r="I163" s="5">
        <v>44562</v>
      </c>
      <c r="J163" s="6">
        <v>0</v>
      </c>
      <c r="K163" s="6">
        <v>0</v>
      </c>
      <c r="L163" s="6">
        <v>24.427</v>
      </c>
      <c r="M163" s="6">
        <v>24.427</v>
      </c>
      <c r="N163" s="6">
        <v>24.427</v>
      </c>
      <c r="O163" s="6">
        <v>24.427</v>
      </c>
      <c r="P163" s="6">
        <v>208</v>
      </c>
      <c r="Q163" s="4" t="s">
        <v>26</v>
      </c>
      <c r="R163" s="4">
        <v>0</v>
      </c>
      <c r="S163" s="6">
        <v>0</v>
      </c>
      <c r="T163" s="6">
        <v>21</v>
      </c>
      <c r="U163" s="6">
        <v>59</v>
      </c>
      <c r="V163" s="6">
        <f>IF(ISERROR(VLOOKUP($S$163,'TAR FIN'!$A$1:$O$88,15,0)),0,VLOOKUP($S$163,'TAR FIN'!$A$1:$O$88,15,0))</f>
        <v>0</v>
      </c>
      <c r="W163" s="6">
        <f>IF(ISERROR(VLOOKUP($T$163,'TAR FIN'!$A$1:$O$88,15,0)),0,VLOOKUP($T$163,'TAR FIN'!$A$1:$O$88,15,0))</f>
        <v>0</v>
      </c>
      <c r="X163" s="6">
        <f>IF(ISERROR(VLOOKUP($U$163,'TAR FIN'!$A$1:$O$88,15,0)),0,VLOOKUP($U$163,'TAR FIN'!$A$1:$O$88,15,0))</f>
        <v>0</v>
      </c>
      <c r="Y163" s="6"/>
      <c r="Z163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3" s="6">
        <f>('TE BE'!$AB$14+'TE BF'!$AB$14+'TE CVA'!$AB$14)*(1-CUSTOS!$M$36)</f>
        <v>261.47687646400703</v>
      </c>
      <c r="AB163" s="6">
        <f>$K$163*$V$163</f>
        <v>0</v>
      </c>
      <c r="AC163" s="6">
        <f>$M$163*$W$163</f>
        <v>0</v>
      </c>
      <c r="AD163" s="6">
        <f>$O$163*$X$163</f>
        <v>0</v>
      </c>
      <c r="AE163" s="6">
        <f>$K$163*$Y$163</f>
        <v>0</v>
      </c>
      <c r="AF163" s="6">
        <f ca="1">$M$163*$Z$163</f>
        <v>8117.5543363961697</v>
      </c>
      <c r="AG163" s="6">
        <f>$O$163*$AA$163</f>
        <v>6387.0956613863</v>
      </c>
    </row>
    <row r="164" spans="1:33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30</v>
      </c>
      <c r="F164" s="4" t="s">
        <v>25</v>
      </c>
      <c r="G164" s="4" t="s">
        <v>25</v>
      </c>
      <c r="H164" s="4" t="s">
        <v>25</v>
      </c>
      <c r="I164" s="5">
        <v>44593</v>
      </c>
      <c r="J164" s="6">
        <v>0</v>
      </c>
      <c r="K164" s="6">
        <v>0</v>
      </c>
      <c r="L164" s="6">
        <v>31.364000000000001</v>
      </c>
      <c r="M164" s="6">
        <v>31.364000000000001</v>
      </c>
      <c r="N164" s="6">
        <v>31.364000000000001</v>
      </c>
      <c r="O164" s="6">
        <v>31.364000000000001</v>
      </c>
      <c r="P164" s="6">
        <v>152</v>
      </c>
      <c r="Q164" s="4" t="s">
        <v>26</v>
      </c>
      <c r="R164" s="4">
        <v>0</v>
      </c>
      <c r="S164" s="6">
        <v>0</v>
      </c>
      <c r="T164" s="6">
        <v>21</v>
      </c>
      <c r="U164" s="6">
        <v>59</v>
      </c>
      <c r="V164" s="6">
        <f>IF(ISERROR(VLOOKUP($S$164,'TAR FIN'!$A$1:$O$88,15,0)),0,VLOOKUP($S$164,'TAR FIN'!$A$1:$O$88,15,0))</f>
        <v>0</v>
      </c>
      <c r="W164" s="6">
        <f>IF(ISERROR(VLOOKUP($T$164,'TAR FIN'!$A$1:$O$88,15,0)),0,VLOOKUP($T$164,'TAR FIN'!$A$1:$O$88,15,0))</f>
        <v>0</v>
      </c>
      <c r="X164" s="6">
        <f>IF(ISERROR(VLOOKUP($U$164,'TAR FIN'!$A$1:$O$88,15,0)),0,VLOOKUP($U$164,'TAR FIN'!$A$1:$O$88,15,0))</f>
        <v>0</v>
      </c>
      <c r="Y164" s="6"/>
      <c r="Z164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4" s="6">
        <f>('TE BE'!$AB$14+'TE BF'!$AB$14+'TE CVA'!$AB$14)*(1-CUSTOS!$M$36)</f>
        <v>261.47687646400703</v>
      </c>
      <c r="AB164" s="6">
        <f>$K$164*$V$164</f>
        <v>0</v>
      </c>
      <c r="AC164" s="6">
        <f>$M$164*$W$164</f>
        <v>0</v>
      </c>
      <c r="AD164" s="6">
        <f>$O$164*$X$164</f>
        <v>0</v>
      </c>
      <c r="AE164" s="6">
        <f>$K$164*$Y$164</f>
        <v>0</v>
      </c>
      <c r="AF164" s="6">
        <f ca="1">$M$164*$Z$164</f>
        <v>10422.850706461271</v>
      </c>
      <c r="AG164" s="6">
        <f>$O$164*$AA$164</f>
        <v>8200.9607534171173</v>
      </c>
    </row>
    <row r="165" spans="1:33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30</v>
      </c>
      <c r="F165" s="4" t="s">
        <v>25</v>
      </c>
      <c r="G165" s="4" t="s">
        <v>25</v>
      </c>
      <c r="H165" s="4" t="s">
        <v>25</v>
      </c>
      <c r="I165" s="5">
        <v>44621</v>
      </c>
      <c r="J165" s="6">
        <v>0</v>
      </c>
      <c r="K165" s="6">
        <v>0</v>
      </c>
      <c r="L165" s="6">
        <v>26.513999999999999</v>
      </c>
      <c r="M165" s="6">
        <v>26.513999999999999</v>
      </c>
      <c r="N165" s="6">
        <v>26.513999999999999</v>
      </c>
      <c r="O165" s="6">
        <v>26.513999999999999</v>
      </c>
      <c r="P165" s="6">
        <v>192</v>
      </c>
      <c r="Q165" s="4" t="s">
        <v>26</v>
      </c>
      <c r="R165" s="4">
        <v>0</v>
      </c>
      <c r="S165" s="6">
        <v>0</v>
      </c>
      <c r="T165" s="6">
        <v>21</v>
      </c>
      <c r="U165" s="6">
        <v>59</v>
      </c>
      <c r="V165" s="6">
        <f>IF(ISERROR(VLOOKUP($S$165,'TAR FIN'!$A$1:$O$88,15,0)),0,VLOOKUP($S$165,'TAR FIN'!$A$1:$O$88,15,0))</f>
        <v>0</v>
      </c>
      <c r="W165" s="6">
        <f>IF(ISERROR(VLOOKUP($T$165,'TAR FIN'!$A$1:$O$88,15,0)),0,VLOOKUP($T$165,'TAR FIN'!$A$1:$O$88,15,0))</f>
        <v>0</v>
      </c>
      <c r="X165" s="6">
        <f>IF(ISERROR(VLOOKUP($U$165,'TAR FIN'!$A$1:$O$88,15,0)),0,VLOOKUP($U$165,'TAR FIN'!$A$1:$O$88,15,0))</f>
        <v>0</v>
      </c>
      <c r="Y165" s="6"/>
      <c r="Z165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5" s="6">
        <f>('TE BE'!$AB$14+'TE BF'!$AB$14+'TE CVA'!$AB$14)*(1-CUSTOS!$M$36)</f>
        <v>261.47687646400703</v>
      </c>
      <c r="AB165" s="6">
        <f>$K$165*$V$165</f>
        <v>0</v>
      </c>
      <c r="AC165" s="6">
        <f>$M$165*$W$165</f>
        <v>0</v>
      </c>
      <c r="AD165" s="6">
        <f>$O$165*$X$165</f>
        <v>0</v>
      </c>
      <c r="AE165" s="6">
        <f>$K$165*$Y$165</f>
        <v>0</v>
      </c>
      <c r="AF165" s="6">
        <f ca="1">$M$165*$Z$165</f>
        <v>8811.1039290624321</v>
      </c>
      <c r="AG165" s="6">
        <f>$O$165*$AA$165</f>
        <v>6932.7979025666828</v>
      </c>
    </row>
    <row r="166" spans="1:3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30</v>
      </c>
      <c r="F166" s="4" t="s">
        <v>25</v>
      </c>
      <c r="G166" s="4" t="s">
        <v>25</v>
      </c>
      <c r="H166" s="4" t="s">
        <v>25</v>
      </c>
      <c r="I166" s="5">
        <v>44652</v>
      </c>
      <c r="J166" s="6">
        <v>0</v>
      </c>
      <c r="K166" s="6">
        <v>0</v>
      </c>
      <c r="L166" s="6">
        <v>29.779</v>
      </c>
      <c r="M166" s="6">
        <v>29.779</v>
      </c>
      <c r="N166" s="6">
        <v>29.779</v>
      </c>
      <c r="O166" s="6">
        <v>29.779</v>
      </c>
      <c r="P166" s="6">
        <v>175</v>
      </c>
      <c r="Q166" s="4" t="s">
        <v>26</v>
      </c>
      <c r="R166" s="4">
        <v>0</v>
      </c>
      <c r="S166" s="6">
        <v>0</v>
      </c>
      <c r="T166" s="6">
        <v>21</v>
      </c>
      <c r="U166" s="6">
        <v>59</v>
      </c>
      <c r="V166" s="6">
        <f>IF(ISERROR(VLOOKUP($S$166,'TAR FIN'!$A$1:$O$88,15,0)),0,VLOOKUP($S$166,'TAR FIN'!$A$1:$O$88,15,0))</f>
        <v>0</v>
      </c>
      <c r="W166" s="6">
        <f>IF(ISERROR(VLOOKUP($T$166,'TAR FIN'!$A$1:$O$88,15,0)),0,VLOOKUP($T$166,'TAR FIN'!$A$1:$O$88,15,0))</f>
        <v>0</v>
      </c>
      <c r="X166" s="6">
        <f>IF(ISERROR(VLOOKUP($U$166,'TAR FIN'!$A$1:$O$88,15,0)),0,VLOOKUP($U$166,'TAR FIN'!$A$1:$O$88,15,0))</f>
        <v>0</v>
      </c>
      <c r="Y166" s="6"/>
      <c r="Z166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6" s="6">
        <f>('TE BE'!$AB$14+'TE BF'!$AB$14+'TE CVA'!$AB$14)*(1-CUSTOS!$M$36)</f>
        <v>261.47687646400703</v>
      </c>
      <c r="AB166" s="6">
        <f>$K$166*$V$166</f>
        <v>0</v>
      </c>
      <c r="AC166" s="6">
        <f>$M$166*$W$166</f>
        <v>0</v>
      </c>
      <c r="AD166" s="6">
        <f>$O$166*$X$166</f>
        <v>0</v>
      </c>
      <c r="AE166" s="6">
        <f>$K$166*$Y$166</f>
        <v>0</v>
      </c>
      <c r="AF166" s="6">
        <f ca="1">$M$166*$Z$166</f>
        <v>9896.1252132288664</v>
      </c>
      <c r="AG166" s="6">
        <f>$O$166*$AA$166</f>
        <v>7786.5199042216655</v>
      </c>
    </row>
    <row r="167" spans="1:33" ht="11.25" customHeight="1" x14ac:dyDescent="0.25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30</v>
      </c>
      <c r="F167" s="4" t="s">
        <v>25</v>
      </c>
      <c r="G167" s="4" t="s">
        <v>25</v>
      </c>
      <c r="H167" s="4" t="s">
        <v>25</v>
      </c>
      <c r="I167" s="5">
        <v>44682</v>
      </c>
      <c r="J167" s="6">
        <v>0</v>
      </c>
      <c r="K167" s="6">
        <v>0</v>
      </c>
      <c r="L167" s="6">
        <v>28.013000000000002</v>
      </c>
      <c r="M167" s="6">
        <v>28.013000000000002</v>
      </c>
      <c r="N167" s="6">
        <v>28.013000000000002</v>
      </c>
      <c r="O167" s="6">
        <v>28.013000000000002</v>
      </c>
      <c r="P167" s="6">
        <v>201</v>
      </c>
      <c r="Q167" s="4" t="s">
        <v>26</v>
      </c>
      <c r="R167" s="4">
        <v>0</v>
      </c>
      <c r="S167" s="6">
        <v>0</v>
      </c>
      <c r="T167" s="6">
        <v>21</v>
      </c>
      <c r="U167" s="6">
        <v>59</v>
      </c>
      <c r="V167" s="6">
        <f>IF(ISERROR(VLOOKUP($S$167,'TAR FIN'!$A$1:$O$88,15,0)),0,VLOOKUP($S$167,'TAR FIN'!$A$1:$O$88,15,0))</f>
        <v>0</v>
      </c>
      <c r="W167" s="6">
        <f>IF(ISERROR(VLOOKUP($T$167,'TAR FIN'!$A$1:$O$88,15,0)),0,VLOOKUP($T$167,'TAR FIN'!$A$1:$O$88,15,0))</f>
        <v>0</v>
      </c>
      <c r="X167" s="6">
        <f>IF(ISERROR(VLOOKUP($U$167,'TAR FIN'!$A$1:$O$88,15,0)),0,VLOOKUP($U$167,'TAR FIN'!$A$1:$O$88,15,0))</f>
        <v>0</v>
      </c>
      <c r="Y167" s="6"/>
      <c r="Z167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7" s="6">
        <f>('TE BE'!$AB$14+'TE BF'!$AB$14+'TE CVA'!$AB$14)*(1-CUSTOS!$M$36)</f>
        <v>261.47687646400703</v>
      </c>
      <c r="AB167" s="6">
        <f>$K$167*$V$167</f>
        <v>0</v>
      </c>
      <c r="AC167" s="6">
        <f>$M$167*$W$167</f>
        <v>0</v>
      </c>
      <c r="AD167" s="6">
        <f>$O$167*$X$167</f>
        <v>0</v>
      </c>
      <c r="AE167" s="6">
        <f>$K$167*$Y$167</f>
        <v>0</v>
      </c>
      <c r="AF167" s="6">
        <f ca="1">$M$167*$Z$167</f>
        <v>9309.2499949017856</v>
      </c>
      <c r="AG167" s="6">
        <f>$O$167*$AA$167</f>
        <v>7324.7517403862294</v>
      </c>
    </row>
    <row r="168" spans="1:33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30</v>
      </c>
      <c r="F168" s="4" t="s">
        <v>25</v>
      </c>
      <c r="G168" s="4" t="s">
        <v>25</v>
      </c>
      <c r="H168" s="4" t="s">
        <v>25</v>
      </c>
      <c r="I168" s="5">
        <v>44713</v>
      </c>
      <c r="J168" s="6">
        <v>0</v>
      </c>
      <c r="K168" s="6">
        <v>0</v>
      </c>
      <c r="L168" s="6">
        <v>22.375</v>
      </c>
      <c r="M168" s="6">
        <v>22.375</v>
      </c>
      <c r="N168" s="6">
        <v>22.375</v>
      </c>
      <c r="O168" s="6">
        <v>22.375</v>
      </c>
      <c r="P168" s="6">
        <v>181</v>
      </c>
      <c r="Q168" s="4" t="s">
        <v>26</v>
      </c>
      <c r="R168" s="4">
        <v>0</v>
      </c>
      <c r="S168" s="6">
        <v>0</v>
      </c>
      <c r="T168" s="6">
        <v>21</v>
      </c>
      <c r="U168" s="6">
        <v>59</v>
      </c>
      <c r="V168" s="6">
        <f>IF(ISERROR(VLOOKUP($S$168,'TAR FIN'!$A$1:$O$88,15,0)),0,VLOOKUP($S$168,'TAR FIN'!$A$1:$O$88,15,0))</f>
        <v>0</v>
      </c>
      <c r="W168" s="6">
        <f>IF(ISERROR(VLOOKUP($T$168,'TAR FIN'!$A$1:$O$88,15,0)),0,VLOOKUP($T$168,'TAR FIN'!$A$1:$O$88,15,0))</f>
        <v>0</v>
      </c>
      <c r="X168" s="6">
        <f>IF(ISERROR(VLOOKUP($U$168,'TAR FIN'!$A$1:$O$88,15,0)),0,VLOOKUP($U$168,'TAR FIN'!$A$1:$O$88,15,0))</f>
        <v>0</v>
      </c>
      <c r="Y168" s="6"/>
      <c r="Z168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8" s="6">
        <f>('TE BE'!$AB$14+'TE BF'!$AB$14+'TE CVA'!$AB$14)*(1-CUSTOS!$M$36)</f>
        <v>261.47687646400703</v>
      </c>
      <c r="AB168" s="6">
        <f>$K$168*$V$168</f>
        <v>0</v>
      </c>
      <c r="AC168" s="6">
        <f>$M$168*$W$168</f>
        <v>0</v>
      </c>
      <c r="AD168" s="6">
        <f>$O$168*$X$168</f>
        <v>0</v>
      </c>
      <c r="AE168" s="6">
        <f>$K$168*$Y$168</f>
        <v>0</v>
      </c>
      <c r="AF168" s="6">
        <f ca="1">$M$168*$Z$168</f>
        <v>7435.6359060410323</v>
      </c>
      <c r="AG168" s="6">
        <f>$O$168*$AA$168</f>
        <v>5850.5451108821571</v>
      </c>
    </row>
    <row r="169" spans="1:33" ht="11.25" customHeight="1" x14ac:dyDescent="0.25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30</v>
      </c>
      <c r="F169" s="4" t="s">
        <v>25</v>
      </c>
      <c r="G169" s="4" t="s">
        <v>25</v>
      </c>
      <c r="H169" s="4" t="s">
        <v>25</v>
      </c>
      <c r="I169" s="5">
        <v>44743</v>
      </c>
      <c r="J169" s="6">
        <v>0</v>
      </c>
      <c r="K169" s="6">
        <v>0</v>
      </c>
      <c r="L169" s="6">
        <v>22.675000000000001</v>
      </c>
      <c r="M169" s="6">
        <v>22.675000000000001</v>
      </c>
      <c r="N169" s="6">
        <v>22.675000000000001</v>
      </c>
      <c r="O169" s="6">
        <v>22.675000000000001</v>
      </c>
      <c r="P169" s="6">
        <v>157</v>
      </c>
      <c r="Q169" s="4" t="s">
        <v>26</v>
      </c>
      <c r="R169" s="4">
        <v>0</v>
      </c>
      <c r="S169" s="6">
        <v>0</v>
      </c>
      <c r="T169" s="6">
        <v>21</v>
      </c>
      <c r="U169" s="6">
        <v>59</v>
      </c>
      <c r="V169" s="6">
        <f>IF(ISERROR(VLOOKUP($S$169,'TAR FIN'!$A$1:$O$88,15,0)),0,VLOOKUP($S$169,'TAR FIN'!$A$1:$O$88,15,0))</f>
        <v>0</v>
      </c>
      <c r="W169" s="6">
        <f>IF(ISERROR(VLOOKUP($T$169,'TAR FIN'!$A$1:$O$88,15,0)),0,VLOOKUP($T$169,'TAR FIN'!$A$1:$O$88,15,0))</f>
        <v>0</v>
      </c>
      <c r="X169" s="6">
        <f>IF(ISERROR(VLOOKUP($U$169,'TAR FIN'!$A$1:$O$88,15,0)),0,VLOOKUP($U$169,'TAR FIN'!$A$1:$O$88,15,0))</f>
        <v>0</v>
      </c>
      <c r="Y169" s="6"/>
      <c r="Z169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169" s="6">
        <f>('TE BE'!$AB$14+'TE BF'!$AB$14+'TE CVA'!$AB$14)*(1-CUSTOS!$M$36)</f>
        <v>261.47687646400703</v>
      </c>
      <c r="AB169" s="6">
        <f>$K$169*$V$169</f>
        <v>0</v>
      </c>
      <c r="AC169" s="6">
        <f>$M$169*$W$169</f>
        <v>0</v>
      </c>
      <c r="AD169" s="6">
        <f>$O$169*$X$169</f>
        <v>0</v>
      </c>
      <c r="AE169" s="6">
        <f>$K$169*$Y$169</f>
        <v>0</v>
      </c>
      <c r="AF169" s="6">
        <f ca="1">$M$169*$Z$169</f>
        <v>7535.3315829935382</v>
      </c>
      <c r="AG169" s="6">
        <f>$O$169*$AA$169</f>
        <v>5928.9881738213599</v>
      </c>
    </row>
    <row r="170" spans="1:33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31</v>
      </c>
      <c r="F170" s="4" t="s">
        <v>25</v>
      </c>
      <c r="G170" s="4" t="s">
        <v>25</v>
      </c>
      <c r="H170" s="4" t="s">
        <v>25</v>
      </c>
      <c r="I170" s="5">
        <v>44409</v>
      </c>
      <c r="J170" s="6">
        <v>0</v>
      </c>
      <c r="K170" s="6">
        <v>0</v>
      </c>
      <c r="L170" s="6">
        <v>7.9669999999999996</v>
      </c>
      <c r="M170" s="6">
        <v>7.9669999999999996</v>
      </c>
      <c r="N170" s="6">
        <v>7.9669999999999996</v>
      </c>
      <c r="O170" s="6">
        <v>7.9669999999999996</v>
      </c>
      <c r="P170" s="6">
        <v>109</v>
      </c>
      <c r="Q170" s="4" t="s">
        <v>26</v>
      </c>
      <c r="R170" s="4">
        <v>0</v>
      </c>
      <c r="S170" s="6">
        <v>0</v>
      </c>
      <c r="T170" s="6">
        <v>22</v>
      </c>
      <c r="U170" s="6">
        <v>60</v>
      </c>
      <c r="V170" s="6">
        <f>IF(ISERROR(VLOOKUP($S$170,'TAR FIN'!$A$1:$O$88,15,0)),0,VLOOKUP($S$170,'TAR FIN'!$A$1:$O$88,15,0))</f>
        <v>0</v>
      </c>
      <c r="W170" s="6">
        <f>IF(ISERROR(VLOOKUP($T$170,'TAR FIN'!$A$1:$O$88,15,0)),0,VLOOKUP($T$170,'TAR FIN'!$A$1:$O$88,15,0))</f>
        <v>0</v>
      </c>
      <c r="X170" s="6">
        <f>IF(ISERROR(VLOOKUP($U$170,'TAR FIN'!$A$1:$O$88,15,0)),0,VLOOKUP($U$170,'TAR FIN'!$A$1:$O$88,15,0))</f>
        <v>0</v>
      </c>
      <c r="Y170" s="6"/>
      <c r="Z170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0" s="6">
        <f>('TE BE'!$AB$15+'TE BF'!$AB$15+'TE CVA'!$AB$15)*(1-CUSTOS!$M$37)</f>
        <v>290.52986273778561</v>
      </c>
      <c r="AB170" s="6">
        <f>$K$170*$V$170</f>
        <v>0</v>
      </c>
      <c r="AC170" s="6">
        <f>$M$170*$W$170</f>
        <v>0</v>
      </c>
      <c r="AD170" s="6">
        <f>$O$170*$X$170</f>
        <v>0</v>
      </c>
      <c r="AE170" s="6">
        <f>$K$170*$Y$170</f>
        <v>0</v>
      </c>
      <c r="AF170" s="6">
        <f ca="1">$M$170*$Z$170</f>
        <v>2941.7609565948555</v>
      </c>
      <c r="AG170" s="6">
        <f>$O$170*$AA$170</f>
        <v>2314.6514164319378</v>
      </c>
    </row>
    <row r="171" spans="1:33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31</v>
      </c>
      <c r="F171" s="4" t="s">
        <v>25</v>
      </c>
      <c r="G171" s="4" t="s">
        <v>25</v>
      </c>
      <c r="H171" s="4" t="s">
        <v>25</v>
      </c>
      <c r="I171" s="5">
        <v>44440</v>
      </c>
      <c r="J171" s="6">
        <v>0</v>
      </c>
      <c r="K171" s="6">
        <v>0</v>
      </c>
      <c r="L171" s="6">
        <v>5.3879999999999999</v>
      </c>
      <c r="M171" s="6">
        <v>5.3879999999999999</v>
      </c>
      <c r="N171" s="6">
        <v>5.3879999999999999</v>
      </c>
      <c r="O171" s="6">
        <v>5.3879999999999999</v>
      </c>
      <c r="P171" s="6">
        <v>81</v>
      </c>
      <c r="Q171" s="4" t="s">
        <v>26</v>
      </c>
      <c r="R171" s="4">
        <v>0</v>
      </c>
      <c r="S171" s="6">
        <v>0</v>
      </c>
      <c r="T171" s="6">
        <v>22</v>
      </c>
      <c r="U171" s="6">
        <v>60</v>
      </c>
      <c r="V171" s="6">
        <f>IF(ISERROR(VLOOKUP($S$171,'TAR FIN'!$A$1:$O$88,15,0)),0,VLOOKUP($S$171,'TAR FIN'!$A$1:$O$88,15,0))</f>
        <v>0</v>
      </c>
      <c r="W171" s="6">
        <f>IF(ISERROR(VLOOKUP($T$171,'TAR FIN'!$A$1:$O$88,15,0)),0,VLOOKUP($T$171,'TAR FIN'!$A$1:$O$88,15,0))</f>
        <v>0</v>
      </c>
      <c r="X171" s="6">
        <f>IF(ISERROR(VLOOKUP($U$171,'TAR FIN'!$A$1:$O$88,15,0)),0,VLOOKUP($U$171,'TAR FIN'!$A$1:$O$88,15,0))</f>
        <v>0</v>
      </c>
      <c r="Y171" s="6"/>
      <c r="Z171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1" s="6">
        <f>('TE BE'!$AB$15+'TE BF'!$AB$15+'TE CVA'!$AB$15)*(1-CUSTOS!$M$37)</f>
        <v>290.52986273778561</v>
      </c>
      <c r="AB171" s="6">
        <f>$K$171*$V$171</f>
        <v>0</v>
      </c>
      <c r="AC171" s="6">
        <f>$M$171*$W$171</f>
        <v>0</v>
      </c>
      <c r="AD171" s="6">
        <f>$O$171*$X$171</f>
        <v>0</v>
      </c>
      <c r="AE171" s="6">
        <f>$K$171*$Y$171</f>
        <v>0</v>
      </c>
      <c r="AF171" s="6">
        <f ca="1">$M$171*$Z$171</f>
        <v>1989.4826200744421</v>
      </c>
      <c r="AG171" s="6">
        <f>$O$171*$AA$171</f>
        <v>1565.3749004311887</v>
      </c>
    </row>
    <row r="172" spans="1:33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31</v>
      </c>
      <c r="F172" s="4" t="s">
        <v>25</v>
      </c>
      <c r="G172" s="4" t="s">
        <v>25</v>
      </c>
      <c r="H172" s="4" t="s">
        <v>25</v>
      </c>
      <c r="I172" s="5">
        <v>44470</v>
      </c>
      <c r="J172" s="6">
        <v>0</v>
      </c>
      <c r="K172" s="6">
        <v>0</v>
      </c>
      <c r="L172" s="6">
        <v>9.2989999999999995</v>
      </c>
      <c r="M172" s="6">
        <v>9.2989999999999995</v>
      </c>
      <c r="N172" s="6">
        <v>9.2989999999999995</v>
      </c>
      <c r="O172" s="6">
        <v>9.2989999999999995</v>
      </c>
      <c r="P172" s="6">
        <v>126</v>
      </c>
      <c r="Q172" s="4" t="s">
        <v>26</v>
      </c>
      <c r="R172" s="4">
        <v>0</v>
      </c>
      <c r="S172" s="6">
        <v>0</v>
      </c>
      <c r="T172" s="6">
        <v>22</v>
      </c>
      <c r="U172" s="6">
        <v>60</v>
      </c>
      <c r="V172" s="6">
        <f>IF(ISERROR(VLOOKUP($S$172,'TAR FIN'!$A$1:$O$88,15,0)),0,VLOOKUP($S$172,'TAR FIN'!$A$1:$O$88,15,0))</f>
        <v>0</v>
      </c>
      <c r="W172" s="6">
        <f>IF(ISERROR(VLOOKUP($T$172,'TAR FIN'!$A$1:$O$88,15,0)),0,VLOOKUP($T$172,'TAR FIN'!$A$1:$O$88,15,0))</f>
        <v>0</v>
      </c>
      <c r="X172" s="6">
        <f>IF(ISERROR(VLOOKUP($U$172,'TAR FIN'!$A$1:$O$88,15,0)),0,VLOOKUP($U$172,'TAR FIN'!$A$1:$O$88,15,0))</f>
        <v>0</v>
      </c>
      <c r="Y172" s="6"/>
      <c r="Z172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2" s="6">
        <f>('TE BE'!$AB$15+'TE BF'!$AB$15+'TE CVA'!$AB$15)*(1-CUSTOS!$M$37)</f>
        <v>290.52986273778561</v>
      </c>
      <c r="AB172" s="6">
        <f>$K$172*$V$172</f>
        <v>0</v>
      </c>
      <c r="AC172" s="6">
        <f>$M$172*$W$172</f>
        <v>0</v>
      </c>
      <c r="AD172" s="6">
        <f>$O$172*$X$172</f>
        <v>0</v>
      </c>
      <c r="AE172" s="6">
        <f>$K$172*$Y$172</f>
        <v>0</v>
      </c>
      <c r="AF172" s="6">
        <f ca="1">$M$172*$Z$172</f>
        <v>3433.5929628938825</v>
      </c>
      <c r="AG172" s="6">
        <f>$O$172*$AA$172</f>
        <v>2701.6371935986681</v>
      </c>
    </row>
    <row r="173" spans="1:33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31</v>
      </c>
      <c r="F173" s="4" t="s">
        <v>25</v>
      </c>
      <c r="G173" s="4" t="s">
        <v>25</v>
      </c>
      <c r="H173" s="4" t="s">
        <v>25</v>
      </c>
      <c r="I173" s="5">
        <v>44501</v>
      </c>
      <c r="J173" s="6">
        <v>0</v>
      </c>
      <c r="K173" s="6">
        <v>0</v>
      </c>
      <c r="L173" s="6">
        <v>5.3890000000000002</v>
      </c>
      <c r="M173" s="6">
        <v>5.3890000000000002</v>
      </c>
      <c r="N173" s="6">
        <v>5.3890000000000002</v>
      </c>
      <c r="O173" s="6">
        <v>5.3890000000000002</v>
      </c>
      <c r="P173" s="6">
        <v>84</v>
      </c>
      <c r="Q173" s="4" t="s">
        <v>26</v>
      </c>
      <c r="R173" s="4">
        <v>0</v>
      </c>
      <c r="S173" s="6">
        <v>0</v>
      </c>
      <c r="T173" s="6">
        <v>22</v>
      </c>
      <c r="U173" s="6">
        <v>60</v>
      </c>
      <c r="V173" s="6">
        <f>IF(ISERROR(VLOOKUP($S$173,'TAR FIN'!$A$1:$O$88,15,0)),0,VLOOKUP($S$173,'TAR FIN'!$A$1:$O$88,15,0))</f>
        <v>0</v>
      </c>
      <c r="W173" s="6">
        <f>IF(ISERROR(VLOOKUP($T$173,'TAR FIN'!$A$1:$O$88,15,0)),0,VLOOKUP($T$173,'TAR FIN'!$A$1:$O$88,15,0))</f>
        <v>0</v>
      </c>
      <c r="X173" s="6">
        <f>IF(ISERROR(VLOOKUP($U$173,'TAR FIN'!$A$1:$O$88,15,0)),0,VLOOKUP($U$173,'TAR FIN'!$A$1:$O$88,15,0))</f>
        <v>0</v>
      </c>
      <c r="Y173" s="6"/>
      <c r="Z173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3" s="6">
        <f>('TE BE'!$AB$15+'TE BF'!$AB$15+'TE CVA'!$AB$15)*(1-CUSTOS!$M$37)</f>
        <v>290.52986273778561</v>
      </c>
      <c r="AB173" s="6">
        <f>$K$173*$V$173</f>
        <v>0</v>
      </c>
      <c r="AC173" s="6">
        <f>$M$173*$W$173</f>
        <v>0</v>
      </c>
      <c r="AD173" s="6">
        <f>$O$173*$X$173</f>
        <v>0</v>
      </c>
      <c r="AE173" s="6">
        <f>$K$173*$Y$173</f>
        <v>0</v>
      </c>
      <c r="AF173" s="6">
        <f ca="1">$M$173*$Z$173</f>
        <v>1989.8518633224146</v>
      </c>
      <c r="AG173" s="6">
        <f>$O$173*$AA$173</f>
        <v>1565.6654302939266</v>
      </c>
    </row>
    <row r="174" spans="1:33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31</v>
      </c>
      <c r="F174" s="4" t="s">
        <v>25</v>
      </c>
      <c r="G174" s="4" t="s">
        <v>25</v>
      </c>
      <c r="H174" s="4" t="s">
        <v>25</v>
      </c>
      <c r="I174" s="5">
        <v>44531</v>
      </c>
      <c r="J174" s="6">
        <v>0</v>
      </c>
      <c r="K174" s="6">
        <v>0</v>
      </c>
      <c r="L174" s="6">
        <v>8.0939999999999994</v>
      </c>
      <c r="M174" s="6">
        <v>8.0939999999999994</v>
      </c>
      <c r="N174" s="6">
        <v>8.0939999999999994</v>
      </c>
      <c r="O174" s="6">
        <v>8.0939999999999994</v>
      </c>
      <c r="P174" s="6">
        <v>112</v>
      </c>
      <c r="Q174" s="4" t="s">
        <v>26</v>
      </c>
      <c r="R174" s="4">
        <v>0</v>
      </c>
      <c r="S174" s="6">
        <v>0</v>
      </c>
      <c r="T174" s="6">
        <v>22</v>
      </c>
      <c r="U174" s="6">
        <v>60</v>
      </c>
      <c r="V174" s="6">
        <f>IF(ISERROR(VLOOKUP($S$174,'TAR FIN'!$A$1:$O$88,15,0)),0,VLOOKUP($S$174,'TAR FIN'!$A$1:$O$88,15,0))</f>
        <v>0</v>
      </c>
      <c r="W174" s="6">
        <f>IF(ISERROR(VLOOKUP($T$174,'TAR FIN'!$A$1:$O$88,15,0)),0,VLOOKUP($T$174,'TAR FIN'!$A$1:$O$88,15,0))</f>
        <v>0</v>
      </c>
      <c r="X174" s="6">
        <f>IF(ISERROR(VLOOKUP($U$174,'TAR FIN'!$A$1:$O$88,15,0)),0,VLOOKUP($U$174,'TAR FIN'!$A$1:$O$88,15,0))</f>
        <v>0</v>
      </c>
      <c r="Y174" s="6"/>
      <c r="Z174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4" s="6">
        <f>('TE BE'!$AB$15+'TE BF'!$AB$15+'TE CVA'!$AB$15)*(1-CUSTOS!$M$37)</f>
        <v>290.52986273778561</v>
      </c>
      <c r="AB174" s="6">
        <f>$K$174*$V$174</f>
        <v>0</v>
      </c>
      <c r="AC174" s="6">
        <f>$M$174*$W$174</f>
        <v>0</v>
      </c>
      <c r="AD174" s="6">
        <f>$O$174*$X$174</f>
        <v>0</v>
      </c>
      <c r="AE174" s="6">
        <f>$K$174*$Y$174</f>
        <v>0</v>
      </c>
      <c r="AF174" s="6">
        <f ca="1">$M$174*$Z$174</f>
        <v>2988.6548490873301</v>
      </c>
      <c r="AG174" s="6">
        <f>$O$174*$AA$174</f>
        <v>2351.5487089996363</v>
      </c>
    </row>
    <row r="175" spans="1:33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31</v>
      </c>
      <c r="F175" s="4" t="s">
        <v>25</v>
      </c>
      <c r="G175" s="4" t="s">
        <v>25</v>
      </c>
      <c r="H175" s="4" t="s">
        <v>25</v>
      </c>
      <c r="I175" s="5">
        <v>44562</v>
      </c>
      <c r="J175" s="6">
        <v>0</v>
      </c>
      <c r="K175" s="6">
        <v>0</v>
      </c>
      <c r="L175" s="6">
        <v>6.9139999999999997</v>
      </c>
      <c r="M175" s="6">
        <v>6.9139999999999997</v>
      </c>
      <c r="N175" s="6">
        <v>6.9139999999999997</v>
      </c>
      <c r="O175" s="6">
        <v>6.9139999999999997</v>
      </c>
      <c r="P175" s="6">
        <v>98</v>
      </c>
      <c r="Q175" s="4" t="s">
        <v>26</v>
      </c>
      <c r="R175" s="4">
        <v>0</v>
      </c>
      <c r="S175" s="6">
        <v>0</v>
      </c>
      <c r="T175" s="6">
        <v>22</v>
      </c>
      <c r="U175" s="6">
        <v>60</v>
      </c>
      <c r="V175" s="6">
        <f>IF(ISERROR(VLOOKUP($S$175,'TAR FIN'!$A$1:$O$88,15,0)),0,VLOOKUP($S$175,'TAR FIN'!$A$1:$O$88,15,0))</f>
        <v>0</v>
      </c>
      <c r="W175" s="6">
        <f>IF(ISERROR(VLOOKUP($T$175,'TAR FIN'!$A$1:$O$88,15,0)),0,VLOOKUP($T$175,'TAR FIN'!$A$1:$O$88,15,0))</f>
        <v>0</v>
      </c>
      <c r="X175" s="6">
        <f>IF(ISERROR(VLOOKUP($U$175,'TAR FIN'!$A$1:$O$88,15,0)),0,VLOOKUP($U$175,'TAR FIN'!$A$1:$O$88,15,0))</f>
        <v>0</v>
      </c>
      <c r="Y175" s="6"/>
      <c r="Z175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5" s="6">
        <f>('TE BE'!$AB$15+'TE BF'!$AB$15+'TE CVA'!$AB$15)*(1-CUSTOS!$M$37)</f>
        <v>290.52986273778561</v>
      </c>
      <c r="AB175" s="6">
        <f>$K$175*$V$175</f>
        <v>0</v>
      </c>
      <c r="AC175" s="6">
        <f>$M$175*$W$175</f>
        <v>0</v>
      </c>
      <c r="AD175" s="6">
        <f>$O$175*$X$175</f>
        <v>0</v>
      </c>
      <c r="AE175" s="6">
        <f>$K$175*$Y$175</f>
        <v>0</v>
      </c>
      <c r="AF175" s="6">
        <f ca="1">$M$175*$Z$175</f>
        <v>2552.9478164800839</v>
      </c>
      <c r="AG175" s="6">
        <f>$O$175*$AA$175</f>
        <v>2008.7234709690497</v>
      </c>
    </row>
    <row r="176" spans="1:33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31</v>
      </c>
      <c r="F176" s="4" t="s">
        <v>25</v>
      </c>
      <c r="G176" s="4" t="s">
        <v>25</v>
      </c>
      <c r="H176" s="4" t="s">
        <v>25</v>
      </c>
      <c r="I176" s="5">
        <v>44593</v>
      </c>
      <c r="J176" s="6">
        <v>0</v>
      </c>
      <c r="K176" s="6">
        <v>0</v>
      </c>
      <c r="L176" s="6">
        <v>18.236999999999998</v>
      </c>
      <c r="M176" s="6">
        <v>18.236999999999998</v>
      </c>
      <c r="N176" s="6">
        <v>18.236999999999998</v>
      </c>
      <c r="O176" s="6">
        <v>18.236999999999998</v>
      </c>
      <c r="P176" s="6">
        <v>180</v>
      </c>
      <c r="Q176" s="4" t="s">
        <v>26</v>
      </c>
      <c r="R176" s="4">
        <v>0</v>
      </c>
      <c r="S176" s="6">
        <v>0</v>
      </c>
      <c r="T176" s="6">
        <v>22</v>
      </c>
      <c r="U176" s="6">
        <v>60</v>
      </c>
      <c r="V176" s="6">
        <f>IF(ISERROR(VLOOKUP($S$176,'TAR FIN'!$A$1:$O$88,15,0)),0,VLOOKUP($S$176,'TAR FIN'!$A$1:$O$88,15,0))</f>
        <v>0</v>
      </c>
      <c r="W176" s="6">
        <f>IF(ISERROR(VLOOKUP($T$176,'TAR FIN'!$A$1:$O$88,15,0)),0,VLOOKUP($T$176,'TAR FIN'!$A$1:$O$88,15,0))</f>
        <v>0</v>
      </c>
      <c r="X176" s="6">
        <f>IF(ISERROR(VLOOKUP($U$176,'TAR FIN'!$A$1:$O$88,15,0)),0,VLOOKUP($U$176,'TAR FIN'!$A$1:$O$88,15,0))</f>
        <v>0</v>
      </c>
      <c r="Y176" s="6"/>
      <c r="Z176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6" s="6">
        <f>('TE BE'!$AB$15+'TE BF'!$AB$15+'TE CVA'!$AB$15)*(1-CUSTOS!$M$37)</f>
        <v>290.52986273778561</v>
      </c>
      <c r="AB176" s="6">
        <f>$K$176*$V$176</f>
        <v>0</v>
      </c>
      <c r="AC176" s="6">
        <f>$M$176*$W$176</f>
        <v>0</v>
      </c>
      <c r="AD176" s="6">
        <f>$O$176*$X$176</f>
        <v>0</v>
      </c>
      <c r="AE176" s="6">
        <f>$K$176*$Y$176</f>
        <v>0</v>
      </c>
      <c r="AF176" s="6">
        <f ca="1">$M$176*$Z$176</f>
        <v>6733.8891132697845</v>
      </c>
      <c r="AG176" s="6">
        <f>$O$176*$AA$176</f>
        <v>5298.3931067489957</v>
      </c>
    </row>
    <row r="177" spans="1:33" ht="11.25" customHeight="1" x14ac:dyDescent="0.25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31</v>
      </c>
      <c r="F177" s="4" t="s">
        <v>25</v>
      </c>
      <c r="G177" s="4" t="s">
        <v>25</v>
      </c>
      <c r="H177" s="4" t="s">
        <v>25</v>
      </c>
      <c r="I177" s="5">
        <v>44621</v>
      </c>
      <c r="J177" s="6">
        <v>0</v>
      </c>
      <c r="K177" s="6">
        <v>0</v>
      </c>
      <c r="L177" s="6">
        <v>9.5129999999999999</v>
      </c>
      <c r="M177" s="6">
        <v>9.5129999999999999</v>
      </c>
      <c r="N177" s="6">
        <v>9.5129999999999999</v>
      </c>
      <c r="O177" s="6">
        <v>9.5129999999999999</v>
      </c>
      <c r="P177" s="6">
        <v>121</v>
      </c>
      <c r="Q177" s="4" t="s">
        <v>26</v>
      </c>
      <c r="R177" s="4">
        <v>0</v>
      </c>
      <c r="S177" s="6">
        <v>0</v>
      </c>
      <c r="T177" s="6">
        <v>22</v>
      </c>
      <c r="U177" s="6">
        <v>60</v>
      </c>
      <c r="V177" s="6">
        <f>IF(ISERROR(VLOOKUP($S$177,'TAR FIN'!$A$1:$O$88,15,0)),0,VLOOKUP($S$177,'TAR FIN'!$A$1:$O$88,15,0))</f>
        <v>0</v>
      </c>
      <c r="W177" s="6">
        <f>IF(ISERROR(VLOOKUP($T$177,'TAR FIN'!$A$1:$O$88,15,0)),0,VLOOKUP($T$177,'TAR FIN'!$A$1:$O$88,15,0))</f>
        <v>0</v>
      </c>
      <c r="X177" s="6">
        <f>IF(ISERROR(VLOOKUP($U$177,'TAR FIN'!$A$1:$O$88,15,0)),0,VLOOKUP($U$177,'TAR FIN'!$A$1:$O$88,15,0))</f>
        <v>0</v>
      </c>
      <c r="Y177" s="6"/>
      <c r="Z177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7" s="6">
        <f>('TE BE'!$AB$15+'TE BF'!$AB$15+'TE CVA'!$AB$15)*(1-CUSTOS!$M$37)</f>
        <v>290.52986273778561</v>
      </c>
      <c r="AB177" s="6">
        <f>$K$177*$V$177</f>
        <v>0</v>
      </c>
      <c r="AC177" s="6">
        <f>$M$177*$W$177</f>
        <v>0</v>
      </c>
      <c r="AD177" s="6">
        <f>$O$177*$X$177</f>
        <v>0</v>
      </c>
      <c r="AE177" s="6">
        <f>$K$177*$Y$177</f>
        <v>0</v>
      </c>
      <c r="AF177" s="6">
        <f ca="1">$M$177*$Z$177</f>
        <v>3512.6110179599423</v>
      </c>
      <c r="AG177" s="6">
        <f>$O$177*$AA$177</f>
        <v>2763.8105842245545</v>
      </c>
    </row>
    <row r="178" spans="1:33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31</v>
      </c>
      <c r="F178" s="4" t="s">
        <v>25</v>
      </c>
      <c r="G178" s="4" t="s">
        <v>25</v>
      </c>
      <c r="H178" s="4" t="s">
        <v>25</v>
      </c>
      <c r="I178" s="5">
        <v>44652</v>
      </c>
      <c r="J178" s="6">
        <v>0</v>
      </c>
      <c r="K178" s="6">
        <v>0</v>
      </c>
      <c r="L178" s="6">
        <v>13.606999999999999</v>
      </c>
      <c r="M178" s="6">
        <v>13.606999999999999</v>
      </c>
      <c r="N178" s="6">
        <v>13.606999999999999</v>
      </c>
      <c r="O178" s="6">
        <v>13.606999999999999</v>
      </c>
      <c r="P178" s="6">
        <v>152</v>
      </c>
      <c r="Q178" s="4" t="s">
        <v>26</v>
      </c>
      <c r="R178" s="4">
        <v>0</v>
      </c>
      <c r="S178" s="6">
        <v>0</v>
      </c>
      <c r="T178" s="6">
        <v>22</v>
      </c>
      <c r="U178" s="6">
        <v>60</v>
      </c>
      <c r="V178" s="6">
        <f>IF(ISERROR(VLOOKUP($S$178,'TAR FIN'!$A$1:$O$88,15,0)),0,VLOOKUP($S$178,'TAR FIN'!$A$1:$O$88,15,0))</f>
        <v>0</v>
      </c>
      <c r="W178" s="6">
        <f>IF(ISERROR(VLOOKUP($T$178,'TAR FIN'!$A$1:$O$88,15,0)),0,VLOOKUP($T$178,'TAR FIN'!$A$1:$O$88,15,0))</f>
        <v>0</v>
      </c>
      <c r="X178" s="6">
        <f>IF(ISERROR(VLOOKUP($U$178,'TAR FIN'!$A$1:$O$88,15,0)),0,VLOOKUP($U$178,'TAR FIN'!$A$1:$O$88,15,0))</f>
        <v>0</v>
      </c>
      <c r="Y178" s="6"/>
      <c r="Z178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8" s="6">
        <f>('TE BE'!$AB$15+'TE BF'!$AB$15+'TE CVA'!$AB$15)*(1-CUSTOS!$M$37)</f>
        <v>290.52986273778561</v>
      </c>
      <c r="AB178" s="6">
        <f>$K$178*$V$178</f>
        <v>0</v>
      </c>
      <c r="AC178" s="6">
        <f>$M$178*$W$178</f>
        <v>0</v>
      </c>
      <c r="AD178" s="6">
        <f>$O$178*$X$178</f>
        <v>0</v>
      </c>
      <c r="AE178" s="6">
        <f>$K$178*$Y$178</f>
        <v>0</v>
      </c>
      <c r="AF178" s="6">
        <f ca="1">$M$178*$Z$178</f>
        <v>5024.2928751583031</v>
      </c>
      <c r="AG178" s="6">
        <f>$O$178*$AA$178</f>
        <v>3953.2398422730485</v>
      </c>
    </row>
    <row r="179" spans="1:33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31</v>
      </c>
      <c r="F179" s="4" t="s">
        <v>25</v>
      </c>
      <c r="G179" s="4" t="s">
        <v>25</v>
      </c>
      <c r="H179" s="4" t="s">
        <v>25</v>
      </c>
      <c r="I179" s="5">
        <v>44682</v>
      </c>
      <c r="J179" s="6">
        <v>0</v>
      </c>
      <c r="K179" s="6">
        <v>0</v>
      </c>
      <c r="L179" s="6">
        <v>8.8539999999999992</v>
      </c>
      <c r="M179" s="6">
        <v>8.8539999999999992</v>
      </c>
      <c r="N179" s="6">
        <v>8.8539999999999992</v>
      </c>
      <c r="O179" s="6">
        <v>8.8539999999999992</v>
      </c>
      <c r="P179" s="6">
        <v>122</v>
      </c>
      <c r="Q179" s="4" t="s">
        <v>26</v>
      </c>
      <c r="R179" s="4">
        <v>0</v>
      </c>
      <c r="S179" s="6">
        <v>0</v>
      </c>
      <c r="T179" s="6">
        <v>22</v>
      </c>
      <c r="U179" s="6">
        <v>60</v>
      </c>
      <c r="V179" s="6">
        <f>IF(ISERROR(VLOOKUP($S$179,'TAR FIN'!$A$1:$O$88,15,0)),0,VLOOKUP($S$179,'TAR FIN'!$A$1:$O$88,15,0))</f>
        <v>0</v>
      </c>
      <c r="W179" s="6">
        <f>IF(ISERROR(VLOOKUP($T$179,'TAR FIN'!$A$1:$O$88,15,0)),0,VLOOKUP($T$179,'TAR FIN'!$A$1:$O$88,15,0))</f>
        <v>0</v>
      </c>
      <c r="X179" s="6">
        <f>IF(ISERROR(VLOOKUP($U$179,'TAR FIN'!$A$1:$O$88,15,0)),0,VLOOKUP($U$179,'TAR FIN'!$A$1:$O$88,15,0))</f>
        <v>0</v>
      </c>
      <c r="Y179" s="6"/>
      <c r="Z179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79" s="6">
        <f>('TE BE'!$AB$15+'TE BF'!$AB$15+'TE CVA'!$AB$15)*(1-CUSTOS!$M$37)</f>
        <v>290.52986273778561</v>
      </c>
      <c r="AB179" s="6">
        <f>$K$179*$V$179</f>
        <v>0</v>
      </c>
      <c r="AC179" s="6">
        <f>$M$179*$W$179</f>
        <v>0</v>
      </c>
      <c r="AD179" s="6">
        <f>$O$179*$X$179</f>
        <v>0</v>
      </c>
      <c r="AE179" s="6">
        <f>$K$179*$Y$179</f>
        <v>0</v>
      </c>
      <c r="AF179" s="6">
        <f ca="1">$M$179*$Z$179</f>
        <v>3269.2797175462342</v>
      </c>
      <c r="AG179" s="6">
        <f>$O$179*$AA$179</f>
        <v>2572.3514046803534</v>
      </c>
    </row>
    <row r="180" spans="1:33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31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0</v>
      </c>
      <c r="K180" s="6">
        <v>0</v>
      </c>
      <c r="L180" s="6">
        <v>5.9820000000000002</v>
      </c>
      <c r="M180" s="6">
        <v>5.9820000000000002</v>
      </c>
      <c r="N180" s="6">
        <v>5.9820000000000002</v>
      </c>
      <c r="O180" s="6">
        <v>5.9820000000000002</v>
      </c>
      <c r="P180" s="6">
        <v>93</v>
      </c>
      <c r="Q180" s="4" t="s">
        <v>26</v>
      </c>
      <c r="R180" s="4">
        <v>0</v>
      </c>
      <c r="S180" s="6">
        <v>0</v>
      </c>
      <c r="T180" s="6">
        <v>22</v>
      </c>
      <c r="U180" s="6">
        <v>60</v>
      </c>
      <c r="V180" s="6">
        <f>IF(ISERROR(VLOOKUP($S$180,'TAR FIN'!$A$1:$O$88,15,0)),0,VLOOKUP($S$180,'TAR FIN'!$A$1:$O$88,15,0))</f>
        <v>0</v>
      </c>
      <c r="W180" s="6">
        <f>IF(ISERROR(VLOOKUP($T$180,'TAR FIN'!$A$1:$O$88,15,0)),0,VLOOKUP($T$180,'TAR FIN'!$A$1:$O$88,15,0))</f>
        <v>0</v>
      </c>
      <c r="X180" s="6">
        <f>IF(ISERROR(VLOOKUP($U$180,'TAR FIN'!$A$1:$O$88,15,0)),0,VLOOKUP($U$180,'TAR FIN'!$A$1:$O$88,15,0))</f>
        <v>0</v>
      </c>
      <c r="Y180" s="6"/>
      <c r="Z180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80" s="6">
        <f>('TE BE'!$AB$15+'TE BF'!$AB$15+'TE CVA'!$AB$15)*(1-CUSTOS!$M$37)</f>
        <v>290.52986273778561</v>
      </c>
      <c r="AB180" s="6">
        <f>$K$180*$V$180</f>
        <v>0</v>
      </c>
      <c r="AC180" s="6">
        <f>$M$180*$W$180</f>
        <v>0</v>
      </c>
      <c r="AD180" s="6">
        <f>$O$180*$X$180</f>
        <v>0</v>
      </c>
      <c r="AE180" s="6">
        <f>$K$180*$Y$180</f>
        <v>0</v>
      </c>
      <c r="AF180" s="6">
        <f ca="1">$M$180*$Z$180</f>
        <v>2208.8131093699544</v>
      </c>
      <c r="AG180" s="6">
        <f>$O$180*$AA$180</f>
        <v>1737.9496388974335</v>
      </c>
    </row>
    <row r="181" spans="1:33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31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0</v>
      </c>
      <c r="K181" s="6">
        <v>0</v>
      </c>
      <c r="L181" s="6">
        <v>10.238</v>
      </c>
      <c r="M181" s="6">
        <v>10.238</v>
      </c>
      <c r="N181" s="6">
        <v>10.238</v>
      </c>
      <c r="O181" s="6">
        <v>10.238</v>
      </c>
      <c r="P181" s="6">
        <v>108</v>
      </c>
      <c r="Q181" s="4" t="s">
        <v>26</v>
      </c>
      <c r="R181" s="4">
        <v>0</v>
      </c>
      <c r="S181" s="6">
        <v>0</v>
      </c>
      <c r="T181" s="6">
        <v>22</v>
      </c>
      <c r="U181" s="6">
        <v>60</v>
      </c>
      <c r="V181" s="6">
        <f>IF(ISERROR(VLOOKUP($S$181,'TAR FIN'!$A$1:$O$88,15,0)),0,VLOOKUP($S$181,'TAR FIN'!$A$1:$O$88,15,0))</f>
        <v>0</v>
      </c>
      <c r="W181" s="6">
        <f>IF(ISERROR(VLOOKUP($T$181,'TAR FIN'!$A$1:$O$88,15,0)),0,VLOOKUP($T$181,'TAR FIN'!$A$1:$O$88,15,0))</f>
        <v>0</v>
      </c>
      <c r="X181" s="6">
        <f>IF(ISERROR(VLOOKUP($U$181,'TAR FIN'!$A$1:$O$88,15,0)),0,VLOOKUP($U$181,'TAR FIN'!$A$1:$O$88,15,0))</f>
        <v>0</v>
      </c>
      <c r="Y181" s="6"/>
      <c r="Z181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181" s="6">
        <f>('TE BE'!$AB$15+'TE BF'!$AB$15+'TE CVA'!$AB$15)*(1-CUSTOS!$M$37)</f>
        <v>290.52986273778561</v>
      </c>
      <c r="AB181" s="6">
        <f>$K$181*$V$181</f>
        <v>0</v>
      </c>
      <c r="AC181" s="6">
        <f>$M$181*$W$181</f>
        <v>0</v>
      </c>
      <c r="AD181" s="6">
        <f>$O$181*$X$181</f>
        <v>0</v>
      </c>
      <c r="AE181" s="6">
        <f>$K$181*$Y$181</f>
        <v>0</v>
      </c>
      <c r="AF181" s="6">
        <f ca="1">$M$181*$Z$181</f>
        <v>3780.3123727398179</v>
      </c>
      <c r="AG181" s="6">
        <f>$O$181*$AA$181</f>
        <v>2974.4447347094488</v>
      </c>
    </row>
    <row r="182" spans="1:33" ht="11.25" customHeight="1" x14ac:dyDescent="0.25">
      <c r="A182" s="4" t="s">
        <v>21</v>
      </c>
      <c r="B182" s="4" t="s">
        <v>41</v>
      </c>
      <c r="C182" s="4" t="s">
        <v>23</v>
      </c>
      <c r="D182" s="4" t="s">
        <v>42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44409</v>
      </c>
      <c r="J182" s="6">
        <v>0</v>
      </c>
      <c r="K182" s="6">
        <v>0</v>
      </c>
      <c r="L182" s="6">
        <v>0.85299999999999998</v>
      </c>
      <c r="M182" s="6">
        <v>0.85299999999999998</v>
      </c>
      <c r="N182" s="6">
        <v>0.85299999999999998</v>
      </c>
      <c r="O182" s="6">
        <v>0.85299999999999998</v>
      </c>
      <c r="P182" s="6">
        <v>4</v>
      </c>
      <c r="Q182" s="4" t="s">
        <v>26</v>
      </c>
      <c r="R182" s="4">
        <v>0</v>
      </c>
      <c r="S182" s="6">
        <v>0</v>
      </c>
      <c r="T182" s="6">
        <v>31</v>
      </c>
      <c r="U182" s="6">
        <v>69</v>
      </c>
      <c r="V182" s="6">
        <f>IF(ISERROR(VLOOKUP($S$182,'TAR FIN'!$A$1:$O$88,15,0)),0,VLOOKUP($S$182,'TAR FIN'!$A$1:$O$88,15,0))</f>
        <v>0</v>
      </c>
      <c r="W182" s="6">
        <f>IF(ISERROR(VLOOKUP($T$182,'TAR FIN'!$A$1:$O$88,15,0)),0,VLOOKUP($T$182,'TAR FIN'!$A$1:$O$88,15,0))</f>
        <v>0</v>
      </c>
      <c r="X182" s="6">
        <f>IF(ISERROR(VLOOKUP($U$182,'TAR FIN'!$A$1:$O$88,15,0)),0,VLOOKUP($U$182,'TAR FIN'!$A$1:$O$88,15,0))</f>
        <v>0</v>
      </c>
      <c r="Y182" s="6"/>
      <c r="Z182" s="6">
        <f ca="1">('TUSD BE'!$AM$33+'TUSD BF'!$AM$33+'TUSD CVA'!$AM$33)*(1-CUSTOS!$M$38)</f>
        <v>463.51466526591332</v>
      </c>
      <c r="AA182" s="6">
        <f>('TE BE'!$AB$24+'TE BF'!$AB$24+'TE CVA'!$AB$24)*(1-CUSTOS!$M$38)</f>
        <v>273.09807097351847</v>
      </c>
      <c r="AB182" s="6">
        <f>$K$182*$V$182</f>
        <v>0</v>
      </c>
      <c r="AC182" s="6">
        <f>$M$182*$W$182</f>
        <v>0</v>
      </c>
      <c r="AD182" s="6">
        <f>$O$182*$X$182</f>
        <v>0</v>
      </c>
      <c r="AE182" s="6">
        <f>$K$182*$Y$182</f>
        <v>0</v>
      </c>
      <c r="AF182" s="6">
        <f ca="1">$M$182*$Z$182</f>
        <v>395.37800947182404</v>
      </c>
      <c r="AG182" s="6">
        <f>$O$182*$AA$182</f>
        <v>232.95265454041126</v>
      </c>
    </row>
    <row r="183" spans="1:33" ht="11.25" customHeight="1" x14ac:dyDescent="0.25">
      <c r="A183" s="4" t="s">
        <v>21</v>
      </c>
      <c r="B183" s="4" t="s">
        <v>41</v>
      </c>
      <c r="C183" s="4" t="s">
        <v>23</v>
      </c>
      <c r="D183" s="4" t="s">
        <v>42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44440</v>
      </c>
      <c r="J183" s="6">
        <v>0</v>
      </c>
      <c r="K183" s="6">
        <v>0</v>
      </c>
      <c r="L183" s="6">
        <v>0.92300000000000004</v>
      </c>
      <c r="M183" s="6">
        <v>0.92300000000000004</v>
      </c>
      <c r="N183" s="6">
        <v>0.92300000000000004</v>
      </c>
      <c r="O183" s="6">
        <v>0.92300000000000004</v>
      </c>
      <c r="P183" s="6">
        <v>4</v>
      </c>
      <c r="Q183" s="4" t="s">
        <v>26</v>
      </c>
      <c r="R183" s="4">
        <v>0</v>
      </c>
      <c r="S183" s="6">
        <v>0</v>
      </c>
      <c r="T183" s="6">
        <v>31</v>
      </c>
      <c r="U183" s="6">
        <v>69</v>
      </c>
      <c r="V183" s="6">
        <f>IF(ISERROR(VLOOKUP($S$183,'TAR FIN'!$A$1:$O$88,15,0)),0,VLOOKUP($S$183,'TAR FIN'!$A$1:$O$88,15,0))</f>
        <v>0</v>
      </c>
      <c r="W183" s="6">
        <f>IF(ISERROR(VLOOKUP($T$183,'TAR FIN'!$A$1:$O$88,15,0)),0,VLOOKUP($T$183,'TAR FIN'!$A$1:$O$88,15,0))</f>
        <v>0</v>
      </c>
      <c r="X183" s="6">
        <f>IF(ISERROR(VLOOKUP($U$183,'TAR FIN'!$A$1:$O$88,15,0)),0,VLOOKUP($U$183,'TAR FIN'!$A$1:$O$88,15,0))</f>
        <v>0</v>
      </c>
      <c r="Y183" s="6"/>
      <c r="Z183" s="6">
        <f ca="1">('TUSD BE'!$AM$33+'TUSD BF'!$AM$33+'TUSD CVA'!$AM$33)*(1-CUSTOS!$M$38)</f>
        <v>463.51466526591332</v>
      </c>
      <c r="AA183" s="6">
        <f>('TE BE'!$AB$24+'TE BF'!$AB$24+'TE CVA'!$AB$24)*(1-CUSTOS!$M$38)</f>
        <v>273.09807097351847</v>
      </c>
      <c r="AB183" s="6">
        <f>$K$183*$V$183</f>
        <v>0</v>
      </c>
      <c r="AC183" s="6">
        <f>$M$183*$W$183</f>
        <v>0</v>
      </c>
      <c r="AD183" s="6">
        <f>$O$183*$X$183</f>
        <v>0</v>
      </c>
      <c r="AE183" s="6">
        <f>$K$183*$Y$183</f>
        <v>0</v>
      </c>
      <c r="AF183" s="6">
        <f ca="1">$M$183*$Z$183</f>
        <v>427.82403604043799</v>
      </c>
      <c r="AG183" s="6">
        <f>$O$183*$AA$183</f>
        <v>252.06951950855756</v>
      </c>
    </row>
    <row r="184" spans="1:33" ht="11.25" customHeight="1" x14ac:dyDescent="0.25">
      <c r="A184" s="4" t="s">
        <v>21</v>
      </c>
      <c r="B184" s="4" t="s">
        <v>41</v>
      </c>
      <c r="C184" s="4" t="s">
        <v>23</v>
      </c>
      <c r="D184" s="4" t="s">
        <v>42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0</v>
      </c>
      <c r="K184" s="6">
        <v>0</v>
      </c>
      <c r="L184" s="6">
        <v>1.0189999999999999</v>
      </c>
      <c r="M184" s="6">
        <v>1.0189999999999999</v>
      </c>
      <c r="N184" s="6">
        <v>1.0189999999999999</v>
      </c>
      <c r="O184" s="6">
        <v>1.0189999999999999</v>
      </c>
      <c r="P184" s="6">
        <v>4</v>
      </c>
      <c r="Q184" s="4" t="s">
        <v>26</v>
      </c>
      <c r="R184" s="4">
        <v>0</v>
      </c>
      <c r="S184" s="6">
        <v>0</v>
      </c>
      <c r="T184" s="6">
        <v>31</v>
      </c>
      <c r="U184" s="6">
        <v>69</v>
      </c>
      <c r="V184" s="6">
        <f>IF(ISERROR(VLOOKUP($S$184,'TAR FIN'!$A$1:$O$88,15,0)),0,VLOOKUP($S$184,'TAR FIN'!$A$1:$O$88,15,0))</f>
        <v>0</v>
      </c>
      <c r="W184" s="6">
        <f>IF(ISERROR(VLOOKUP($T$184,'TAR FIN'!$A$1:$O$88,15,0)),0,VLOOKUP($T$184,'TAR FIN'!$A$1:$O$88,15,0))</f>
        <v>0</v>
      </c>
      <c r="X184" s="6">
        <f>IF(ISERROR(VLOOKUP($U$184,'TAR FIN'!$A$1:$O$88,15,0)),0,VLOOKUP($U$184,'TAR FIN'!$A$1:$O$88,15,0))</f>
        <v>0</v>
      </c>
      <c r="Y184" s="6"/>
      <c r="Z184" s="6">
        <f ca="1">('TUSD BE'!$AM$33+'TUSD BF'!$AM$33+'TUSD CVA'!$AM$33)*(1-CUSTOS!$M$38)</f>
        <v>463.51466526591332</v>
      </c>
      <c r="AA184" s="6">
        <f>('TE BE'!$AB$24+'TE BF'!$AB$24+'TE CVA'!$AB$24)*(1-CUSTOS!$M$38)</f>
        <v>273.09807097351847</v>
      </c>
      <c r="AB184" s="6">
        <f>$K$184*$V$184</f>
        <v>0</v>
      </c>
      <c r="AC184" s="6">
        <f>$M$184*$W$184</f>
        <v>0</v>
      </c>
      <c r="AD184" s="6">
        <f>$O$184*$X$184</f>
        <v>0</v>
      </c>
      <c r="AE184" s="6">
        <f>$K$184*$Y$184</f>
        <v>0</v>
      </c>
      <c r="AF184" s="6">
        <f ca="1">$M$184*$Z$184</f>
        <v>472.32144390596562</v>
      </c>
      <c r="AG184" s="6">
        <f>$O$184*$AA$184</f>
        <v>278.28693432201533</v>
      </c>
    </row>
    <row r="185" spans="1:33" ht="11.25" customHeight="1" x14ac:dyDescent="0.25">
      <c r="A185" s="4" t="s">
        <v>21</v>
      </c>
      <c r="B185" s="4" t="s">
        <v>41</v>
      </c>
      <c r="C185" s="4" t="s">
        <v>23</v>
      </c>
      <c r="D185" s="4" t="s">
        <v>42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0</v>
      </c>
      <c r="K185" s="6">
        <v>0</v>
      </c>
      <c r="L185" s="6">
        <v>0.93100000000000005</v>
      </c>
      <c r="M185" s="6">
        <v>0.93100000000000005</v>
      </c>
      <c r="N185" s="6">
        <v>0.93100000000000005</v>
      </c>
      <c r="O185" s="6">
        <v>0.93100000000000005</v>
      </c>
      <c r="P185" s="6">
        <v>4</v>
      </c>
      <c r="Q185" s="4" t="s">
        <v>26</v>
      </c>
      <c r="R185" s="4">
        <v>0</v>
      </c>
      <c r="S185" s="6">
        <v>0</v>
      </c>
      <c r="T185" s="6">
        <v>31</v>
      </c>
      <c r="U185" s="6">
        <v>69</v>
      </c>
      <c r="V185" s="6">
        <f>IF(ISERROR(VLOOKUP($S$185,'TAR FIN'!$A$1:$O$88,15,0)),0,VLOOKUP($S$185,'TAR FIN'!$A$1:$O$88,15,0))</f>
        <v>0</v>
      </c>
      <c r="W185" s="6">
        <f>IF(ISERROR(VLOOKUP($T$185,'TAR FIN'!$A$1:$O$88,15,0)),0,VLOOKUP($T$185,'TAR FIN'!$A$1:$O$88,15,0))</f>
        <v>0</v>
      </c>
      <c r="X185" s="6">
        <f>IF(ISERROR(VLOOKUP($U$185,'TAR FIN'!$A$1:$O$88,15,0)),0,VLOOKUP($U$185,'TAR FIN'!$A$1:$O$88,15,0))</f>
        <v>0</v>
      </c>
      <c r="Y185" s="6"/>
      <c r="Z185" s="6">
        <f ca="1">('TUSD BE'!$AM$33+'TUSD BF'!$AM$33+'TUSD CVA'!$AM$33)*(1-CUSTOS!$M$38)</f>
        <v>463.51466526591332</v>
      </c>
      <c r="AA185" s="6">
        <f>('TE BE'!$AB$24+'TE BF'!$AB$24+'TE CVA'!$AB$24)*(1-CUSTOS!$M$38)</f>
        <v>273.09807097351847</v>
      </c>
      <c r="AB185" s="6">
        <f>$K$185*$V$185</f>
        <v>0</v>
      </c>
      <c r="AC185" s="6">
        <f>$M$185*$W$185</f>
        <v>0</v>
      </c>
      <c r="AD185" s="6">
        <f>$O$185*$X$185</f>
        <v>0</v>
      </c>
      <c r="AE185" s="6">
        <f>$K$185*$Y$185</f>
        <v>0</v>
      </c>
      <c r="AF185" s="6">
        <f ca="1">$M$185*$Z$185</f>
        <v>431.53215336256534</v>
      </c>
      <c r="AG185" s="6">
        <f>$O$185*$AA$185</f>
        <v>254.2543040763457</v>
      </c>
    </row>
    <row r="186" spans="1:33" ht="11.25" customHeight="1" x14ac:dyDescent="0.25">
      <c r="A186" s="4" t="s">
        <v>21</v>
      </c>
      <c r="B186" s="4" t="s">
        <v>41</v>
      </c>
      <c r="C186" s="4" t="s">
        <v>23</v>
      </c>
      <c r="D186" s="4" t="s">
        <v>42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1.1719999999999999</v>
      </c>
      <c r="M186" s="6">
        <v>1.1719999999999999</v>
      </c>
      <c r="N186" s="6">
        <v>1.1719999999999999</v>
      </c>
      <c r="O186" s="6">
        <v>1.1719999999999999</v>
      </c>
      <c r="P186" s="6">
        <v>4</v>
      </c>
      <c r="Q186" s="4" t="s">
        <v>26</v>
      </c>
      <c r="R186" s="4">
        <v>0</v>
      </c>
      <c r="S186" s="6">
        <v>0</v>
      </c>
      <c r="T186" s="6">
        <v>31</v>
      </c>
      <c r="U186" s="6">
        <v>69</v>
      </c>
      <c r="V186" s="6">
        <f>IF(ISERROR(VLOOKUP($S$186,'TAR FIN'!$A$1:$O$88,15,0)),0,VLOOKUP($S$186,'TAR FIN'!$A$1:$O$88,15,0))</f>
        <v>0</v>
      </c>
      <c r="W186" s="6">
        <f>IF(ISERROR(VLOOKUP($T$186,'TAR FIN'!$A$1:$O$88,15,0)),0,VLOOKUP($T$186,'TAR FIN'!$A$1:$O$88,15,0))</f>
        <v>0</v>
      </c>
      <c r="X186" s="6">
        <f>IF(ISERROR(VLOOKUP($U$186,'TAR FIN'!$A$1:$O$88,15,0)),0,VLOOKUP($U$186,'TAR FIN'!$A$1:$O$88,15,0))</f>
        <v>0</v>
      </c>
      <c r="Y186" s="6"/>
      <c r="Z186" s="6">
        <f ca="1">('TUSD BE'!$AM$33+'TUSD BF'!$AM$33+'TUSD CVA'!$AM$33)*(1-CUSTOS!$M$38)</f>
        <v>463.51466526591332</v>
      </c>
      <c r="AA186" s="6">
        <f>('TE BE'!$AB$24+'TE BF'!$AB$24+'TE CVA'!$AB$24)*(1-CUSTOS!$M$38)</f>
        <v>273.09807097351847</v>
      </c>
      <c r="AB186" s="6">
        <f>$K$186*$V$186</f>
        <v>0</v>
      </c>
      <c r="AC186" s="6">
        <f>$M$186*$W$186</f>
        <v>0</v>
      </c>
      <c r="AD186" s="6">
        <f>$O$186*$X$186</f>
        <v>0</v>
      </c>
      <c r="AE186" s="6">
        <f>$K$186*$Y$186</f>
        <v>0</v>
      </c>
      <c r="AF186" s="6">
        <f ca="1">$M$186*$Z$186</f>
        <v>543.23918769165039</v>
      </c>
      <c r="AG186" s="6">
        <f>$O$186*$AA$186</f>
        <v>320.07093918096365</v>
      </c>
    </row>
    <row r="187" spans="1:33" ht="11.25" customHeight="1" x14ac:dyDescent="0.25">
      <c r="A187" s="4" t="s">
        <v>21</v>
      </c>
      <c r="B187" s="4" t="s">
        <v>41</v>
      </c>
      <c r="C187" s="4" t="s">
        <v>23</v>
      </c>
      <c r="D187" s="4" t="s">
        <v>42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1.1339999999999999</v>
      </c>
      <c r="M187" s="6">
        <v>1.1339999999999999</v>
      </c>
      <c r="N187" s="6">
        <v>1.1339999999999999</v>
      </c>
      <c r="O187" s="6">
        <v>1.1339999999999999</v>
      </c>
      <c r="P187" s="6">
        <v>4</v>
      </c>
      <c r="Q187" s="4" t="s">
        <v>26</v>
      </c>
      <c r="R187" s="4">
        <v>0</v>
      </c>
      <c r="S187" s="6">
        <v>0</v>
      </c>
      <c r="T187" s="6">
        <v>31</v>
      </c>
      <c r="U187" s="6">
        <v>69</v>
      </c>
      <c r="V187" s="6">
        <f>IF(ISERROR(VLOOKUP($S$187,'TAR FIN'!$A$1:$O$88,15,0)),0,VLOOKUP($S$187,'TAR FIN'!$A$1:$O$88,15,0))</f>
        <v>0</v>
      </c>
      <c r="W187" s="6">
        <f>IF(ISERROR(VLOOKUP($T$187,'TAR FIN'!$A$1:$O$88,15,0)),0,VLOOKUP($T$187,'TAR FIN'!$A$1:$O$88,15,0))</f>
        <v>0</v>
      </c>
      <c r="X187" s="6">
        <f>IF(ISERROR(VLOOKUP($U$187,'TAR FIN'!$A$1:$O$88,15,0)),0,VLOOKUP($U$187,'TAR FIN'!$A$1:$O$88,15,0))</f>
        <v>0</v>
      </c>
      <c r="Y187" s="6"/>
      <c r="Z187" s="6">
        <f ca="1">('TUSD BE'!$AM$33+'TUSD BF'!$AM$33+'TUSD CVA'!$AM$33)*(1-CUSTOS!$M$38)</f>
        <v>463.51466526591332</v>
      </c>
      <c r="AA187" s="6">
        <f>('TE BE'!$AB$24+'TE BF'!$AB$24+'TE CVA'!$AB$24)*(1-CUSTOS!$M$38)</f>
        <v>273.09807097351847</v>
      </c>
      <c r="AB187" s="6">
        <f>$K$187*$V$187</f>
        <v>0</v>
      </c>
      <c r="AC187" s="6">
        <f>$M$187*$W$187</f>
        <v>0</v>
      </c>
      <c r="AD187" s="6">
        <f>$O$187*$X$187</f>
        <v>0</v>
      </c>
      <c r="AE187" s="6">
        <f>$K$187*$Y$187</f>
        <v>0</v>
      </c>
      <c r="AF187" s="6">
        <f ca="1">$M$187*$Z$187</f>
        <v>525.62563041154567</v>
      </c>
      <c r="AG187" s="6">
        <f>$O$187*$AA$187</f>
        <v>309.69321248396994</v>
      </c>
    </row>
    <row r="188" spans="1:33" ht="11.25" customHeight="1" x14ac:dyDescent="0.25">
      <c r="A188" s="4" t="s">
        <v>21</v>
      </c>
      <c r="B188" s="4" t="s">
        <v>41</v>
      </c>
      <c r="C188" s="4" t="s">
        <v>23</v>
      </c>
      <c r="D188" s="4" t="s">
        <v>42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44593</v>
      </c>
      <c r="J188" s="6">
        <v>0</v>
      </c>
      <c r="K188" s="6">
        <v>0</v>
      </c>
      <c r="L188" s="6">
        <v>1.478</v>
      </c>
      <c r="M188" s="6">
        <v>1.478</v>
      </c>
      <c r="N188" s="6">
        <v>1.478</v>
      </c>
      <c r="O188" s="6">
        <v>1.478</v>
      </c>
      <c r="P188" s="6">
        <v>4</v>
      </c>
      <c r="Q188" s="4" t="s">
        <v>26</v>
      </c>
      <c r="R188" s="4">
        <v>0</v>
      </c>
      <c r="S188" s="6">
        <v>0</v>
      </c>
      <c r="T188" s="6">
        <v>31</v>
      </c>
      <c r="U188" s="6">
        <v>69</v>
      </c>
      <c r="V188" s="6">
        <f>IF(ISERROR(VLOOKUP($S$188,'TAR FIN'!$A$1:$O$88,15,0)),0,VLOOKUP($S$188,'TAR FIN'!$A$1:$O$88,15,0))</f>
        <v>0</v>
      </c>
      <c r="W188" s="6">
        <f>IF(ISERROR(VLOOKUP($T$188,'TAR FIN'!$A$1:$O$88,15,0)),0,VLOOKUP($T$188,'TAR FIN'!$A$1:$O$88,15,0))</f>
        <v>0</v>
      </c>
      <c r="X188" s="6">
        <f>IF(ISERROR(VLOOKUP($U$188,'TAR FIN'!$A$1:$O$88,15,0)),0,VLOOKUP($U$188,'TAR FIN'!$A$1:$O$88,15,0))</f>
        <v>0</v>
      </c>
      <c r="Y188" s="6"/>
      <c r="Z188" s="6">
        <f ca="1">('TUSD BE'!$AM$33+'TUSD BF'!$AM$33+'TUSD CVA'!$AM$33)*(1-CUSTOS!$M$38)</f>
        <v>463.51466526591332</v>
      </c>
      <c r="AA188" s="6">
        <f>('TE BE'!$AB$24+'TE BF'!$AB$24+'TE CVA'!$AB$24)*(1-CUSTOS!$M$38)</f>
        <v>273.09807097351847</v>
      </c>
      <c r="AB188" s="6">
        <f>$K$188*$V$188</f>
        <v>0</v>
      </c>
      <c r="AC188" s="6">
        <f>$M$188*$W$188</f>
        <v>0</v>
      </c>
      <c r="AD188" s="6">
        <f>$O$188*$X$188</f>
        <v>0</v>
      </c>
      <c r="AE188" s="6">
        <f>$K$188*$Y$188</f>
        <v>0</v>
      </c>
      <c r="AF188" s="6">
        <f ca="1">$M$188*$Z$188</f>
        <v>685.07467526301991</v>
      </c>
      <c r="AG188" s="6">
        <f>$O$188*$AA$188</f>
        <v>403.63894889886029</v>
      </c>
    </row>
    <row r="189" spans="1:33" ht="11.25" customHeight="1" x14ac:dyDescent="0.25">
      <c r="A189" s="4" t="s">
        <v>21</v>
      </c>
      <c r="B189" s="4" t="s">
        <v>41</v>
      </c>
      <c r="C189" s="4" t="s">
        <v>23</v>
      </c>
      <c r="D189" s="4" t="s">
        <v>42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44621</v>
      </c>
      <c r="J189" s="6">
        <v>0</v>
      </c>
      <c r="K189" s="6">
        <v>0</v>
      </c>
      <c r="L189" s="6">
        <v>1.0720000000000001</v>
      </c>
      <c r="M189" s="6">
        <v>1.0720000000000001</v>
      </c>
      <c r="N189" s="6">
        <v>1.0720000000000001</v>
      </c>
      <c r="O189" s="6">
        <v>1.0720000000000001</v>
      </c>
      <c r="P189" s="6">
        <v>4</v>
      </c>
      <c r="Q189" s="4" t="s">
        <v>26</v>
      </c>
      <c r="R189" s="4">
        <v>0</v>
      </c>
      <c r="S189" s="6">
        <v>0</v>
      </c>
      <c r="T189" s="6">
        <v>31</v>
      </c>
      <c r="U189" s="6">
        <v>69</v>
      </c>
      <c r="V189" s="6">
        <f>IF(ISERROR(VLOOKUP($S$189,'TAR FIN'!$A$1:$O$88,15,0)),0,VLOOKUP($S$189,'TAR FIN'!$A$1:$O$88,15,0))</f>
        <v>0</v>
      </c>
      <c r="W189" s="6">
        <f>IF(ISERROR(VLOOKUP($T$189,'TAR FIN'!$A$1:$O$88,15,0)),0,VLOOKUP($T$189,'TAR FIN'!$A$1:$O$88,15,0))</f>
        <v>0</v>
      </c>
      <c r="X189" s="6">
        <f>IF(ISERROR(VLOOKUP($U$189,'TAR FIN'!$A$1:$O$88,15,0)),0,VLOOKUP($U$189,'TAR FIN'!$A$1:$O$88,15,0))</f>
        <v>0</v>
      </c>
      <c r="Y189" s="6"/>
      <c r="Z189" s="6">
        <f ca="1">('TUSD BE'!$AM$33+'TUSD BF'!$AM$33+'TUSD CVA'!$AM$33)*(1-CUSTOS!$M$38)</f>
        <v>463.51466526591332</v>
      </c>
      <c r="AA189" s="6">
        <f>('TE BE'!$AB$24+'TE BF'!$AB$24+'TE CVA'!$AB$24)*(1-CUSTOS!$M$38)</f>
        <v>273.09807097351847</v>
      </c>
      <c r="AB189" s="6">
        <f>$K$189*$V$189</f>
        <v>0</v>
      </c>
      <c r="AC189" s="6">
        <f>$M$189*$W$189</f>
        <v>0</v>
      </c>
      <c r="AD189" s="6">
        <f>$O$189*$X$189</f>
        <v>0</v>
      </c>
      <c r="AE189" s="6">
        <f>$K$189*$Y$189</f>
        <v>0</v>
      </c>
      <c r="AF189" s="6">
        <f ca="1">$M$189*$Z$189</f>
        <v>496.88772116505913</v>
      </c>
      <c r="AG189" s="6">
        <f>$O$189*$AA$189</f>
        <v>292.76113208361181</v>
      </c>
    </row>
    <row r="190" spans="1:33" ht="11.25" customHeight="1" x14ac:dyDescent="0.25">
      <c r="A190" s="4" t="s">
        <v>21</v>
      </c>
      <c r="B190" s="4" t="s">
        <v>41</v>
      </c>
      <c r="C190" s="4" t="s">
        <v>23</v>
      </c>
      <c r="D190" s="4" t="s">
        <v>42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44652</v>
      </c>
      <c r="J190" s="6">
        <v>0</v>
      </c>
      <c r="K190" s="6">
        <v>0</v>
      </c>
      <c r="L190" s="6">
        <v>1.143</v>
      </c>
      <c r="M190" s="6">
        <v>1.143</v>
      </c>
      <c r="N190" s="6">
        <v>1.143</v>
      </c>
      <c r="O190" s="6">
        <v>1.143</v>
      </c>
      <c r="P190" s="6">
        <v>4</v>
      </c>
      <c r="Q190" s="4" t="s">
        <v>26</v>
      </c>
      <c r="R190" s="4">
        <v>0</v>
      </c>
      <c r="S190" s="6">
        <v>0</v>
      </c>
      <c r="T190" s="6">
        <v>31</v>
      </c>
      <c r="U190" s="6">
        <v>69</v>
      </c>
      <c r="V190" s="6">
        <f>IF(ISERROR(VLOOKUP($S$190,'TAR FIN'!$A$1:$O$88,15,0)),0,VLOOKUP($S$190,'TAR FIN'!$A$1:$O$88,15,0))</f>
        <v>0</v>
      </c>
      <c r="W190" s="6">
        <f>IF(ISERROR(VLOOKUP($T$190,'TAR FIN'!$A$1:$O$88,15,0)),0,VLOOKUP($T$190,'TAR FIN'!$A$1:$O$88,15,0))</f>
        <v>0</v>
      </c>
      <c r="X190" s="6">
        <f>IF(ISERROR(VLOOKUP($U$190,'TAR FIN'!$A$1:$O$88,15,0)),0,VLOOKUP($U$190,'TAR FIN'!$A$1:$O$88,15,0))</f>
        <v>0</v>
      </c>
      <c r="Y190" s="6"/>
      <c r="Z190" s="6">
        <f ca="1">('TUSD BE'!$AM$33+'TUSD BF'!$AM$33+'TUSD CVA'!$AM$33)*(1-CUSTOS!$M$38)</f>
        <v>463.51466526591332</v>
      </c>
      <c r="AA190" s="6">
        <f>('TE BE'!$AB$24+'TE BF'!$AB$24+'TE CVA'!$AB$24)*(1-CUSTOS!$M$38)</f>
        <v>273.09807097351847</v>
      </c>
      <c r="AB190" s="6">
        <f>$K$190*$V$190</f>
        <v>0</v>
      </c>
      <c r="AC190" s="6">
        <f>$M$190*$W$190</f>
        <v>0</v>
      </c>
      <c r="AD190" s="6">
        <f>$O$190*$X$190</f>
        <v>0</v>
      </c>
      <c r="AE190" s="6">
        <f>$K$190*$Y$190</f>
        <v>0</v>
      </c>
      <c r="AF190" s="6">
        <f ca="1">$M$190*$Z$190</f>
        <v>529.79726239893898</v>
      </c>
      <c r="AG190" s="6">
        <f>$O$190*$AA$190</f>
        <v>312.15109512273165</v>
      </c>
    </row>
    <row r="191" spans="1:33" ht="11.25" customHeight="1" x14ac:dyDescent="0.25">
      <c r="A191" s="4" t="s">
        <v>21</v>
      </c>
      <c r="B191" s="4" t="s">
        <v>41</v>
      </c>
      <c r="C191" s="4" t="s">
        <v>23</v>
      </c>
      <c r="D191" s="4" t="s">
        <v>42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44682</v>
      </c>
      <c r="J191" s="6">
        <v>0</v>
      </c>
      <c r="K191" s="6">
        <v>0</v>
      </c>
      <c r="L191" s="6">
        <v>0.77100000000000002</v>
      </c>
      <c r="M191" s="6">
        <v>0.77100000000000002</v>
      </c>
      <c r="N191" s="6">
        <v>0.77100000000000002</v>
      </c>
      <c r="O191" s="6">
        <v>0.77100000000000002</v>
      </c>
      <c r="P191" s="6">
        <v>4</v>
      </c>
      <c r="Q191" s="4" t="s">
        <v>26</v>
      </c>
      <c r="R191" s="4">
        <v>0</v>
      </c>
      <c r="S191" s="6">
        <v>0</v>
      </c>
      <c r="T191" s="6">
        <v>31</v>
      </c>
      <c r="U191" s="6">
        <v>69</v>
      </c>
      <c r="V191" s="6">
        <f>IF(ISERROR(VLOOKUP($S$191,'TAR FIN'!$A$1:$O$88,15,0)),0,VLOOKUP($S$191,'TAR FIN'!$A$1:$O$88,15,0))</f>
        <v>0</v>
      </c>
      <c r="W191" s="6">
        <f>IF(ISERROR(VLOOKUP($T$191,'TAR FIN'!$A$1:$O$88,15,0)),0,VLOOKUP($T$191,'TAR FIN'!$A$1:$O$88,15,0))</f>
        <v>0</v>
      </c>
      <c r="X191" s="6">
        <f>IF(ISERROR(VLOOKUP($U$191,'TAR FIN'!$A$1:$O$88,15,0)),0,VLOOKUP($U$191,'TAR FIN'!$A$1:$O$88,15,0))</f>
        <v>0</v>
      </c>
      <c r="Y191" s="6"/>
      <c r="Z191" s="6">
        <f ca="1">('TUSD BE'!$AM$33+'TUSD BF'!$AM$33+'TUSD CVA'!$AM$33)*(1-CUSTOS!$M$38)</f>
        <v>463.51466526591332</v>
      </c>
      <c r="AA191" s="6">
        <f>('TE BE'!$AB$24+'TE BF'!$AB$24+'TE CVA'!$AB$24)*(1-CUSTOS!$M$38)</f>
        <v>273.09807097351847</v>
      </c>
      <c r="AB191" s="6">
        <f>$K$191*$V$191</f>
        <v>0</v>
      </c>
      <c r="AC191" s="6">
        <f>$M$191*$W$191</f>
        <v>0</v>
      </c>
      <c r="AD191" s="6">
        <f>$O$191*$X$191</f>
        <v>0</v>
      </c>
      <c r="AE191" s="6">
        <f>$K$191*$Y$191</f>
        <v>0</v>
      </c>
      <c r="AF191" s="6">
        <f ca="1">$M$191*$Z$191</f>
        <v>357.36980692001919</v>
      </c>
      <c r="AG191" s="6">
        <f>$O$191*$AA$191</f>
        <v>210.55861272058274</v>
      </c>
    </row>
    <row r="192" spans="1:33" ht="11.25" customHeight="1" x14ac:dyDescent="0.25">
      <c r="A192" s="4" t="s">
        <v>21</v>
      </c>
      <c r="B192" s="4" t="s">
        <v>41</v>
      </c>
      <c r="C192" s="4" t="s">
        <v>23</v>
      </c>
      <c r="D192" s="4" t="s">
        <v>42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44713</v>
      </c>
      <c r="J192" s="6">
        <v>0</v>
      </c>
      <c r="K192" s="6">
        <v>0</v>
      </c>
      <c r="L192" s="6">
        <v>0.69299999999999995</v>
      </c>
      <c r="M192" s="6">
        <v>0.69299999999999995</v>
      </c>
      <c r="N192" s="6">
        <v>0.69299999999999995</v>
      </c>
      <c r="O192" s="6">
        <v>0.69299999999999995</v>
      </c>
      <c r="P192" s="6">
        <v>4</v>
      </c>
      <c r="Q192" s="4" t="s">
        <v>26</v>
      </c>
      <c r="R192" s="4">
        <v>0</v>
      </c>
      <c r="S192" s="6">
        <v>0</v>
      </c>
      <c r="T192" s="6">
        <v>31</v>
      </c>
      <c r="U192" s="6">
        <v>69</v>
      </c>
      <c r="V192" s="6">
        <f>IF(ISERROR(VLOOKUP($S$192,'TAR FIN'!$A$1:$O$88,15,0)),0,VLOOKUP($S$192,'TAR FIN'!$A$1:$O$88,15,0))</f>
        <v>0</v>
      </c>
      <c r="W192" s="6">
        <f>IF(ISERROR(VLOOKUP($T$192,'TAR FIN'!$A$1:$O$88,15,0)),0,VLOOKUP($T$192,'TAR FIN'!$A$1:$O$88,15,0))</f>
        <v>0</v>
      </c>
      <c r="X192" s="6">
        <f>IF(ISERROR(VLOOKUP($U$192,'TAR FIN'!$A$1:$O$88,15,0)),0,VLOOKUP($U$192,'TAR FIN'!$A$1:$O$88,15,0))</f>
        <v>0</v>
      </c>
      <c r="Y192" s="6"/>
      <c r="Z192" s="6">
        <f ca="1">('TUSD BE'!$AM$33+'TUSD BF'!$AM$33+'TUSD CVA'!$AM$33)*(1-CUSTOS!$M$38)</f>
        <v>463.51466526591332</v>
      </c>
      <c r="AA192" s="6">
        <f>('TE BE'!$AB$24+'TE BF'!$AB$24+'TE CVA'!$AB$24)*(1-CUSTOS!$M$38)</f>
        <v>273.09807097351847</v>
      </c>
      <c r="AB192" s="6">
        <f>$K$192*$V$192</f>
        <v>0</v>
      </c>
      <c r="AC192" s="6">
        <f>$M$192*$W$192</f>
        <v>0</v>
      </c>
      <c r="AD192" s="6">
        <f>$O$192*$X$192</f>
        <v>0</v>
      </c>
      <c r="AE192" s="6">
        <f>$K$192*$Y$192</f>
        <v>0</v>
      </c>
      <c r="AF192" s="6">
        <f ca="1">$M$192*$Z$192</f>
        <v>321.21566302927789</v>
      </c>
      <c r="AG192" s="6">
        <f>$O$192*$AA$192</f>
        <v>189.2569631846483</v>
      </c>
    </row>
    <row r="193" spans="1:33" ht="11.25" customHeight="1" x14ac:dyDescent="0.25">
      <c r="A193" s="4" t="s">
        <v>21</v>
      </c>
      <c r="B193" s="4" t="s">
        <v>41</v>
      </c>
      <c r="C193" s="4" t="s">
        <v>23</v>
      </c>
      <c r="D193" s="4" t="s">
        <v>42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44743</v>
      </c>
      <c r="J193" s="6">
        <v>0</v>
      </c>
      <c r="K193" s="6">
        <v>0</v>
      </c>
      <c r="L193" s="6">
        <v>0.65100000000000002</v>
      </c>
      <c r="M193" s="6">
        <v>0.65100000000000002</v>
      </c>
      <c r="N193" s="6">
        <v>0.65100000000000002</v>
      </c>
      <c r="O193" s="6">
        <v>0.65100000000000002</v>
      </c>
      <c r="P193" s="6">
        <v>4</v>
      </c>
      <c r="Q193" s="4" t="s">
        <v>26</v>
      </c>
      <c r="R193" s="4">
        <v>0</v>
      </c>
      <c r="S193" s="6">
        <v>0</v>
      </c>
      <c r="T193" s="6">
        <v>31</v>
      </c>
      <c r="U193" s="6">
        <v>69</v>
      </c>
      <c r="V193" s="6">
        <f>IF(ISERROR(VLOOKUP($S$193,'TAR FIN'!$A$1:$O$88,15,0)),0,VLOOKUP($S$193,'TAR FIN'!$A$1:$O$88,15,0))</f>
        <v>0</v>
      </c>
      <c r="W193" s="6">
        <f>IF(ISERROR(VLOOKUP($T$193,'TAR FIN'!$A$1:$O$88,15,0)),0,VLOOKUP($T$193,'TAR FIN'!$A$1:$O$88,15,0))</f>
        <v>0</v>
      </c>
      <c r="X193" s="6">
        <f>IF(ISERROR(VLOOKUP($U$193,'TAR FIN'!$A$1:$O$88,15,0)),0,VLOOKUP($U$193,'TAR FIN'!$A$1:$O$88,15,0))</f>
        <v>0</v>
      </c>
      <c r="Y193" s="6"/>
      <c r="Z193" s="6">
        <f ca="1">('TUSD BE'!$AM$33+'TUSD BF'!$AM$33+'TUSD CVA'!$AM$33)*(1-CUSTOS!$M$38)</f>
        <v>463.51466526591332</v>
      </c>
      <c r="AA193" s="6">
        <f>('TE BE'!$AB$24+'TE BF'!$AB$24+'TE CVA'!$AB$24)*(1-CUSTOS!$M$38)</f>
        <v>273.09807097351847</v>
      </c>
      <c r="AB193" s="6">
        <f>$K$193*$V$193</f>
        <v>0</v>
      </c>
      <c r="AC193" s="6">
        <f>$M$193*$W$193</f>
        <v>0</v>
      </c>
      <c r="AD193" s="6">
        <f>$O$193*$X$193</f>
        <v>0</v>
      </c>
      <c r="AE193" s="6">
        <f>$K$193*$Y$193</f>
        <v>0</v>
      </c>
      <c r="AF193" s="6">
        <f ca="1">$M$193*$Z$193</f>
        <v>301.74804708810956</v>
      </c>
      <c r="AG193" s="6">
        <f>$O$193*$AA$193</f>
        <v>177.78684420376052</v>
      </c>
    </row>
    <row r="194" spans="1:33" ht="11.25" customHeight="1" x14ac:dyDescent="0.25">
      <c r="A194" s="4" t="s">
        <v>21</v>
      </c>
      <c r="B194" s="4" t="s">
        <v>32</v>
      </c>
      <c r="C194" s="4" t="s">
        <v>38</v>
      </c>
      <c r="D194" s="4" t="s">
        <v>40</v>
      </c>
      <c r="E194" s="4" t="s">
        <v>25</v>
      </c>
      <c r="F194" s="4" t="s">
        <v>25</v>
      </c>
      <c r="G194" s="4" t="s">
        <v>25</v>
      </c>
      <c r="H194" s="4" t="s">
        <v>37</v>
      </c>
      <c r="I194" s="5">
        <v>44409</v>
      </c>
      <c r="J194" s="6">
        <v>0</v>
      </c>
      <c r="K194" s="6">
        <v>0</v>
      </c>
      <c r="L194" s="6">
        <v>8.2989999999999995</v>
      </c>
      <c r="M194" s="6">
        <v>8.2989999999999995</v>
      </c>
      <c r="N194" s="6">
        <v>8.2989999999999995</v>
      </c>
      <c r="O194" s="6">
        <v>8.2989999999999995</v>
      </c>
      <c r="P194" s="6">
        <v>0</v>
      </c>
      <c r="Q194" s="4" t="s">
        <v>26</v>
      </c>
      <c r="R194" s="4">
        <v>0</v>
      </c>
      <c r="S194" s="6">
        <v>0</v>
      </c>
      <c r="T194" s="6">
        <v>45</v>
      </c>
      <c r="U194" s="6">
        <v>83</v>
      </c>
      <c r="V194" s="6">
        <f>IF(ISERROR(VLOOKUP($S$194,'TAR FIN'!$A$1:$O$88,15,0)),0,VLOOKUP($S$194,'TAR FIN'!$A$1:$O$88,15,0))</f>
        <v>0</v>
      </c>
      <c r="W194" s="6">
        <f>IF(ISERROR(VLOOKUP($T$194,'TAR FIN'!$A$1:$O$88,15,0)),0,VLOOKUP($T$194,'TAR FIN'!$A$1:$O$88,15,0))</f>
        <v>0</v>
      </c>
      <c r="X194" s="6">
        <f>IF(ISERROR(VLOOKUP($U$194,'TAR FIN'!$A$1:$O$88,15,0)),0,VLOOKUP($U$194,'TAR FIN'!$A$1:$O$88,15,0))</f>
        <v>0</v>
      </c>
      <c r="Y194" s="6"/>
      <c r="Z194" s="6">
        <f ca="1">('TUSD BE'!$AM$47+'TUSD BF'!$AM$47+'TUSD CVA'!$AM$47)*1</f>
        <v>403.09909371140151</v>
      </c>
      <c r="AA194" s="6">
        <f>('TE BE'!$AB$38+'TE BF'!$AB$38+'TE CVA'!$AB$38)*1</f>
        <v>274.24484099236821</v>
      </c>
      <c r="AB194" s="6">
        <f>$K$194*$V$194</f>
        <v>0</v>
      </c>
      <c r="AC194" s="6">
        <f>$M$194*$W$194</f>
        <v>0</v>
      </c>
      <c r="AD194" s="6">
        <f>$O$194*$X$194</f>
        <v>0</v>
      </c>
      <c r="AE194" s="6">
        <f>$K$194*$Y$194</f>
        <v>0</v>
      </c>
      <c r="AF194" s="6">
        <f ca="1">$M$194*$Z$194</f>
        <v>3345.3193787109208</v>
      </c>
      <c r="AG194" s="6">
        <f>$O$194*$AA$194</f>
        <v>2275.9579353956638</v>
      </c>
    </row>
    <row r="195" spans="1:33" ht="11.25" customHeight="1" x14ac:dyDescent="0.25">
      <c r="A195" s="4" t="s">
        <v>21</v>
      </c>
      <c r="B195" s="4" t="s">
        <v>32</v>
      </c>
      <c r="C195" s="4" t="s">
        <v>38</v>
      </c>
      <c r="D195" s="4" t="s">
        <v>40</v>
      </c>
      <c r="E195" s="4" t="s">
        <v>25</v>
      </c>
      <c r="F195" s="4" t="s">
        <v>25</v>
      </c>
      <c r="G195" s="4" t="s">
        <v>25</v>
      </c>
      <c r="H195" s="4" t="s">
        <v>37</v>
      </c>
      <c r="I195" s="5">
        <v>44440</v>
      </c>
      <c r="J195" s="6">
        <v>0</v>
      </c>
      <c r="K195" s="6">
        <v>0</v>
      </c>
      <c r="L195" s="6">
        <v>8.4309999999999992</v>
      </c>
      <c r="M195" s="6">
        <v>8.4309999999999992</v>
      </c>
      <c r="N195" s="6">
        <v>8.4309999999999992</v>
      </c>
      <c r="O195" s="6">
        <v>8.4309999999999992</v>
      </c>
      <c r="P195" s="6">
        <v>0</v>
      </c>
      <c r="Q195" s="4" t="s">
        <v>26</v>
      </c>
      <c r="R195" s="4">
        <v>0</v>
      </c>
      <c r="S195" s="6">
        <v>0</v>
      </c>
      <c r="T195" s="6">
        <v>45</v>
      </c>
      <c r="U195" s="6">
        <v>83</v>
      </c>
      <c r="V195" s="6">
        <f>IF(ISERROR(VLOOKUP($S$195,'TAR FIN'!$A$1:$O$88,15,0)),0,VLOOKUP($S$195,'TAR FIN'!$A$1:$O$88,15,0))</f>
        <v>0</v>
      </c>
      <c r="W195" s="6">
        <f>IF(ISERROR(VLOOKUP($T$195,'TAR FIN'!$A$1:$O$88,15,0)),0,VLOOKUP($T$195,'TAR FIN'!$A$1:$O$88,15,0))</f>
        <v>0</v>
      </c>
      <c r="X195" s="6">
        <f>IF(ISERROR(VLOOKUP($U$195,'TAR FIN'!$A$1:$O$88,15,0)),0,VLOOKUP($U$195,'TAR FIN'!$A$1:$O$88,15,0))</f>
        <v>0</v>
      </c>
      <c r="Y195" s="6"/>
      <c r="Z195" s="6">
        <f ca="1">('TUSD BE'!$AM$47+'TUSD BF'!$AM$47+'TUSD CVA'!$AM$47)*1</f>
        <v>403.09909371140151</v>
      </c>
      <c r="AA195" s="6">
        <f>('TE BE'!$AB$38+'TE BF'!$AB$38+'TE CVA'!$AB$38)*1</f>
        <v>274.24484099236821</v>
      </c>
      <c r="AB195" s="6">
        <f>$K$195*$V$195</f>
        <v>0</v>
      </c>
      <c r="AC195" s="6">
        <f>$M$195*$W$195</f>
        <v>0</v>
      </c>
      <c r="AD195" s="6">
        <f>$O$195*$X$195</f>
        <v>0</v>
      </c>
      <c r="AE195" s="6">
        <f>$K$195*$Y$195</f>
        <v>0</v>
      </c>
      <c r="AF195" s="6">
        <f ca="1">$M$195*$Z$195</f>
        <v>3398.528459080826</v>
      </c>
      <c r="AG195" s="6">
        <f>$O$195*$AA$195</f>
        <v>2312.1582544066559</v>
      </c>
    </row>
    <row r="196" spans="1:33" ht="11.25" customHeight="1" x14ac:dyDescent="0.25">
      <c r="A196" s="4" t="s">
        <v>21</v>
      </c>
      <c r="B196" s="4" t="s">
        <v>32</v>
      </c>
      <c r="C196" s="4" t="s">
        <v>38</v>
      </c>
      <c r="D196" s="4" t="s">
        <v>40</v>
      </c>
      <c r="E196" s="4" t="s">
        <v>25</v>
      </c>
      <c r="F196" s="4" t="s">
        <v>25</v>
      </c>
      <c r="G196" s="4" t="s">
        <v>25</v>
      </c>
      <c r="H196" s="4" t="s">
        <v>37</v>
      </c>
      <c r="I196" s="5">
        <v>44470</v>
      </c>
      <c r="J196" s="6">
        <v>0</v>
      </c>
      <c r="K196" s="6">
        <v>0</v>
      </c>
      <c r="L196" s="6">
        <v>7.63</v>
      </c>
      <c r="M196" s="6">
        <v>7.63</v>
      </c>
      <c r="N196" s="6">
        <v>7.63</v>
      </c>
      <c r="O196" s="6">
        <v>7.63</v>
      </c>
      <c r="P196" s="6">
        <v>0</v>
      </c>
      <c r="Q196" s="4" t="s">
        <v>26</v>
      </c>
      <c r="R196" s="4">
        <v>0</v>
      </c>
      <c r="S196" s="6">
        <v>0</v>
      </c>
      <c r="T196" s="6">
        <v>45</v>
      </c>
      <c r="U196" s="6">
        <v>83</v>
      </c>
      <c r="V196" s="6">
        <f>IF(ISERROR(VLOOKUP($S$196,'TAR FIN'!$A$1:$O$88,15,0)),0,VLOOKUP($S$196,'TAR FIN'!$A$1:$O$88,15,0))</f>
        <v>0</v>
      </c>
      <c r="W196" s="6">
        <f>IF(ISERROR(VLOOKUP($T$196,'TAR FIN'!$A$1:$O$88,15,0)),0,VLOOKUP($T$196,'TAR FIN'!$A$1:$O$88,15,0))</f>
        <v>0</v>
      </c>
      <c r="X196" s="6">
        <f>IF(ISERROR(VLOOKUP($U$196,'TAR FIN'!$A$1:$O$88,15,0)),0,VLOOKUP($U$196,'TAR FIN'!$A$1:$O$88,15,0))</f>
        <v>0</v>
      </c>
      <c r="Y196" s="6"/>
      <c r="Z196" s="6">
        <f ca="1">('TUSD BE'!$AM$47+'TUSD BF'!$AM$47+'TUSD CVA'!$AM$47)*1</f>
        <v>403.09909371140151</v>
      </c>
      <c r="AA196" s="6">
        <f>('TE BE'!$AB$38+'TE BF'!$AB$38+'TE CVA'!$AB$38)*1</f>
        <v>274.24484099236821</v>
      </c>
      <c r="AB196" s="6">
        <f>$K$196*$V$196</f>
        <v>0</v>
      </c>
      <c r="AC196" s="6">
        <f>$M$196*$W$196</f>
        <v>0</v>
      </c>
      <c r="AD196" s="6">
        <f>$O$196*$X$196</f>
        <v>0</v>
      </c>
      <c r="AE196" s="6">
        <f>$K$196*$Y$196</f>
        <v>0</v>
      </c>
      <c r="AF196" s="6">
        <f ca="1">$M$196*$Z$196</f>
        <v>3075.6460850179933</v>
      </c>
      <c r="AG196" s="6">
        <f>$O$196*$AA$196</f>
        <v>2092.4881367717694</v>
      </c>
    </row>
    <row r="197" spans="1:33" ht="11.25" customHeight="1" x14ac:dyDescent="0.25">
      <c r="A197" s="4" t="s">
        <v>21</v>
      </c>
      <c r="B197" s="4" t="s">
        <v>32</v>
      </c>
      <c r="C197" s="4" t="s">
        <v>38</v>
      </c>
      <c r="D197" s="4" t="s">
        <v>40</v>
      </c>
      <c r="E197" s="4" t="s">
        <v>25</v>
      </c>
      <c r="F197" s="4" t="s">
        <v>25</v>
      </c>
      <c r="G197" s="4" t="s">
        <v>25</v>
      </c>
      <c r="H197" s="4" t="s">
        <v>37</v>
      </c>
      <c r="I197" s="5">
        <v>44501</v>
      </c>
      <c r="J197" s="6">
        <v>0</v>
      </c>
      <c r="K197" s="6">
        <v>0</v>
      </c>
      <c r="L197" s="6">
        <v>7.742</v>
      </c>
      <c r="M197" s="6">
        <v>7.742</v>
      </c>
      <c r="N197" s="6">
        <v>7.742</v>
      </c>
      <c r="O197" s="6">
        <v>7.742</v>
      </c>
      <c r="P197" s="6">
        <v>0</v>
      </c>
      <c r="Q197" s="4" t="s">
        <v>26</v>
      </c>
      <c r="R197" s="4">
        <v>0</v>
      </c>
      <c r="S197" s="6">
        <v>0</v>
      </c>
      <c r="T197" s="6">
        <v>45</v>
      </c>
      <c r="U197" s="6">
        <v>83</v>
      </c>
      <c r="V197" s="6">
        <f>IF(ISERROR(VLOOKUP($S$197,'TAR FIN'!$A$1:$O$88,15,0)),0,VLOOKUP($S$197,'TAR FIN'!$A$1:$O$88,15,0))</f>
        <v>0</v>
      </c>
      <c r="W197" s="6">
        <f>IF(ISERROR(VLOOKUP($T$197,'TAR FIN'!$A$1:$O$88,15,0)),0,VLOOKUP($T$197,'TAR FIN'!$A$1:$O$88,15,0))</f>
        <v>0</v>
      </c>
      <c r="X197" s="6">
        <f>IF(ISERROR(VLOOKUP($U$197,'TAR FIN'!$A$1:$O$88,15,0)),0,VLOOKUP($U$197,'TAR FIN'!$A$1:$O$88,15,0))</f>
        <v>0</v>
      </c>
      <c r="Y197" s="6"/>
      <c r="Z197" s="6">
        <f ca="1">('TUSD BE'!$AM$47+'TUSD BF'!$AM$47+'TUSD CVA'!$AM$47)*1</f>
        <v>403.09909371140151</v>
      </c>
      <c r="AA197" s="6">
        <f>('TE BE'!$AB$38+'TE BF'!$AB$38+'TE CVA'!$AB$38)*1</f>
        <v>274.24484099236821</v>
      </c>
      <c r="AB197" s="6">
        <f>$K$197*$V$197</f>
        <v>0</v>
      </c>
      <c r="AC197" s="6">
        <f>$M$197*$W$197</f>
        <v>0</v>
      </c>
      <c r="AD197" s="6">
        <f>$O$197*$X$197</f>
        <v>0</v>
      </c>
      <c r="AE197" s="6">
        <f>$K$197*$Y$197</f>
        <v>0</v>
      </c>
      <c r="AF197" s="6">
        <f ca="1">$M$197*$Z$197</f>
        <v>3120.7931835136706</v>
      </c>
      <c r="AG197" s="6">
        <f>$O$197*$AA$197</f>
        <v>2123.2035589629145</v>
      </c>
    </row>
    <row r="198" spans="1:33" ht="11.25" customHeight="1" x14ac:dyDescent="0.25">
      <c r="A198" s="4" t="s">
        <v>21</v>
      </c>
      <c r="B198" s="4" t="s">
        <v>32</v>
      </c>
      <c r="C198" s="4" t="s">
        <v>38</v>
      </c>
      <c r="D198" s="4" t="s">
        <v>40</v>
      </c>
      <c r="E198" s="4" t="s">
        <v>25</v>
      </c>
      <c r="F198" s="4" t="s">
        <v>25</v>
      </c>
      <c r="G198" s="4" t="s">
        <v>25</v>
      </c>
      <c r="H198" s="4" t="s">
        <v>37</v>
      </c>
      <c r="I198" s="5">
        <v>44531</v>
      </c>
      <c r="J198" s="6">
        <v>0</v>
      </c>
      <c r="K198" s="6">
        <v>0</v>
      </c>
      <c r="L198" s="6">
        <v>8.7270000000000003</v>
      </c>
      <c r="M198" s="6">
        <v>8.7270000000000003</v>
      </c>
      <c r="N198" s="6">
        <v>8.7270000000000003</v>
      </c>
      <c r="O198" s="6">
        <v>8.7270000000000003</v>
      </c>
      <c r="P198" s="6">
        <v>0</v>
      </c>
      <c r="Q198" s="4" t="s">
        <v>26</v>
      </c>
      <c r="R198" s="4">
        <v>0</v>
      </c>
      <c r="S198" s="6">
        <v>0</v>
      </c>
      <c r="T198" s="6">
        <v>45</v>
      </c>
      <c r="U198" s="6">
        <v>83</v>
      </c>
      <c r="V198" s="6">
        <f>IF(ISERROR(VLOOKUP($S$198,'TAR FIN'!$A$1:$O$88,15,0)),0,VLOOKUP($S$198,'TAR FIN'!$A$1:$O$88,15,0))</f>
        <v>0</v>
      </c>
      <c r="W198" s="6">
        <f>IF(ISERROR(VLOOKUP($T$198,'TAR FIN'!$A$1:$O$88,15,0)),0,VLOOKUP($T$198,'TAR FIN'!$A$1:$O$88,15,0))</f>
        <v>0</v>
      </c>
      <c r="X198" s="6">
        <f>IF(ISERROR(VLOOKUP($U$198,'TAR FIN'!$A$1:$O$88,15,0)),0,VLOOKUP($U$198,'TAR FIN'!$A$1:$O$88,15,0))</f>
        <v>0</v>
      </c>
      <c r="Y198" s="6"/>
      <c r="Z198" s="6">
        <f ca="1">('TUSD BE'!$AM$47+'TUSD BF'!$AM$47+'TUSD CVA'!$AM$47)*1</f>
        <v>403.09909371140151</v>
      </c>
      <c r="AA198" s="6">
        <f>('TE BE'!$AB$38+'TE BF'!$AB$38+'TE CVA'!$AB$38)*1</f>
        <v>274.24484099236821</v>
      </c>
      <c r="AB198" s="6">
        <f>$K$198*$V$198</f>
        <v>0</v>
      </c>
      <c r="AC198" s="6">
        <f>$M$198*$W$198</f>
        <v>0</v>
      </c>
      <c r="AD198" s="6">
        <f>$O$198*$X$198</f>
        <v>0</v>
      </c>
      <c r="AE198" s="6">
        <f>$K$198*$Y$198</f>
        <v>0</v>
      </c>
      <c r="AF198" s="6">
        <f ca="1">$M$198*$Z$198</f>
        <v>3517.8457908194009</v>
      </c>
      <c r="AG198" s="6">
        <f>$O$198*$AA$198</f>
        <v>2393.3347273403974</v>
      </c>
    </row>
    <row r="199" spans="1:33" ht="11.25" customHeight="1" x14ac:dyDescent="0.25">
      <c r="A199" s="4" t="s">
        <v>21</v>
      </c>
      <c r="B199" s="4" t="s">
        <v>32</v>
      </c>
      <c r="C199" s="4" t="s">
        <v>38</v>
      </c>
      <c r="D199" s="4" t="s">
        <v>40</v>
      </c>
      <c r="E199" s="4" t="s">
        <v>25</v>
      </c>
      <c r="F199" s="4" t="s">
        <v>25</v>
      </c>
      <c r="G199" s="4" t="s">
        <v>25</v>
      </c>
      <c r="H199" s="4" t="s">
        <v>37</v>
      </c>
      <c r="I199" s="5">
        <v>44562</v>
      </c>
      <c r="J199" s="6">
        <v>0</v>
      </c>
      <c r="K199" s="6">
        <v>0</v>
      </c>
      <c r="L199" s="6">
        <v>7.1580000000000004</v>
      </c>
      <c r="M199" s="6">
        <v>7.1580000000000004</v>
      </c>
      <c r="N199" s="6">
        <v>7.1580000000000004</v>
      </c>
      <c r="O199" s="6">
        <v>7.1580000000000004</v>
      </c>
      <c r="P199" s="6">
        <v>0</v>
      </c>
      <c r="Q199" s="4" t="s">
        <v>26</v>
      </c>
      <c r="R199" s="4">
        <v>0</v>
      </c>
      <c r="S199" s="6">
        <v>0</v>
      </c>
      <c r="T199" s="6">
        <v>45</v>
      </c>
      <c r="U199" s="6">
        <v>83</v>
      </c>
      <c r="V199" s="6">
        <f>IF(ISERROR(VLOOKUP($S$199,'TAR FIN'!$A$1:$O$88,15,0)),0,VLOOKUP($S$199,'TAR FIN'!$A$1:$O$88,15,0))</f>
        <v>0</v>
      </c>
      <c r="W199" s="6">
        <f>IF(ISERROR(VLOOKUP($T$199,'TAR FIN'!$A$1:$O$88,15,0)),0,VLOOKUP($T$199,'TAR FIN'!$A$1:$O$88,15,0))</f>
        <v>0</v>
      </c>
      <c r="X199" s="6">
        <f>IF(ISERROR(VLOOKUP($U$199,'TAR FIN'!$A$1:$O$88,15,0)),0,VLOOKUP($U$199,'TAR FIN'!$A$1:$O$88,15,0))</f>
        <v>0</v>
      </c>
      <c r="Y199" s="6"/>
      <c r="Z199" s="6">
        <f ca="1">('TUSD BE'!$AM$47+'TUSD BF'!$AM$47+'TUSD CVA'!$AM$47)*1</f>
        <v>403.09909371140151</v>
      </c>
      <c r="AA199" s="6">
        <f>('TE BE'!$AB$38+'TE BF'!$AB$38+'TE CVA'!$AB$38)*1</f>
        <v>274.24484099236821</v>
      </c>
      <c r="AB199" s="6">
        <f>$K$199*$V$199</f>
        <v>0</v>
      </c>
      <c r="AC199" s="6">
        <f>$M$199*$W$199</f>
        <v>0</v>
      </c>
      <c r="AD199" s="6">
        <f>$O$199*$X$199</f>
        <v>0</v>
      </c>
      <c r="AE199" s="6">
        <f>$K$199*$Y$199</f>
        <v>0</v>
      </c>
      <c r="AF199" s="6">
        <f ca="1">$M$199*$Z$199</f>
        <v>2885.3833127862122</v>
      </c>
      <c r="AG199" s="6">
        <f>$O$199*$AA$199</f>
        <v>1963.0445718233718</v>
      </c>
    </row>
    <row r="200" spans="1:33" ht="11.25" customHeight="1" x14ac:dyDescent="0.25">
      <c r="A200" s="4" t="s">
        <v>21</v>
      </c>
      <c r="B200" s="4" t="s">
        <v>32</v>
      </c>
      <c r="C200" s="4" t="s">
        <v>38</v>
      </c>
      <c r="D200" s="4" t="s">
        <v>40</v>
      </c>
      <c r="E200" s="4" t="s">
        <v>25</v>
      </c>
      <c r="F200" s="4" t="s">
        <v>25</v>
      </c>
      <c r="G200" s="4" t="s">
        <v>25</v>
      </c>
      <c r="H200" s="4" t="s">
        <v>37</v>
      </c>
      <c r="I200" s="5">
        <v>44593</v>
      </c>
      <c r="J200" s="6">
        <v>0</v>
      </c>
      <c r="K200" s="6">
        <v>0</v>
      </c>
      <c r="L200" s="6">
        <v>9.8309999999999995</v>
      </c>
      <c r="M200" s="6">
        <v>9.8309999999999995</v>
      </c>
      <c r="N200" s="6">
        <v>9.8309999999999995</v>
      </c>
      <c r="O200" s="6">
        <v>9.8309999999999995</v>
      </c>
      <c r="P200" s="6">
        <v>0</v>
      </c>
      <c r="Q200" s="4" t="s">
        <v>26</v>
      </c>
      <c r="R200" s="4">
        <v>0</v>
      </c>
      <c r="S200" s="6">
        <v>0</v>
      </c>
      <c r="T200" s="6">
        <v>45</v>
      </c>
      <c r="U200" s="6">
        <v>83</v>
      </c>
      <c r="V200" s="6">
        <f>IF(ISERROR(VLOOKUP($S$200,'TAR FIN'!$A$1:$O$88,15,0)),0,VLOOKUP($S$200,'TAR FIN'!$A$1:$O$88,15,0))</f>
        <v>0</v>
      </c>
      <c r="W200" s="6">
        <f>IF(ISERROR(VLOOKUP($T$200,'TAR FIN'!$A$1:$O$88,15,0)),0,VLOOKUP($T$200,'TAR FIN'!$A$1:$O$88,15,0))</f>
        <v>0</v>
      </c>
      <c r="X200" s="6">
        <f>IF(ISERROR(VLOOKUP($U$200,'TAR FIN'!$A$1:$O$88,15,0)),0,VLOOKUP($U$200,'TAR FIN'!$A$1:$O$88,15,0))</f>
        <v>0</v>
      </c>
      <c r="Y200" s="6"/>
      <c r="Z200" s="6">
        <f ca="1">('TUSD BE'!$AM$47+'TUSD BF'!$AM$47+'TUSD CVA'!$AM$47)*1</f>
        <v>403.09909371140151</v>
      </c>
      <c r="AA200" s="6">
        <f>('TE BE'!$AB$38+'TE BF'!$AB$38+'TE CVA'!$AB$38)*1</f>
        <v>274.24484099236821</v>
      </c>
      <c r="AB200" s="6">
        <f>$K$200*$V$200</f>
        <v>0</v>
      </c>
      <c r="AC200" s="6">
        <f>$M$200*$W$200</f>
        <v>0</v>
      </c>
      <c r="AD200" s="6">
        <f>$O$200*$X$200</f>
        <v>0</v>
      </c>
      <c r="AE200" s="6">
        <f>$K$200*$Y$200</f>
        <v>0</v>
      </c>
      <c r="AF200" s="6">
        <f ca="1">$M$200*$Z$200</f>
        <v>3962.8671902767878</v>
      </c>
      <c r="AG200" s="6">
        <f>$O$200*$AA$200</f>
        <v>2696.1010317959717</v>
      </c>
    </row>
    <row r="201" spans="1:33" ht="11.25" customHeight="1" x14ac:dyDescent="0.25">
      <c r="A201" s="4" t="s">
        <v>21</v>
      </c>
      <c r="B201" s="4" t="s">
        <v>32</v>
      </c>
      <c r="C201" s="4" t="s">
        <v>38</v>
      </c>
      <c r="D201" s="4" t="s">
        <v>40</v>
      </c>
      <c r="E201" s="4" t="s">
        <v>25</v>
      </c>
      <c r="F201" s="4" t="s">
        <v>25</v>
      </c>
      <c r="G201" s="4" t="s">
        <v>25</v>
      </c>
      <c r="H201" s="4" t="s">
        <v>37</v>
      </c>
      <c r="I201" s="5">
        <v>44621</v>
      </c>
      <c r="J201" s="6">
        <v>0</v>
      </c>
      <c r="K201" s="6">
        <v>0</v>
      </c>
      <c r="L201" s="6">
        <v>10.012</v>
      </c>
      <c r="M201" s="6">
        <v>10.012</v>
      </c>
      <c r="N201" s="6">
        <v>10.012</v>
      </c>
      <c r="O201" s="6">
        <v>10.012</v>
      </c>
      <c r="P201" s="6">
        <v>0</v>
      </c>
      <c r="Q201" s="4" t="s">
        <v>26</v>
      </c>
      <c r="R201" s="4">
        <v>0</v>
      </c>
      <c r="S201" s="6">
        <v>0</v>
      </c>
      <c r="T201" s="6">
        <v>45</v>
      </c>
      <c r="U201" s="6">
        <v>83</v>
      </c>
      <c r="V201" s="6">
        <f>IF(ISERROR(VLOOKUP($S$201,'TAR FIN'!$A$1:$O$88,15,0)),0,VLOOKUP($S$201,'TAR FIN'!$A$1:$O$88,15,0))</f>
        <v>0</v>
      </c>
      <c r="W201" s="6">
        <f>IF(ISERROR(VLOOKUP($T$201,'TAR FIN'!$A$1:$O$88,15,0)),0,VLOOKUP($T$201,'TAR FIN'!$A$1:$O$88,15,0))</f>
        <v>0</v>
      </c>
      <c r="X201" s="6">
        <f>IF(ISERROR(VLOOKUP($U$201,'TAR FIN'!$A$1:$O$88,15,0)),0,VLOOKUP($U$201,'TAR FIN'!$A$1:$O$88,15,0))</f>
        <v>0</v>
      </c>
      <c r="Y201" s="6"/>
      <c r="Z201" s="6">
        <f ca="1">('TUSD BE'!$AM$47+'TUSD BF'!$AM$47+'TUSD CVA'!$AM$47)*1</f>
        <v>403.09909371140151</v>
      </c>
      <c r="AA201" s="6">
        <f>('TE BE'!$AB$38+'TE BF'!$AB$38+'TE CVA'!$AB$38)*1</f>
        <v>274.24484099236821</v>
      </c>
      <c r="AB201" s="6">
        <f>$K$201*$V$201</f>
        <v>0</v>
      </c>
      <c r="AC201" s="6">
        <f>$M$201*$W$201</f>
        <v>0</v>
      </c>
      <c r="AD201" s="6">
        <f>$O$201*$X$201</f>
        <v>0</v>
      </c>
      <c r="AE201" s="6">
        <f>$K$201*$Y$201</f>
        <v>0</v>
      </c>
      <c r="AF201" s="6">
        <f ca="1">$M$201*$Z$201</f>
        <v>4035.8281262385522</v>
      </c>
      <c r="AG201" s="6">
        <f>$O$201*$AA$201</f>
        <v>2745.7393480155906</v>
      </c>
    </row>
    <row r="202" spans="1:33" ht="11.25" customHeight="1" x14ac:dyDescent="0.25">
      <c r="A202" s="4" t="s">
        <v>21</v>
      </c>
      <c r="B202" s="4" t="s">
        <v>32</v>
      </c>
      <c r="C202" s="4" t="s">
        <v>38</v>
      </c>
      <c r="D202" s="4" t="s">
        <v>40</v>
      </c>
      <c r="E202" s="4" t="s">
        <v>25</v>
      </c>
      <c r="F202" s="4" t="s">
        <v>25</v>
      </c>
      <c r="G202" s="4" t="s">
        <v>25</v>
      </c>
      <c r="H202" s="4" t="s">
        <v>37</v>
      </c>
      <c r="I202" s="5">
        <v>44652</v>
      </c>
      <c r="J202" s="6">
        <v>0</v>
      </c>
      <c r="K202" s="6">
        <v>0</v>
      </c>
      <c r="L202" s="6">
        <v>10.441000000000001</v>
      </c>
      <c r="M202" s="6">
        <v>10.441000000000001</v>
      </c>
      <c r="N202" s="6">
        <v>10.441000000000001</v>
      </c>
      <c r="O202" s="6">
        <v>10.441000000000001</v>
      </c>
      <c r="P202" s="6">
        <v>0</v>
      </c>
      <c r="Q202" s="4" t="s">
        <v>26</v>
      </c>
      <c r="R202" s="4">
        <v>0</v>
      </c>
      <c r="S202" s="6">
        <v>0</v>
      </c>
      <c r="T202" s="6">
        <v>45</v>
      </c>
      <c r="U202" s="6">
        <v>83</v>
      </c>
      <c r="V202" s="6">
        <f>IF(ISERROR(VLOOKUP($S$202,'TAR FIN'!$A$1:$O$88,15,0)),0,VLOOKUP($S$202,'TAR FIN'!$A$1:$O$88,15,0))</f>
        <v>0</v>
      </c>
      <c r="W202" s="6">
        <f>IF(ISERROR(VLOOKUP($T$202,'TAR FIN'!$A$1:$O$88,15,0)),0,VLOOKUP($T$202,'TAR FIN'!$A$1:$O$88,15,0))</f>
        <v>0</v>
      </c>
      <c r="X202" s="6">
        <f>IF(ISERROR(VLOOKUP($U$202,'TAR FIN'!$A$1:$O$88,15,0)),0,VLOOKUP($U$202,'TAR FIN'!$A$1:$O$88,15,0))</f>
        <v>0</v>
      </c>
      <c r="Y202" s="6"/>
      <c r="Z202" s="6">
        <f ca="1">('TUSD BE'!$AM$47+'TUSD BF'!$AM$47+'TUSD CVA'!$AM$47)*1</f>
        <v>403.09909371140151</v>
      </c>
      <c r="AA202" s="6">
        <f>('TE BE'!$AB$38+'TE BF'!$AB$38+'TE CVA'!$AB$38)*1</f>
        <v>274.24484099236821</v>
      </c>
      <c r="AB202" s="6">
        <f>$K$202*$V$202</f>
        <v>0</v>
      </c>
      <c r="AC202" s="6">
        <f>$M$202*$W$202</f>
        <v>0</v>
      </c>
      <c r="AD202" s="6">
        <f>$O$202*$X$202</f>
        <v>0</v>
      </c>
      <c r="AE202" s="6">
        <f>$K$202*$Y$202</f>
        <v>0</v>
      </c>
      <c r="AF202" s="6">
        <f ca="1">$M$202*$Z$202</f>
        <v>4208.7576374407436</v>
      </c>
      <c r="AG202" s="6">
        <f>$O$202*$AA$202</f>
        <v>2863.3903848013165</v>
      </c>
    </row>
    <row r="203" spans="1:33" ht="11.25" customHeight="1" x14ac:dyDescent="0.25">
      <c r="A203" s="4" t="s">
        <v>21</v>
      </c>
      <c r="B203" s="4" t="s">
        <v>32</v>
      </c>
      <c r="C203" s="4" t="s">
        <v>38</v>
      </c>
      <c r="D203" s="4" t="s">
        <v>40</v>
      </c>
      <c r="E203" s="4" t="s">
        <v>25</v>
      </c>
      <c r="F203" s="4" t="s">
        <v>25</v>
      </c>
      <c r="G203" s="4" t="s">
        <v>25</v>
      </c>
      <c r="H203" s="4" t="s">
        <v>37</v>
      </c>
      <c r="I203" s="5">
        <v>44682</v>
      </c>
      <c r="J203" s="6">
        <v>0</v>
      </c>
      <c r="K203" s="6">
        <v>0</v>
      </c>
      <c r="L203" s="6">
        <v>7.8769999999999998</v>
      </c>
      <c r="M203" s="6">
        <v>7.8769999999999998</v>
      </c>
      <c r="N203" s="6">
        <v>7.8769999999999998</v>
      </c>
      <c r="O203" s="6">
        <v>7.8769999999999998</v>
      </c>
      <c r="P203" s="6">
        <v>0</v>
      </c>
      <c r="Q203" s="4" t="s">
        <v>26</v>
      </c>
      <c r="R203" s="4">
        <v>0</v>
      </c>
      <c r="S203" s="6">
        <v>0</v>
      </c>
      <c r="T203" s="6">
        <v>45</v>
      </c>
      <c r="U203" s="6">
        <v>83</v>
      </c>
      <c r="V203" s="6">
        <f>IF(ISERROR(VLOOKUP($S$203,'TAR FIN'!$A$1:$O$88,15,0)),0,VLOOKUP($S$203,'TAR FIN'!$A$1:$O$88,15,0))</f>
        <v>0</v>
      </c>
      <c r="W203" s="6">
        <f>IF(ISERROR(VLOOKUP($T$203,'TAR FIN'!$A$1:$O$88,15,0)),0,VLOOKUP($T$203,'TAR FIN'!$A$1:$O$88,15,0))</f>
        <v>0</v>
      </c>
      <c r="X203" s="6">
        <f>IF(ISERROR(VLOOKUP($U$203,'TAR FIN'!$A$1:$O$88,15,0)),0,VLOOKUP($U$203,'TAR FIN'!$A$1:$O$88,15,0))</f>
        <v>0</v>
      </c>
      <c r="Y203" s="6"/>
      <c r="Z203" s="6">
        <f ca="1">('TUSD BE'!$AM$47+'TUSD BF'!$AM$47+'TUSD CVA'!$AM$47)*1</f>
        <v>403.09909371140151</v>
      </c>
      <c r="AA203" s="6">
        <f>('TE BE'!$AB$38+'TE BF'!$AB$38+'TE CVA'!$AB$38)*1</f>
        <v>274.24484099236821</v>
      </c>
      <c r="AB203" s="6">
        <f>$K$203*$V$203</f>
        <v>0</v>
      </c>
      <c r="AC203" s="6">
        <f>$M$203*$W$203</f>
        <v>0</v>
      </c>
      <c r="AD203" s="6">
        <f>$O$203*$X$203</f>
        <v>0</v>
      </c>
      <c r="AE203" s="6">
        <f>$K$203*$Y$203</f>
        <v>0</v>
      </c>
      <c r="AF203" s="6">
        <f ca="1">$M$203*$Z$203</f>
        <v>3175.2115611647096</v>
      </c>
      <c r="AG203" s="6">
        <f>$O$203*$AA$203</f>
        <v>2160.2266124968842</v>
      </c>
    </row>
    <row r="204" spans="1:33" ht="11.25" customHeight="1" x14ac:dyDescent="0.25">
      <c r="A204" s="4" t="s">
        <v>21</v>
      </c>
      <c r="B204" s="4" t="s">
        <v>32</v>
      </c>
      <c r="C204" s="4" t="s">
        <v>38</v>
      </c>
      <c r="D204" s="4" t="s">
        <v>40</v>
      </c>
      <c r="E204" s="4" t="s">
        <v>25</v>
      </c>
      <c r="F204" s="4" t="s">
        <v>25</v>
      </c>
      <c r="G204" s="4" t="s">
        <v>25</v>
      </c>
      <c r="H204" s="4" t="s">
        <v>37</v>
      </c>
      <c r="I204" s="5">
        <v>44713</v>
      </c>
      <c r="J204" s="6">
        <v>0</v>
      </c>
      <c r="K204" s="6">
        <v>0</v>
      </c>
      <c r="L204" s="6">
        <v>7.9480000000000004</v>
      </c>
      <c r="M204" s="6">
        <v>7.9480000000000004</v>
      </c>
      <c r="N204" s="6">
        <v>7.9480000000000004</v>
      </c>
      <c r="O204" s="6">
        <v>7.9480000000000004</v>
      </c>
      <c r="P204" s="6">
        <v>0</v>
      </c>
      <c r="Q204" s="4" t="s">
        <v>26</v>
      </c>
      <c r="R204" s="4">
        <v>0</v>
      </c>
      <c r="S204" s="6">
        <v>0</v>
      </c>
      <c r="T204" s="6">
        <v>45</v>
      </c>
      <c r="U204" s="6">
        <v>83</v>
      </c>
      <c r="V204" s="6">
        <f>IF(ISERROR(VLOOKUP($S$204,'TAR FIN'!$A$1:$O$88,15,0)),0,VLOOKUP($S$204,'TAR FIN'!$A$1:$O$88,15,0))</f>
        <v>0</v>
      </c>
      <c r="W204" s="6">
        <f>IF(ISERROR(VLOOKUP($T$204,'TAR FIN'!$A$1:$O$88,15,0)),0,VLOOKUP($T$204,'TAR FIN'!$A$1:$O$88,15,0))</f>
        <v>0</v>
      </c>
      <c r="X204" s="6">
        <f>IF(ISERROR(VLOOKUP($U$204,'TAR FIN'!$A$1:$O$88,15,0)),0,VLOOKUP($U$204,'TAR FIN'!$A$1:$O$88,15,0))</f>
        <v>0</v>
      </c>
      <c r="Y204" s="6"/>
      <c r="Z204" s="6">
        <f ca="1">('TUSD BE'!$AM$47+'TUSD BF'!$AM$47+'TUSD CVA'!$AM$47)*1</f>
        <v>403.09909371140151</v>
      </c>
      <c r="AA204" s="6">
        <f>('TE BE'!$AB$38+'TE BF'!$AB$38+'TE CVA'!$AB$38)*1</f>
        <v>274.24484099236821</v>
      </c>
      <c r="AB204" s="6">
        <f>$K$204*$V$204</f>
        <v>0</v>
      </c>
      <c r="AC204" s="6">
        <f>$M$204*$W$204</f>
        <v>0</v>
      </c>
      <c r="AD204" s="6">
        <f>$O$204*$X$204</f>
        <v>0</v>
      </c>
      <c r="AE204" s="6">
        <f>$K$204*$Y$204</f>
        <v>0</v>
      </c>
      <c r="AF204" s="6">
        <f ca="1">$M$204*$Z$204</f>
        <v>3203.8315968182192</v>
      </c>
      <c r="AG204" s="6">
        <f>$O$204*$AA$204</f>
        <v>2179.6979962073428</v>
      </c>
    </row>
    <row r="205" spans="1:33" ht="11.25" customHeight="1" x14ac:dyDescent="0.25">
      <c r="A205" s="4" t="s">
        <v>21</v>
      </c>
      <c r="B205" s="4" t="s">
        <v>32</v>
      </c>
      <c r="C205" s="4" t="s">
        <v>38</v>
      </c>
      <c r="D205" s="4" t="s">
        <v>40</v>
      </c>
      <c r="E205" s="4" t="s">
        <v>25</v>
      </c>
      <c r="F205" s="4" t="s">
        <v>25</v>
      </c>
      <c r="G205" s="4" t="s">
        <v>25</v>
      </c>
      <c r="H205" s="4" t="s">
        <v>37</v>
      </c>
      <c r="I205" s="5">
        <v>44743</v>
      </c>
      <c r="J205" s="6">
        <v>0</v>
      </c>
      <c r="K205" s="6">
        <v>0</v>
      </c>
      <c r="L205" s="6">
        <v>7.3920000000000003</v>
      </c>
      <c r="M205" s="6">
        <v>7.3920000000000003</v>
      </c>
      <c r="N205" s="6">
        <v>7.3920000000000003</v>
      </c>
      <c r="O205" s="6">
        <v>7.3920000000000003</v>
      </c>
      <c r="P205" s="6">
        <v>0</v>
      </c>
      <c r="Q205" s="4" t="s">
        <v>26</v>
      </c>
      <c r="R205" s="4">
        <v>0</v>
      </c>
      <c r="S205" s="6">
        <v>0</v>
      </c>
      <c r="T205" s="6">
        <v>45</v>
      </c>
      <c r="U205" s="6">
        <v>83</v>
      </c>
      <c r="V205" s="6">
        <f>IF(ISERROR(VLOOKUP($S$205,'TAR FIN'!$A$1:$O$88,15,0)),0,VLOOKUP($S$205,'TAR FIN'!$A$1:$O$88,15,0))</f>
        <v>0</v>
      </c>
      <c r="W205" s="6">
        <f>IF(ISERROR(VLOOKUP($T$205,'TAR FIN'!$A$1:$O$88,15,0)),0,VLOOKUP($T$205,'TAR FIN'!$A$1:$O$88,15,0))</f>
        <v>0</v>
      </c>
      <c r="X205" s="6">
        <f>IF(ISERROR(VLOOKUP($U$205,'TAR FIN'!$A$1:$O$88,15,0)),0,VLOOKUP($U$205,'TAR FIN'!$A$1:$O$88,15,0))</f>
        <v>0</v>
      </c>
      <c r="Y205" s="6"/>
      <c r="Z205" s="6">
        <f ca="1">('TUSD BE'!$AM$47+'TUSD BF'!$AM$47+'TUSD CVA'!$AM$47)*1</f>
        <v>403.09909371140151</v>
      </c>
      <c r="AA205" s="6">
        <f>('TE BE'!$AB$38+'TE BF'!$AB$38+'TE CVA'!$AB$38)*1</f>
        <v>274.24484099236821</v>
      </c>
      <c r="AB205" s="6">
        <f>$K$205*$V$205</f>
        <v>0</v>
      </c>
      <c r="AC205" s="6">
        <f>$M$205*$W$205</f>
        <v>0</v>
      </c>
      <c r="AD205" s="6">
        <f>$O$205*$X$205</f>
        <v>0</v>
      </c>
      <c r="AE205" s="6">
        <f>$K$205*$Y$205</f>
        <v>0</v>
      </c>
      <c r="AF205" s="6">
        <f ca="1">$M$205*$Z$205</f>
        <v>2979.7085007146802</v>
      </c>
      <c r="AG205" s="6">
        <f>$O$205*$AA$205</f>
        <v>2027.217864615586</v>
      </c>
    </row>
    <row r="206" spans="1:33" ht="11.25" customHeight="1" x14ac:dyDescent="0.25">
      <c r="A206" s="4" t="s">
        <v>21</v>
      </c>
      <c r="B206" s="4" t="s">
        <v>32</v>
      </c>
      <c r="C206" s="4" t="s">
        <v>38</v>
      </c>
      <c r="D206" s="4" t="s">
        <v>40</v>
      </c>
      <c r="E206" s="4" t="s">
        <v>25</v>
      </c>
      <c r="F206" s="4" t="s">
        <v>25</v>
      </c>
      <c r="G206" s="4" t="s">
        <v>25</v>
      </c>
      <c r="H206" s="4" t="s">
        <v>39</v>
      </c>
      <c r="I206" s="5">
        <v>44409</v>
      </c>
      <c r="J206" s="6">
        <v>0</v>
      </c>
      <c r="K206" s="6">
        <v>0</v>
      </c>
      <c r="L206" s="6">
        <v>0.38200000000000001</v>
      </c>
      <c r="M206" s="6">
        <v>0.38200000000000001</v>
      </c>
      <c r="N206" s="6">
        <v>0.38200000000000001</v>
      </c>
      <c r="O206" s="6">
        <v>0.38200000000000001</v>
      </c>
      <c r="P206" s="6">
        <v>0</v>
      </c>
      <c r="Q206" s="4" t="s">
        <v>26</v>
      </c>
      <c r="R206" s="4">
        <v>0</v>
      </c>
      <c r="S206" s="6">
        <v>0</v>
      </c>
      <c r="T206" s="6">
        <v>44</v>
      </c>
      <c r="U206" s="6">
        <v>82</v>
      </c>
      <c r="V206" s="6">
        <f>IF(ISERROR(VLOOKUP($S$206,'TAR FIN'!$A$1:$O$88,15,0)),0,VLOOKUP($S$206,'TAR FIN'!$A$1:$O$88,15,0))</f>
        <v>0</v>
      </c>
      <c r="W206" s="6">
        <f>IF(ISERROR(VLOOKUP($T$206,'TAR FIN'!$A$1:$O$88,15,0)),0,VLOOKUP($T$206,'TAR FIN'!$A$1:$O$88,15,0))</f>
        <v>0</v>
      </c>
      <c r="X206" s="6">
        <f>IF(ISERROR(VLOOKUP($U$206,'TAR FIN'!$A$1:$O$88,15,0)),0,VLOOKUP($U$206,'TAR FIN'!$A$1:$O$88,15,0))</f>
        <v>0</v>
      </c>
      <c r="Y206" s="6"/>
      <c r="Z206" s="6">
        <f ca="1">('TUSD BE'!$AM$46+'TUSD BF'!$AM$46+'TUSD CVA'!$AM$46)*1</f>
        <v>915.41577072839698</v>
      </c>
      <c r="AA206" s="6">
        <f>('TE BE'!$AB$37+'TE BF'!$AB$37+'TE CVA'!$AB$37)*1</f>
        <v>274.24484099236821</v>
      </c>
      <c r="AB206" s="6">
        <f>$K$206*$V$206</f>
        <v>0</v>
      </c>
      <c r="AC206" s="6">
        <f>$M$206*$W$206</f>
        <v>0</v>
      </c>
      <c r="AD206" s="6">
        <f>$O$206*$X$206</f>
        <v>0</v>
      </c>
      <c r="AE206" s="6">
        <f>$K$206*$Y$206</f>
        <v>0</v>
      </c>
      <c r="AF206" s="6">
        <f ca="1">$M$206*$Z$206</f>
        <v>349.68882441824763</v>
      </c>
      <c r="AG206" s="6">
        <f>$O$206*$AA$206</f>
        <v>104.76152925908465</v>
      </c>
    </row>
    <row r="207" spans="1:33" ht="11.25" customHeight="1" x14ac:dyDescent="0.25">
      <c r="A207" s="4" t="s">
        <v>21</v>
      </c>
      <c r="B207" s="4" t="s">
        <v>32</v>
      </c>
      <c r="C207" s="4" t="s">
        <v>38</v>
      </c>
      <c r="D207" s="4" t="s">
        <v>40</v>
      </c>
      <c r="E207" s="4" t="s">
        <v>25</v>
      </c>
      <c r="F207" s="4" t="s">
        <v>25</v>
      </c>
      <c r="G207" s="4" t="s">
        <v>25</v>
      </c>
      <c r="H207" s="4" t="s">
        <v>39</v>
      </c>
      <c r="I207" s="5">
        <v>44440</v>
      </c>
      <c r="J207" s="6">
        <v>0</v>
      </c>
      <c r="K207" s="6">
        <v>0</v>
      </c>
      <c r="L207" s="6">
        <v>0.318</v>
      </c>
      <c r="M207" s="6">
        <v>0.318</v>
      </c>
      <c r="N207" s="6">
        <v>0.318</v>
      </c>
      <c r="O207" s="6">
        <v>0.318</v>
      </c>
      <c r="P207" s="6">
        <v>0</v>
      </c>
      <c r="Q207" s="4" t="s">
        <v>26</v>
      </c>
      <c r="R207" s="4">
        <v>0</v>
      </c>
      <c r="S207" s="6">
        <v>0</v>
      </c>
      <c r="T207" s="6">
        <v>44</v>
      </c>
      <c r="U207" s="6">
        <v>82</v>
      </c>
      <c r="V207" s="6">
        <f>IF(ISERROR(VLOOKUP($S$207,'TAR FIN'!$A$1:$O$88,15,0)),0,VLOOKUP($S$207,'TAR FIN'!$A$1:$O$88,15,0))</f>
        <v>0</v>
      </c>
      <c r="W207" s="6">
        <f>IF(ISERROR(VLOOKUP($T$207,'TAR FIN'!$A$1:$O$88,15,0)),0,VLOOKUP($T$207,'TAR FIN'!$A$1:$O$88,15,0))</f>
        <v>0</v>
      </c>
      <c r="X207" s="6">
        <f>IF(ISERROR(VLOOKUP($U$207,'TAR FIN'!$A$1:$O$88,15,0)),0,VLOOKUP($U$207,'TAR FIN'!$A$1:$O$88,15,0))</f>
        <v>0</v>
      </c>
      <c r="Y207" s="6"/>
      <c r="Z207" s="6">
        <f ca="1">('TUSD BE'!$AM$46+'TUSD BF'!$AM$46+'TUSD CVA'!$AM$46)*1</f>
        <v>915.41577072839698</v>
      </c>
      <c r="AA207" s="6">
        <f>('TE BE'!$AB$37+'TE BF'!$AB$37+'TE CVA'!$AB$37)*1</f>
        <v>274.24484099236821</v>
      </c>
      <c r="AB207" s="6">
        <f>$K$207*$V$207</f>
        <v>0</v>
      </c>
      <c r="AC207" s="6">
        <f>$M$207*$W$207</f>
        <v>0</v>
      </c>
      <c r="AD207" s="6">
        <f>$O$207*$X$207</f>
        <v>0</v>
      </c>
      <c r="AE207" s="6">
        <f>$K$207*$Y$207</f>
        <v>0</v>
      </c>
      <c r="AF207" s="6">
        <f ca="1">$M$207*$Z$207</f>
        <v>291.10221509163023</v>
      </c>
      <c r="AG207" s="6">
        <f>$O$207*$AA$207</f>
        <v>87.209859435573094</v>
      </c>
    </row>
    <row r="208" spans="1:33" ht="11.25" customHeight="1" x14ac:dyDescent="0.25">
      <c r="A208" s="4" t="s">
        <v>21</v>
      </c>
      <c r="B208" s="4" t="s">
        <v>32</v>
      </c>
      <c r="C208" s="4" t="s">
        <v>38</v>
      </c>
      <c r="D208" s="4" t="s">
        <v>40</v>
      </c>
      <c r="E208" s="4" t="s">
        <v>25</v>
      </c>
      <c r="F208" s="4" t="s">
        <v>25</v>
      </c>
      <c r="G208" s="4" t="s">
        <v>25</v>
      </c>
      <c r="H208" s="4" t="s">
        <v>39</v>
      </c>
      <c r="I208" s="5">
        <v>44470</v>
      </c>
      <c r="J208" s="6">
        <v>0</v>
      </c>
      <c r="K208" s="6">
        <v>0</v>
      </c>
      <c r="L208" s="6">
        <v>0.28100000000000003</v>
      </c>
      <c r="M208" s="6">
        <v>0.28100000000000003</v>
      </c>
      <c r="N208" s="6">
        <v>0.28100000000000003</v>
      </c>
      <c r="O208" s="6">
        <v>0.28100000000000003</v>
      </c>
      <c r="P208" s="6">
        <v>0</v>
      </c>
      <c r="Q208" s="4" t="s">
        <v>26</v>
      </c>
      <c r="R208" s="4">
        <v>0</v>
      </c>
      <c r="S208" s="6">
        <v>0</v>
      </c>
      <c r="T208" s="6">
        <v>44</v>
      </c>
      <c r="U208" s="6">
        <v>82</v>
      </c>
      <c r="V208" s="6">
        <f>IF(ISERROR(VLOOKUP($S$208,'TAR FIN'!$A$1:$O$88,15,0)),0,VLOOKUP($S$208,'TAR FIN'!$A$1:$O$88,15,0))</f>
        <v>0</v>
      </c>
      <c r="W208" s="6">
        <f>IF(ISERROR(VLOOKUP($T$208,'TAR FIN'!$A$1:$O$88,15,0)),0,VLOOKUP($T$208,'TAR FIN'!$A$1:$O$88,15,0))</f>
        <v>0</v>
      </c>
      <c r="X208" s="6">
        <f>IF(ISERROR(VLOOKUP($U$208,'TAR FIN'!$A$1:$O$88,15,0)),0,VLOOKUP($U$208,'TAR FIN'!$A$1:$O$88,15,0))</f>
        <v>0</v>
      </c>
      <c r="Y208" s="6"/>
      <c r="Z208" s="6">
        <f ca="1">('TUSD BE'!$AM$46+'TUSD BF'!$AM$46+'TUSD CVA'!$AM$46)*1</f>
        <v>915.41577072839698</v>
      </c>
      <c r="AA208" s="6">
        <f>('TE BE'!$AB$37+'TE BF'!$AB$37+'TE CVA'!$AB$37)*1</f>
        <v>274.24484099236821</v>
      </c>
      <c r="AB208" s="6">
        <f>$K$208*$V$208</f>
        <v>0</v>
      </c>
      <c r="AC208" s="6">
        <f>$M$208*$W$208</f>
        <v>0</v>
      </c>
      <c r="AD208" s="6">
        <f>$O$208*$X$208</f>
        <v>0</v>
      </c>
      <c r="AE208" s="6">
        <f>$K$208*$Y$208</f>
        <v>0</v>
      </c>
      <c r="AF208" s="6">
        <f ca="1">$M$208*$Z$208</f>
        <v>257.23183157467957</v>
      </c>
      <c r="AG208" s="6">
        <f>$O$208*$AA$208</f>
        <v>77.06280031885548</v>
      </c>
    </row>
    <row r="209" spans="1:33" ht="11.25" customHeight="1" x14ac:dyDescent="0.25">
      <c r="A209" s="4" t="s">
        <v>21</v>
      </c>
      <c r="B209" s="4" t="s">
        <v>32</v>
      </c>
      <c r="C209" s="4" t="s">
        <v>38</v>
      </c>
      <c r="D209" s="4" t="s">
        <v>40</v>
      </c>
      <c r="E209" s="4" t="s">
        <v>25</v>
      </c>
      <c r="F209" s="4" t="s">
        <v>25</v>
      </c>
      <c r="G209" s="4" t="s">
        <v>25</v>
      </c>
      <c r="H209" s="4" t="s">
        <v>39</v>
      </c>
      <c r="I209" s="5">
        <v>44501</v>
      </c>
      <c r="J209" s="6">
        <v>0</v>
      </c>
      <c r="K209" s="6">
        <v>0</v>
      </c>
      <c r="L209" s="6">
        <v>0.29799999999999999</v>
      </c>
      <c r="M209" s="6">
        <v>0.29799999999999999</v>
      </c>
      <c r="N209" s="6">
        <v>0.29799999999999999</v>
      </c>
      <c r="O209" s="6">
        <v>0.29799999999999999</v>
      </c>
      <c r="P209" s="6">
        <v>0</v>
      </c>
      <c r="Q209" s="4" t="s">
        <v>26</v>
      </c>
      <c r="R209" s="4">
        <v>0</v>
      </c>
      <c r="S209" s="6">
        <v>0</v>
      </c>
      <c r="T209" s="6">
        <v>44</v>
      </c>
      <c r="U209" s="6">
        <v>82</v>
      </c>
      <c r="V209" s="6">
        <f>IF(ISERROR(VLOOKUP($S$209,'TAR FIN'!$A$1:$O$88,15,0)),0,VLOOKUP($S$209,'TAR FIN'!$A$1:$O$88,15,0))</f>
        <v>0</v>
      </c>
      <c r="W209" s="6">
        <f>IF(ISERROR(VLOOKUP($T$209,'TAR FIN'!$A$1:$O$88,15,0)),0,VLOOKUP($T$209,'TAR FIN'!$A$1:$O$88,15,0))</f>
        <v>0</v>
      </c>
      <c r="X209" s="6">
        <f>IF(ISERROR(VLOOKUP($U$209,'TAR FIN'!$A$1:$O$88,15,0)),0,VLOOKUP($U$209,'TAR FIN'!$A$1:$O$88,15,0))</f>
        <v>0</v>
      </c>
      <c r="Y209" s="6"/>
      <c r="Z209" s="6">
        <f ca="1">('TUSD BE'!$AM$46+'TUSD BF'!$AM$46+'TUSD CVA'!$AM$46)*1</f>
        <v>915.41577072839698</v>
      </c>
      <c r="AA209" s="6">
        <f>('TE BE'!$AB$37+'TE BF'!$AB$37+'TE CVA'!$AB$37)*1</f>
        <v>274.24484099236821</v>
      </c>
      <c r="AB209" s="6">
        <f>$K$209*$V$209</f>
        <v>0</v>
      </c>
      <c r="AC209" s="6">
        <f>$M$209*$W$209</f>
        <v>0</v>
      </c>
      <c r="AD209" s="6">
        <f>$O$209*$X$209</f>
        <v>0</v>
      </c>
      <c r="AE209" s="6">
        <f>$K$209*$Y$209</f>
        <v>0</v>
      </c>
      <c r="AF209" s="6">
        <f ca="1">$M$209*$Z$209</f>
        <v>272.79389967706231</v>
      </c>
      <c r="AG209" s="6">
        <f>$O$209*$AA$209</f>
        <v>81.72496261572573</v>
      </c>
    </row>
    <row r="210" spans="1:33" ht="11.25" customHeight="1" x14ac:dyDescent="0.25">
      <c r="A210" s="4" t="s">
        <v>21</v>
      </c>
      <c r="B210" s="4" t="s">
        <v>32</v>
      </c>
      <c r="C210" s="4" t="s">
        <v>38</v>
      </c>
      <c r="D210" s="4" t="s">
        <v>40</v>
      </c>
      <c r="E210" s="4" t="s">
        <v>25</v>
      </c>
      <c r="F210" s="4" t="s">
        <v>25</v>
      </c>
      <c r="G210" s="4" t="s">
        <v>25</v>
      </c>
      <c r="H210" s="4" t="s">
        <v>39</v>
      </c>
      <c r="I210" s="5">
        <v>44531</v>
      </c>
      <c r="J210" s="6">
        <v>0</v>
      </c>
      <c r="K210" s="6">
        <v>0</v>
      </c>
      <c r="L210" s="6">
        <v>0.375</v>
      </c>
      <c r="M210" s="6">
        <v>0.375</v>
      </c>
      <c r="N210" s="6">
        <v>0.375</v>
      </c>
      <c r="O210" s="6">
        <v>0.375</v>
      </c>
      <c r="P210" s="6">
        <v>0</v>
      </c>
      <c r="Q210" s="4" t="s">
        <v>26</v>
      </c>
      <c r="R210" s="4">
        <v>0</v>
      </c>
      <c r="S210" s="6">
        <v>0</v>
      </c>
      <c r="T210" s="6">
        <v>44</v>
      </c>
      <c r="U210" s="6">
        <v>82</v>
      </c>
      <c r="V210" s="6">
        <f>IF(ISERROR(VLOOKUP($S$210,'TAR FIN'!$A$1:$O$88,15,0)),0,VLOOKUP($S$210,'TAR FIN'!$A$1:$O$88,15,0))</f>
        <v>0</v>
      </c>
      <c r="W210" s="6">
        <f>IF(ISERROR(VLOOKUP($T$210,'TAR FIN'!$A$1:$O$88,15,0)),0,VLOOKUP($T$210,'TAR FIN'!$A$1:$O$88,15,0))</f>
        <v>0</v>
      </c>
      <c r="X210" s="6">
        <f>IF(ISERROR(VLOOKUP($U$210,'TAR FIN'!$A$1:$O$88,15,0)),0,VLOOKUP($U$210,'TAR FIN'!$A$1:$O$88,15,0))</f>
        <v>0</v>
      </c>
      <c r="Y210" s="6"/>
      <c r="Z210" s="6">
        <f ca="1">('TUSD BE'!$AM$46+'TUSD BF'!$AM$46+'TUSD CVA'!$AM$46)*1</f>
        <v>915.41577072839698</v>
      </c>
      <c r="AA210" s="6">
        <f>('TE BE'!$AB$37+'TE BF'!$AB$37+'TE CVA'!$AB$37)*1</f>
        <v>274.24484099236821</v>
      </c>
      <c r="AB210" s="6">
        <f>$K$210*$V$210</f>
        <v>0</v>
      </c>
      <c r="AC210" s="6">
        <f>$M$210*$W$210</f>
        <v>0</v>
      </c>
      <c r="AD210" s="6">
        <f>$O$210*$X$210</f>
        <v>0</v>
      </c>
      <c r="AE210" s="6">
        <f>$K$210*$Y$210</f>
        <v>0</v>
      </c>
      <c r="AF210" s="6">
        <f ca="1">$M$210*$Z$210</f>
        <v>343.28091402314885</v>
      </c>
      <c r="AG210" s="6">
        <f>$O$210*$AA$210</f>
        <v>102.84181537213809</v>
      </c>
    </row>
    <row r="211" spans="1:33" ht="11.25" customHeight="1" x14ac:dyDescent="0.25">
      <c r="A211" s="4" t="s">
        <v>21</v>
      </c>
      <c r="B211" s="4" t="s">
        <v>32</v>
      </c>
      <c r="C211" s="4" t="s">
        <v>38</v>
      </c>
      <c r="D211" s="4" t="s">
        <v>40</v>
      </c>
      <c r="E211" s="4" t="s">
        <v>25</v>
      </c>
      <c r="F211" s="4" t="s">
        <v>25</v>
      </c>
      <c r="G211" s="4" t="s">
        <v>25</v>
      </c>
      <c r="H211" s="4" t="s">
        <v>39</v>
      </c>
      <c r="I211" s="5">
        <v>44562</v>
      </c>
      <c r="J211" s="6">
        <v>0</v>
      </c>
      <c r="K211" s="6">
        <v>0</v>
      </c>
      <c r="L211" s="6">
        <v>0.34100000000000003</v>
      </c>
      <c r="M211" s="6">
        <v>0.34100000000000003</v>
      </c>
      <c r="N211" s="6">
        <v>0.34100000000000003</v>
      </c>
      <c r="O211" s="6">
        <v>0.34100000000000003</v>
      </c>
      <c r="P211" s="6">
        <v>0</v>
      </c>
      <c r="Q211" s="4" t="s">
        <v>26</v>
      </c>
      <c r="R211" s="4">
        <v>0</v>
      </c>
      <c r="S211" s="6">
        <v>0</v>
      </c>
      <c r="T211" s="6">
        <v>44</v>
      </c>
      <c r="U211" s="6">
        <v>82</v>
      </c>
      <c r="V211" s="6">
        <f>IF(ISERROR(VLOOKUP($S$211,'TAR FIN'!$A$1:$O$88,15,0)),0,VLOOKUP($S$211,'TAR FIN'!$A$1:$O$88,15,0))</f>
        <v>0</v>
      </c>
      <c r="W211" s="6">
        <f>IF(ISERROR(VLOOKUP($T$211,'TAR FIN'!$A$1:$O$88,15,0)),0,VLOOKUP($T$211,'TAR FIN'!$A$1:$O$88,15,0))</f>
        <v>0</v>
      </c>
      <c r="X211" s="6">
        <f>IF(ISERROR(VLOOKUP($U$211,'TAR FIN'!$A$1:$O$88,15,0)),0,VLOOKUP($U$211,'TAR FIN'!$A$1:$O$88,15,0))</f>
        <v>0</v>
      </c>
      <c r="Y211" s="6"/>
      <c r="Z211" s="6">
        <f ca="1">('TUSD BE'!$AM$46+'TUSD BF'!$AM$46+'TUSD CVA'!$AM$46)*1</f>
        <v>915.41577072839698</v>
      </c>
      <c r="AA211" s="6">
        <f>('TE BE'!$AB$37+'TE BF'!$AB$37+'TE CVA'!$AB$37)*1</f>
        <v>274.24484099236821</v>
      </c>
      <c r="AB211" s="6">
        <f>$K$211*$V$211</f>
        <v>0</v>
      </c>
      <c r="AC211" s="6">
        <f>$M$211*$W$211</f>
        <v>0</v>
      </c>
      <c r="AD211" s="6">
        <f>$O$211*$X$211</f>
        <v>0</v>
      </c>
      <c r="AE211" s="6">
        <f>$K$211*$Y$211</f>
        <v>0</v>
      </c>
      <c r="AF211" s="6">
        <f ca="1">$M$211*$Z$211</f>
        <v>312.15677781838338</v>
      </c>
      <c r="AG211" s="6">
        <f>$O$211*$AA$211</f>
        <v>93.517490778397573</v>
      </c>
    </row>
    <row r="212" spans="1:33" ht="11.25" customHeight="1" x14ac:dyDescent="0.25">
      <c r="A212" s="4" t="s">
        <v>21</v>
      </c>
      <c r="B212" s="4" t="s">
        <v>32</v>
      </c>
      <c r="C212" s="4" t="s">
        <v>38</v>
      </c>
      <c r="D212" s="4" t="s">
        <v>40</v>
      </c>
      <c r="E212" s="4" t="s">
        <v>25</v>
      </c>
      <c r="F212" s="4" t="s">
        <v>25</v>
      </c>
      <c r="G212" s="4" t="s">
        <v>25</v>
      </c>
      <c r="H212" s="4" t="s">
        <v>39</v>
      </c>
      <c r="I212" s="5">
        <v>44593</v>
      </c>
      <c r="J212" s="6">
        <v>0</v>
      </c>
      <c r="K212" s="6">
        <v>0</v>
      </c>
      <c r="L212" s="6">
        <v>0.36</v>
      </c>
      <c r="M212" s="6">
        <v>0.36</v>
      </c>
      <c r="N212" s="6">
        <v>0.36</v>
      </c>
      <c r="O212" s="6">
        <v>0.36</v>
      </c>
      <c r="P212" s="6">
        <v>0</v>
      </c>
      <c r="Q212" s="4" t="s">
        <v>26</v>
      </c>
      <c r="R212" s="4">
        <v>0</v>
      </c>
      <c r="S212" s="6">
        <v>0</v>
      </c>
      <c r="T212" s="6">
        <v>44</v>
      </c>
      <c r="U212" s="6">
        <v>82</v>
      </c>
      <c r="V212" s="6">
        <f>IF(ISERROR(VLOOKUP($S$212,'TAR FIN'!$A$1:$O$88,15,0)),0,VLOOKUP($S$212,'TAR FIN'!$A$1:$O$88,15,0))</f>
        <v>0</v>
      </c>
      <c r="W212" s="6">
        <f>IF(ISERROR(VLOOKUP($T$212,'TAR FIN'!$A$1:$O$88,15,0)),0,VLOOKUP($T$212,'TAR FIN'!$A$1:$O$88,15,0))</f>
        <v>0</v>
      </c>
      <c r="X212" s="6">
        <f>IF(ISERROR(VLOOKUP($U$212,'TAR FIN'!$A$1:$O$88,15,0)),0,VLOOKUP($U$212,'TAR FIN'!$A$1:$O$88,15,0))</f>
        <v>0</v>
      </c>
      <c r="Y212" s="6"/>
      <c r="Z212" s="6">
        <f ca="1">('TUSD BE'!$AM$46+'TUSD BF'!$AM$46+'TUSD CVA'!$AM$46)*1</f>
        <v>915.41577072839698</v>
      </c>
      <c r="AA212" s="6">
        <f>('TE BE'!$AB$37+'TE BF'!$AB$37+'TE CVA'!$AB$37)*1</f>
        <v>274.24484099236821</v>
      </c>
      <c r="AB212" s="6">
        <f>$K$212*$V$212</f>
        <v>0</v>
      </c>
      <c r="AC212" s="6">
        <f>$M$212*$W$212</f>
        <v>0</v>
      </c>
      <c r="AD212" s="6">
        <f>$O$212*$X$212</f>
        <v>0</v>
      </c>
      <c r="AE212" s="6">
        <f>$K$212*$Y$212</f>
        <v>0</v>
      </c>
      <c r="AF212" s="6">
        <f ca="1">$M$212*$Z$212</f>
        <v>329.54967746222292</v>
      </c>
      <c r="AG212" s="6">
        <f>$O$212*$AA$212</f>
        <v>98.728142757252556</v>
      </c>
    </row>
    <row r="213" spans="1:33" ht="11.25" customHeight="1" x14ac:dyDescent="0.25">
      <c r="A213" s="4" t="s">
        <v>21</v>
      </c>
      <c r="B213" s="4" t="s">
        <v>32</v>
      </c>
      <c r="C213" s="4" t="s">
        <v>38</v>
      </c>
      <c r="D213" s="4" t="s">
        <v>40</v>
      </c>
      <c r="E213" s="4" t="s">
        <v>25</v>
      </c>
      <c r="F213" s="4" t="s">
        <v>25</v>
      </c>
      <c r="G213" s="4" t="s">
        <v>25</v>
      </c>
      <c r="H213" s="4" t="s">
        <v>39</v>
      </c>
      <c r="I213" s="5">
        <v>44621</v>
      </c>
      <c r="J213" s="6">
        <v>0</v>
      </c>
      <c r="K213" s="6">
        <v>0</v>
      </c>
      <c r="L213" s="6">
        <v>0.32100000000000001</v>
      </c>
      <c r="M213" s="6">
        <v>0.32100000000000001</v>
      </c>
      <c r="N213" s="6">
        <v>0.32100000000000001</v>
      </c>
      <c r="O213" s="6">
        <v>0.32100000000000001</v>
      </c>
      <c r="P213" s="6">
        <v>0</v>
      </c>
      <c r="Q213" s="4" t="s">
        <v>26</v>
      </c>
      <c r="R213" s="4">
        <v>0</v>
      </c>
      <c r="S213" s="6">
        <v>0</v>
      </c>
      <c r="T213" s="6">
        <v>44</v>
      </c>
      <c r="U213" s="6">
        <v>82</v>
      </c>
      <c r="V213" s="6">
        <f>IF(ISERROR(VLOOKUP($S$213,'TAR FIN'!$A$1:$O$88,15,0)),0,VLOOKUP($S$213,'TAR FIN'!$A$1:$O$88,15,0))</f>
        <v>0</v>
      </c>
      <c r="W213" s="6">
        <f>IF(ISERROR(VLOOKUP($T$213,'TAR FIN'!$A$1:$O$88,15,0)),0,VLOOKUP($T$213,'TAR FIN'!$A$1:$O$88,15,0))</f>
        <v>0</v>
      </c>
      <c r="X213" s="6">
        <f>IF(ISERROR(VLOOKUP($U$213,'TAR FIN'!$A$1:$O$88,15,0)),0,VLOOKUP($U$213,'TAR FIN'!$A$1:$O$88,15,0))</f>
        <v>0</v>
      </c>
      <c r="Y213" s="6"/>
      <c r="Z213" s="6">
        <f ca="1">('TUSD BE'!$AM$46+'TUSD BF'!$AM$46+'TUSD CVA'!$AM$46)*1</f>
        <v>915.41577072839698</v>
      </c>
      <c r="AA213" s="6">
        <f>('TE BE'!$AB$37+'TE BF'!$AB$37+'TE CVA'!$AB$37)*1</f>
        <v>274.24484099236821</v>
      </c>
      <c r="AB213" s="6">
        <f>$K$213*$V$213</f>
        <v>0</v>
      </c>
      <c r="AC213" s="6">
        <f>$M$213*$W$213</f>
        <v>0</v>
      </c>
      <c r="AD213" s="6">
        <f>$O$213*$X$213</f>
        <v>0</v>
      </c>
      <c r="AE213" s="6">
        <f>$K$213*$Y$213</f>
        <v>0</v>
      </c>
      <c r="AF213" s="6">
        <f ca="1">$M$213*$Z$213</f>
        <v>293.84846240381546</v>
      </c>
      <c r="AG213" s="6">
        <f>$O$213*$AA$213</f>
        <v>88.032593958550194</v>
      </c>
    </row>
    <row r="214" spans="1:33" ht="11.25" customHeight="1" x14ac:dyDescent="0.25">
      <c r="A214" s="4" t="s">
        <v>21</v>
      </c>
      <c r="B214" s="4" t="s">
        <v>32</v>
      </c>
      <c r="C214" s="4" t="s">
        <v>38</v>
      </c>
      <c r="D214" s="4" t="s">
        <v>40</v>
      </c>
      <c r="E214" s="4" t="s">
        <v>25</v>
      </c>
      <c r="F214" s="4" t="s">
        <v>25</v>
      </c>
      <c r="G214" s="4" t="s">
        <v>25</v>
      </c>
      <c r="H214" s="4" t="s">
        <v>39</v>
      </c>
      <c r="I214" s="5">
        <v>44652</v>
      </c>
      <c r="J214" s="6">
        <v>0</v>
      </c>
      <c r="K214" s="6">
        <v>0</v>
      </c>
      <c r="L214" s="6">
        <v>0.26300000000000001</v>
      </c>
      <c r="M214" s="6">
        <v>0.26300000000000001</v>
      </c>
      <c r="N214" s="6">
        <v>0.26300000000000001</v>
      </c>
      <c r="O214" s="6">
        <v>0.26300000000000001</v>
      </c>
      <c r="P214" s="6">
        <v>0</v>
      </c>
      <c r="Q214" s="4" t="s">
        <v>26</v>
      </c>
      <c r="R214" s="4">
        <v>0</v>
      </c>
      <c r="S214" s="6">
        <v>0</v>
      </c>
      <c r="T214" s="6">
        <v>44</v>
      </c>
      <c r="U214" s="6">
        <v>82</v>
      </c>
      <c r="V214" s="6">
        <f>IF(ISERROR(VLOOKUP($S$214,'TAR FIN'!$A$1:$O$88,15,0)),0,VLOOKUP($S$214,'TAR FIN'!$A$1:$O$88,15,0))</f>
        <v>0</v>
      </c>
      <c r="W214" s="6">
        <f>IF(ISERROR(VLOOKUP($T$214,'TAR FIN'!$A$1:$O$88,15,0)),0,VLOOKUP($T$214,'TAR FIN'!$A$1:$O$88,15,0))</f>
        <v>0</v>
      </c>
      <c r="X214" s="6">
        <f>IF(ISERROR(VLOOKUP($U$214,'TAR FIN'!$A$1:$O$88,15,0)),0,VLOOKUP($U$214,'TAR FIN'!$A$1:$O$88,15,0))</f>
        <v>0</v>
      </c>
      <c r="Y214" s="6"/>
      <c r="Z214" s="6">
        <f ca="1">('TUSD BE'!$AM$46+'TUSD BF'!$AM$46+'TUSD CVA'!$AM$46)*1</f>
        <v>915.41577072839698</v>
      </c>
      <c r="AA214" s="6">
        <f>('TE BE'!$AB$37+'TE BF'!$AB$37+'TE CVA'!$AB$37)*1</f>
        <v>274.24484099236821</v>
      </c>
      <c r="AB214" s="6">
        <f>$K$214*$V$214</f>
        <v>0</v>
      </c>
      <c r="AC214" s="6">
        <f>$M$214*$W$214</f>
        <v>0</v>
      </c>
      <c r="AD214" s="6">
        <f>$O$214*$X$214</f>
        <v>0</v>
      </c>
      <c r="AE214" s="6">
        <f>$K$214*$Y$214</f>
        <v>0</v>
      </c>
      <c r="AF214" s="6">
        <f ca="1">$M$214*$Z$214</f>
        <v>240.75434770156841</v>
      </c>
      <c r="AG214" s="6">
        <f>$O$214*$AA$214</f>
        <v>72.126393180992849</v>
      </c>
    </row>
    <row r="215" spans="1:33" ht="11.25" customHeight="1" x14ac:dyDescent="0.25">
      <c r="A215" s="4" t="s">
        <v>21</v>
      </c>
      <c r="B215" s="4" t="s">
        <v>32</v>
      </c>
      <c r="C215" s="4" t="s">
        <v>38</v>
      </c>
      <c r="D215" s="4" t="s">
        <v>40</v>
      </c>
      <c r="E215" s="4" t="s">
        <v>25</v>
      </c>
      <c r="F215" s="4" t="s">
        <v>25</v>
      </c>
      <c r="G215" s="4" t="s">
        <v>25</v>
      </c>
      <c r="H215" s="4" t="s">
        <v>39</v>
      </c>
      <c r="I215" s="5">
        <v>44682</v>
      </c>
      <c r="J215" s="6">
        <v>0</v>
      </c>
      <c r="K215" s="6">
        <v>0</v>
      </c>
      <c r="L215" s="6">
        <v>0.19600000000000001</v>
      </c>
      <c r="M215" s="6">
        <v>0.19600000000000001</v>
      </c>
      <c r="N215" s="6">
        <v>0.19600000000000001</v>
      </c>
      <c r="O215" s="6">
        <v>0.19600000000000001</v>
      </c>
      <c r="P215" s="6">
        <v>0</v>
      </c>
      <c r="Q215" s="4" t="s">
        <v>26</v>
      </c>
      <c r="R215" s="4">
        <v>0</v>
      </c>
      <c r="S215" s="6">
        <v>0</v>
      </c>
      <c r="T215" s="6">
        <v>44</v>
      </c>
      <c r="U215" s="6">
        <v>82</v>
      </c>
      <c r="V215" s="6">
        <f>IF(ISERROR(VLOOKUP($S$215,'TAR FIN'!$A$1:$O$88,15,0)),0,VLOOKUP($S$215,'TAR FIN'!$A$1:$O$88,15,0))</f>
        <v>0</v>
      </c>
      <c r="W215" s="6">
        <f>IF(ISERROR(VLOOKUP($T$215,'TAR FIN'!$A$1:$O$88,15,0)),0,VLOOKUP($T$215,'TAR FIN'!$A$1:$O$88,15,0))</f>
        <v>0</v>
      </c>
      <c r="X215" s="6">
        <f>IF(ISERROR(VLOOKUP($U$215,'TAR FIN'!$A$1:$O$88,15,0)),0,VLOOKUP($U$215,'TAR FIN'!$A$1:$O$88,15,0))</f>
        <v>0</v>
      </c>
      <c r="Y215" s="6"/>
      <c r="Z215" s="6">
        <f ca="1">('TUSD BE'!$AM$46+'TUSD BF'!$AM$46+'TUSD CVA'!$AM$46)*1</f>
        <v>915.41577072839698</v>
      </c>
      <c r="AA215" s="6">
        <f>('TE BE'!$AB$37+'TE BF'!$AB$37+'TE CVA'!$AB$37)*1</f>
        <v>274.24484099236821</v>
      </c>
      <c r="AB215" s="6">
        <f>$K$215*$V$215</f>
        <v>0</v>
      </c>
      <c r="AC215" s="6">
        <f>$M$215*$W$215</f>
        <v>0</v>
      </c>
      <c r="AD215" s="6">
        <f>$O$215*$X$215</f>
        <v>0</v>
      </c>
      <c r="AE215" s="6">
        <f>$K$215*$Y$215</f>
        <v>0</v>
      </c>
      <c r="AF215" s="6">
        <f ca="1">$M$215*$Z$215</f>
        <v>179.42149106276582</v>
      </c>
      <c r="AG215" s="6">
        <f>$O$215*$AA$215</f>
        <v>53.751988834504168</v>
      </c>
    </row>
    <row r="216" spans="1:33" ht="11.25" customHeight="1" x14ac:dyDescent="0.25">
      <c r="A216" s="4" t="s">
        <v>21</v>
      </c>
      <c r="B216" s="4" t="s">
        <v>32</v>
      </c>
      <c r="C216" s="4" t="s">
        <v>38</v>
      </c>
      <c r="D216" s="4" t="s">
        <v>40</v>
      </c>
      <c r="E216" s="4" t="s">
        <v>25</v>
      </c>
      <c r="F216" s="4" t="s">
        <v>25</v>
      </c>
      <c r="G216" s="4" t="s">
        <v>25</v>
      </c>
      <c r="H216" s="4" t="s">
        <v>39</v>
      </c>
      <c r="I216" s="5">
        <v>44713</v>
      </c>
      <c r="J216" s="6">
        <v>0</v>
      </c>
      <c r="K216" s="6">
        <v>0</v>
      </c>
      <c r="L216" s="6">
        <v>0.17599999999999999</v>
      </c>
      <c r="M216" s="6">
        <v>0.17599999999999999</v>
      </c>
      <c r="N216" s="6">
        <v>0.17599999999999999</v>
      </c>
      <c r="O216" s="6">
        <v>0.17599999999999999</v>
      </c>
      <c r="P216" s="6">
        <v>0</v>
      </c>
      <c r="Q216" s="4" t="s">
        <v>26</v>
      </c>
      <c r="R216" s="4">
        <v>0</v>
      </c>
      <c r="S216" s="6">
        <v>0</v>
      </c>
      <c r="T216" s="6">
        <v>44</v>
      </c>
      <c r="U216" s="6">
        <v>82</v>
      </c>
      <c r="V216" s="6">
        <f>IF(ISERROR(VLOOKUP($S$216,'TAR FIN'!$A$1:$O$88,15,0)),0,VLOOKUP($S$216,'TAR FIN'!$A$1:$O$88,15,0))</f>
        <v>0</v>
      </c>
      <c r="W216" s="6">
        <f>IF(ISERROR(VLOOKUP($T$216,'TAR FIN'!$A$1:$O$88,15,0)),0,VLOOKUP($T$216,'TAR FIN'!$A$1:$O$88,15,0))</f>
        <v>0</v>
      </c>
      <c r="X216" s="6">
        <f>IF(ISERROR(VLOOKUP($U$216,'TAR FIN'!$A$1:$O$88,15,0)),0,VLOOKUP($U$216,'TAR FIN'!$A$1:$O$88,15,0))</f>
        <v>0</v>
      </c>
      <c r="Y216" s="6"/>
      <c r="Z216" s="6">
        <f ca="1">('TUSD BE'!$AM$46+'TUSD BF'!$AM$46+'TUSD CVA'!$AM$46)*1</f>
        <v>915.41577072839698</v>
      </c>
      <c r="AA216" s="6">
        <f>('TE BE'!$AB$37+'TE BF'!$AB$37+'TE CVA'!$AB$37)*1</f>
        <v>274.24484099236821</v>
      </c>
      <c r="AB216" s="6">
        <f>$K$216*$V$216</f>
        <v>0</v>
      </c>
      <c r="AC216" s="6">
        <f>$M$216*$W$216</f>
        <v>0</v>
      </c>
      <c r="AD216" s="6">
        <f>$O$216*$X$216</f>
        <v>0</v>
      </c>
      <c r="AE216" s="6">
        <f>$K$216*$Y$216</f>
        <v>0</v>
      </c>
      <c r="AF216" s="6">
        <f ca="1">$M$216*$Z$216</f>
        <v>161.11317564819785</v>
      </c>
      <c r="AG216" s="6">
        <f>$O$216*$AA$216</f>
        <v>48.267092014656804</v>
      </c>
    </row>
    <row r="217" spans="1:33" ht="11.25" customHeight="1" x14ac:dyDescent="0.25">
      <c r="A217" s="4" t="s">
        <v>21</v>
      </c>
      <c r="B217" s="4" t="s">
        <v>32</v>
      </c>
      <c r="C217" s="4" t="s">
        <v>38</v>
      </c>
      <c r="D217" s="4" t="s">
        <v>40</v>
      </c>
      <c r="E217" s="4" t="s">
        <v>25</v>
      </c>
      <c r="F217" s="4" t="s">
        <v>25</v>
      </c>
      <c r="G217" s="4" t="s">
        <v>25</v>
      </c>
      <c r="H217" s="4" t="s">
        <v>39</v>
      </c>
      <c r="I217" s="5">
        <v>44743</v>
      </c>
      <c r="J217" s="6">
        <v>0</v>
      </c>
      <c r="K217" s="6">
        <v>0</v>
      </c>
      <c r="L217" s="6">
        <v>0.183</v>
      </c>
      <c r="M217" s="6">
        <v>0.183</v>
      </c>
      <c r="N217" s="6">
        <v>0.183</v>
      </c>
      <c r="O217" s="6">
        <v>0.183</v>
      </c>
      <c r="P217" s="6">
        <v>0</v>
      </c>
      <c r="Q217" s="4" t="s">
        <v>26</v>
      </c>
      <c r="R217" s="4">
        <v>0</v>
      </c>
      <c r="S217" s="6">
        <v>0</v>
      </c>
      <c r="T217" s="6">
        <v>44</v>
      </c>
      <c r="U217" s="6">
        <v>82</v>
      </c>
      <c r="V217" s="6">
        <f>IF(ISERROR(VLOOKUP($S$217,'TAR FIN'!$A$1:$O$88,15,0)),0,VLOOKUP($S$217,'TAR FIN'!$A$1:$O$88,15,0))</f>
        <v>0</v>
      </c>
      <c r="W217" s="6">
        <f>IF(ISERROR(VLOOKUP($T$217,'TAR FIN'!$A$1:$O$88,15,0)),0,VLOOKUP($T$217,'TAR FIN'!$A$1:$O$88,15,0))</f>
        <v>0</v>
      </c>
      <c r="X217" s="6">
        <f>IF(ISERROR(VLOOKUP($U$217,'TAR FIN'!$A$1:$O$88,15,0)),0,VLOOKUP($U$217,'TAR FIN'!$A$1:$O$88,15,0))</f>
        <v>0</v>
      </c>
      <c r="Y217" s="6"/>
      <c r="Z217" s="6">
        <f ca="1">('TUSD BE'!$AM$46+'TUSD BF'!$AM$46+'TUSD CVA'!$AM$46)*1</f>
        <v>915.41577072839698</v>
      </c>
      <c r="AA217" s="6">
        <f>('TE BE'!$AB$37+'TE BF'!$AB$37+'TE CVA'!$AB$37)*1</f>
        <v>274.24484099236821</v>
      </c>
      <c r="AB217" s="6">
        <f>$K$217*$V$217</f>
        <v>0</v>
      </c>
      <c r="AC217" s="6">
        <f>$M$217*$W$217</f>
        <v>0</v>
      </c>
      <c r="AD217" s="6">
        <f>$O$217*$X$217</f>
        <v>0</v>
      </c>
      <c r="AE217" s="6">
        <f>$K$217*$Y$217</f>
        <v>0</v>
      </c>
      <c r="AF217" s="6">
        <f ca="1">$M$217*$Z$217</f>
        <v>167.52108604329663</v>
      </c>
      <c r="AG217" s="6">
        <f>$O$217*$AA$217</f>
        <v>50.186805901603378</v>
      </c>
    </row>
    <row r="218" spans="1:33" ht="11.25" customHeight="1" x14ac:dyDescent="0.25">
      <c r="A218" s="4" t="s">
        <v>21</v>
      </c>
      <c r="B218" s="4" t="s">
        <v>32</v>
      </c>
      <c r="C218" s="4" t="s">
        <v>38</v>
      </c>
      <c r="D218" s="4" t="s">
        <v>40</v>
      </c>
      <c r="E218" s="4" t="s">
        <v>25</v>
      </c>
      <c r="F218" s="4" t="s">
        <v>25</v>
      </c>
      <c r="G218" s="4" t="s">
        <v>25</v>
      </c>
      <c r="H218" s="4" t="s">
        <v>36</v>
      </c>
      <c r="I218" s="5">
        <v>44409</v>
      </c>
      <c r="J218" s="6">
        <v>0</v>
      </c>
      <c r="K218" s="6">
        <v>0</v>
      </c>
      <c r="L218" s="6">
        <v>0.73499999999999999</v>
      </c>
      <c r="M218" s="6">
        <v>0.73499999999999999</v>
      </c>
      <c r="N218" s="6">
        <v>0.73499999999999999</v>
      </c>
      <c r="O218" s="6">
        <v>0.73499999999999999</v>
      </c>
      <c r="P218" s="6">
        <v>0</v>
      </c>
      <c r="Q218" s="4" t="s">
        <v>26</v>
      </c>
      <c r="R218" s="4">
        <v>0</v>
      </c>
      <c r="S218" s="6">
        <v>0</v>
      </c>
      <c r="T218" s="6">
        <v>43</v>
      </c>
      <c r="U218" s="6">
        <v>81</v>
      </c>
      <c r="V218" s="6">
        <f>IF(ISERROR(VLOOKUP($S$218,'TAR FIN'!$A$1:$O$88,15,0)),0,VLOOKUP($S$218,'TAR FIN'!$A$1:$O$88,15,0))</f>
        <v>0</v>
      </c>
      <c r="W218" s="6">
        <f>IF(ISERROR(VLOOKUP($T$218,'TAR FIN'!$A$1:$O$88,15,0)),0,VLOOKUP($T$218,'TAR FIN'!$A$1:$O$88,15,0))</f>
        <v>0</v>
      </c>
      <c r="X218" s="6">
        <f>IF(ISERROR(VLOOKUP($U$218,'TAR FIN'!$A$1:$O$88,15,0)),0,VLOOKUP($U$218,'TAR FIN'!$A$1:$O$88,15,0))</f>
        <v>0</v>
      </c>
      <c r="Y218" s="6"/>
      <c r="Z218" s="6">
        <f ca="1">('TUSD BE'!$AM$45+'TUSD BF'!$AM$45+'TUSD CVA'!$AM$45)*1</f>
        <v>1427.7324477453922</v>
      </c>
      <c r="AA218" s="6">
        <f>('TE BE'!$AB$36+'TE BF'!$AB$36+'TE CVA'!$AB$36)*1</f>
        <v>469.66510193737668</v>
      </c>
      <c r="AB218" s="6">
        <f>$K$218*$V$218</f>
        <v>0</v>
      </c>
      <c r="AC218" s="6">
        <f>$M$218*$W$218</f>
        <v>0</v>
      </c>
      <c r="AD218" s="6">
        <f>$O$218*$X$218</f>
        <v>0</v>
      </c>
      <c r="AE218" s="6">
        <f>$K$218*$Y$218</f>
        <v>0</v>
      </c>
      <c r="AF218" s="6">
        <f ca="1">$M$218*$Z$218</f>
        <v>1049.3833490928632</v>
      </c>
      <c r="AG218" s="6">
        <f>$O$218*$AA$218</f>
        <v>345.20384992397186</v>
      </c>
    </row>
    <row r="219" spans="1:33" ht="11.25" customHeight="1" x14ac:dyDescent="0.25">
      <c r="A219" s="4" t="s">
        <v>21</v>
      </c>
      <c r="B219" s="4" t="s">
        <v>32</v>
      </c>
      <c r="C219" s="4" t="s">
        <v>38</v>
      </c>
      <c r="D219" s="4" t="s">
        <v>40</v>
      </c>
      <c r="E219" s="4" t="s">
        <v>25</v>
      </c>
      <c r="F219" s="4" t="s">
        <v>25</v>
      </c>
      <c r="G219" s="4" t="s">
        <v>25</v>
      </c>
      <c r="H219" s="4" t="s">
        <v>36</v>
      </c>
      <c r="I219" s="5">
        <v>44440</v>
      </c>
      <c r="J219" s="6">
        <v>0</v>
      </c>
      <c r="K219" s="6">
        <v>0</v>
      </c>
      <c r="L219" s="6">
        <v>0.53100000000000003</v>
      </c>
      <c r="M219" s="6">
        <v>0.53100000000000003</v>
      </c>
      <c r="N219" s="6">
        <v>0.53100000000000003</v>
      </c>
      <c r="O219" s="6">
        <v>0.53100000000000003</v>
      </c>
      <c r="P219" s="6">
        <v>0</v>
      </c>
      <c r="Q219" s="4" t="s">
        <v>26</v>
      </c>
      <c r="R219" s="4">
        <v>0</v>
      </c>
      <c r="S219" s="6">
        <v>0</v>
      </c>
      <c r="T219" s="6">
        <v>43</v>
      </c>
      <c r="U219" s="6">
        <v>81</v>
      </c>
      <c r="V219" s="6">
        <f>IF(ISERROR(VLOOKUP($S$219,'TAR FIN'!$A$1:$O$88,15,0)),0,VLOOKUP($S$219,'TAR FIN'!$A$1:$O$88,15,0))</f>
        <v>0</v>
      </c>
      <c r="W219" s="6">
        <f>IF(ISERROR(VLOOKUP($T$219,'TAR FIN'!$A$1:$O$88,15,0)),0,VLOOKUP($T$219,'TAR FIN'!$A$1:$O$88,15,0))</f>
        <v>0</v>
      </c>
      <c r="X219" s="6">
        <f>IF(ISERROR(VLOOKUP($U$219,'TAR FIN'!$A$1:$O$88,15,0)),0,VLOOKUP($U$219,'TAR FIN'!$A$1:$O$88,15,0))</f>
        <v>0</v>
      </c>
      <c r="Y219" s="6"/>
      <c r="Z219" s="6">
        <f ca="1">('TUSD BE'!$AM$45+'TUSD BF'!$AM$45+'TUSD CVA'!$AM$45)*1</f>
        <v>1427.7324477453922</v>
      </c>
      <c r="AA219" s="6">
        <f>('TE BE'!$AB$36+'TE BF'!$AB$36+'TE CVA'!$AB$36)*1</f>
        <v>469.66510193737668</v>
      </c>
      <c r="AB219" s="6">
        <f>$K$219*$V$219</f>
        <v>0</v>
      </c>
      <c r="AC219" s="6">
        <f>$M$219*$W$219</f>
        <v>0</v>
      </c>
      <c r="AD219" s="6">
        <f>$O$219*$X$219</f>
        <v>0</v>
      </c>
      <c r="AE219" s="6">
        <f>$K$219*$Y$219</f>
        <v>0</v>
      </c>
      <c r="AF219" s="6">
        <f ca="1">$M$219*$Z$219</f>
        <v>758.12592975280324</v>
      </c>
      <c r="AG219" s="6">
        <f>$O$219*$AA$219</f>
        <v>249.39216912874701</v>
      </c>
    </row>
    <row r="220" spans="1:33" ht="11.25" customHeight="1" x14ac:dyDescent="0.25">
      <c r="A220" s="4" t="s">
        <v>21</v>
      </c>
      <c r="B220" s="4" t="s">
        <v>32</v>
      </c>
      <c r="C220" s="4" t="s">
        <v>38</v>
      </c>
      <c r="D220" s="4" t="s">
        <v>40</v>
      </c>
      <c r="E220" s="4" t="s">
        <v>25</v>
      </c>
      <c r="F220" s="4" t="s">
        <v>25</v>
      </c>
      <c r="G220" s="4" t="s">
        <v>25</v>
      </c>
      <c r="H220" s="4" t="s">
        <v>36</v>
      </c>
      <c r="I220" s="5">
        <v>44470</v>
      </c>
      <c r="J220" s="6">
        <v>0</v>
      </c>
      <c r="K220" s="6">
        <v>0</v>
      </c>
      <c r="L220" s="6">
        <v>0.46300000000000002</v>
      </c>
      <c r="M220" s="6">
        <v>0.46300000000000002</v>
      </c>
      <c r="N220" s="6">
        <v>0.46300000000000002</v>
      </c>
      <c r="O220" s="6">
        <v>0.46300000000000002</v>
      </c>
      <c r="P220" s="6">
        <v>0</v>
      </c>
      <c r="Q220" s="4" t="s">
        <v>26</v>
      </c>
      <c r="R220" s="4">
        <v>0</v>
      </c>
      <c r="S220" s="6">
        <v>0</v>
      </c>
      <c r="T220" s="6">
        <v>43</v>
      </c>
      <c r="U220" s="6">
        <v>81</v>
      </c>
      <c r="V220" s="6">
        <f>IF(ISERROR(VLOOKUP($S$220,'TAR FIN'!$A$1:$O$88,15,0)),0,VLOOKUP($S$220,'TAR FIN'!$A$1:$O$88,15,0))</f>
        <v>0</v>
      </c>
      <c r="W220" s="6">
        <f>IF(ISERROR(VLOOKUP($T$220,'TAR FIN'!$A$1:$O$88,15,0)),0,VLOOKUP($T$220,'TAR FIN'!$A$1:$O$88,15,0))</f>
        <v>0</v>
      </c>
      <c r="X220" s="6">
        <f>IF(ISERROR(VLOOKUP($U$220,'TAR FIN'!$A$1:$O$88,15,0)),0,VLOOKUP($U$220,'TAR FIN'!$A$1:$O$88,15,0))</f>
        <v>0</v>
      </c>
      <c r="Y220" s="6"/>
      <c r="Z220" s="6">
        <f ca="1">('TUSD BE'!$AM$45+'TUSD BF'!$AM$45+'TUSD CVA'!$AM$45)*1</f>
        <v>1427.7324477453922</v>
      </c>
      <c r="AA220" s="6">
        <f>('TE BE'!$AB$36+'TE BF'!$AB$36+'TE CVA'!$AB$36)*1</f>
        <v>469.66510193737668</v>
      </c>
      <c r="AB220" s="6">
        <f>$K$220*$V$220</f>
        <v>0</v>
      </c>
      <c r="AC220" s="6">
        <f>$M$220*$W$220</f>
        <v>0</v>
      </c>
      <c r="AD220" s="6">
        <f>$O$220*$X$220</f>
        <v>0</v>
      </c>
      <c r="AE220" s="6">
        <f>$K$220*$Y$220</f>
        <v>0</v>
      </c>
      <c r="AF220" s="6">
        <f ca="1">$M$220*$Z$220</f>
        <v>661.04012330611658</v>
      </c>
      <c r="AG220" s="6">
        <f>$O$220*$AA$220</f>
        <v>217.45494219700541</v>
      </c>
    </row>
    <row r="221" spans="1:33" ht="11.25" customHeight="1" x14ac:dyDescent="0.25">
      <c r="A221" s="4" t="s">
        <v>21</v>
      </c>
      <c r="B221" s="4" t="s">
        <v>32</v>
      </c>
      <c r="C221" s="4" t="s">
        <v>38</v>
      </c>
      <c r="D221" s="4" t="s">
        <v>40</v>
      </c>
      <c r="E221" s="4" t="s">
        <v>25</v>
      </c>
      <c r="F221" s="4" t="s">
        <v>25</v>
      </c>
      <c r="G221" s="4" t="s">
        <v>25</v>
      </c>
      <c r="H221" s="4" t="s">
        <v>36</v>
      </c>
      <c r="I221" s="5">
        <v>44501</v>
      </c>
      <c r="J221" s="6">
        <v>0</v>
      </c>
      <c r="K221" s="6">
        <v>0</v>
      </c>
      <c r="L221" s="6">
        <v>0.51600000000000001</v>
      </c>
      <c r="M221" s="6">
        <v>0.51600000000000001</v>
      </c>
      <c r="N221" s="6">
        <v>0.51600000000000001</v>
      </c>
      <c r="O221" s="6">
        <v>0.51600000000000001</v>
      </c>
      <c r="P221" s="6">
        <v>0</v>
      </c>
      <c r="Q221" s="4" t="s">
        <v>26</v>
      </c>
      <c r="R221" s="4">
        <v>0</v>
      </c>
      <c r="S221" s="6">
        <v>0</v>
      </c>
      <c r="T221" s="6">
        <v>43</v>
      </c>
      <c r="U221" s="6">
        <v>81</v>
      </c>
      <c r="V221" s="6">
        <f>IF(ISERROR(VLOOKUP($S$221,'TAR FIN'!$A$1:$O$88,15,0)),0,VLOOKUP($S$221,'TAR FIN'!$A$1:$O$88,15,0))</f>
        <v>0</v>
      </c>
      <c r="W221" s="6">
        <f>IF(ISERROR(VLOOKUP($T$221,'TAR FIN'!$A$1:$O$88,15,0)),0,VLOOKUP($T$221,'TAR FIN'!$A$1:$O$88,15,0))</f>
        <v>0</v>
      </c>
      <c r="X221" s="6">
        <f>IF(ISERROR(VLOOKUP($U$221,'TAR FIN'!$A$1:$O$88,15,0)),0,VLOOKUP($U$221,'TAR FIN'!$A$1:$O$88,15,0))</f>
        <v>0</v>
      </c>
      <c r="Y221" s="6"/>
      <c r="Z221" s="6">
        <f ca="1">('TUSD BE'!$AM$45+'TUSD BF'!$AM$45+'TUSD CVA'!$AM$45)*1</f>
        <v>1427.7324477453922</v>
      </c>
      <c r="AA221" s="6">
        <f>('TE BE'!$AB$36+'TE BF'!$AB$36+'TE CVA'!$AB$36)*1</f>
        <v>469.66510193737668</v>
      </c>
      <c r="AB221" s="6">
        <f>$K$221*$V$221</f>
        <v>0</v>
      </c>
      <c r="AC221" s="6">
        <f>$M$221*$W$221</f>
        <v>0</v>
      </c>
      <c r="AD221" s="6">
        <f>$O$221*$X$221</f>
        <v>0</v>
      </c>
      <c r="AE221" s="6">
        <f>$K$221*$Y$221</f>
        <v>0</v>
      </c>
      <c r="AF221" s="6">
        <f ca="1">$M$221*$Z$221</f>
        <v>736.70994303662235</v>
      </c>
      <c r="AG221" s="6">
        <f>$O$221*$AA$221</f>
        <v>242.34719259968637</v>
      </c>
    </row>
    <row r="222" spans="1:33" ht="11.25" customHeight="1" x14ac:dyDescent="0.25">
      <c r="A222" s="4" t="s">
        <v>21</v>
      </c>
      <c r="B222" s="4" t="s">
        <v>32</v>
      </c>
      <c r="C222" s="4" t="s">
        <v>38</v>
      </c>
      <c r="D222" s="4" t="s">
        <v>40</v>
      </c>
      <c r="E222" s="4" t="s">
        <v>25</v>
      </c>
      <c r="F222" s="4" t="s">
        <v>25</v>
      </c>
      <c r="G222" s="4" t="s">
        <v>25</v>
      </c>
      <c r="H222" s="4" t="s">
        <v>36</v>
      </c>
      <c r="I222" s="5">
        <v>44531</v>
      </c>
      <c r="J222" s="6">
        <v>0</v>
      </c>
      <c r="K222" s="6">
        <v>0</v>
      </c>
      <c r="L222" s="6">
        <v>0.61199999999999999</v>
      </c>
      <c r="M222" s="6">
        <v>0.61199999999999999</v>
      </c>
      <c r="N222" s="6">
        <v>0.61199999999999999</v>
      </c>
      <c r="O222" s="6">
        <v>0.61199999999999999</v>
      </c>
      <c r="P222" s="6">
        <v>0</v>
      </c>
      <c r="Q222" s="4" t="s">
        <v>26</v>
      </c>
      <c r="R222" s="4">
        <v>0</v>
      </c>
      <c r="S222" s="6">
        <v>0</v>
      </c>
      <c r="T222" s="6">
        <v>43</v>
      </c>
      <c r="U222" s="6">
        <v>81</v>
      </c>
      <c r="V222" s="6">
        <f>IF(ISERROR(VLOOKUP($S$222,'TAR FIN'!$A$1:$O$88,15,0)),0,VLOOKUP($S$222,'TAR FIN'!$A$1:$O$88,15,0))</f>
        <v>0</v>
      </c>
      <c r="W222" s="6">
        <f>IF(ISERROR(VLOOKUP($T$222,'TAR FIN'!$A$1:$O$88,15,0)),0,VLOOKUP($T$222,'TAR FIN'!$A$1:$O$88,15,0))</f>
        <v>0</v>
      </c>
      <c r="X222" s="6">
        <f>IF(ISERROR(VLOOKUP($U$222,'TAR FIN'!$A$1:$O$88,15,0)),0,VLOOKUP($U$222,'TAR FIN'!$A$1:$O$88,15,0))</f>
        <v>0</v>
      </c>
      <c r="Y222" s="6"/>
      <c r="Z222" s="6">
        <f ca="1">('TUSD BE'!$AM$45+'TUSD BF'!$AM$45+'TUSD CVA'!$AM$45)*1</f>
        <v>1427.7324477453922</v>
      </c>
      <c r="AA222" s="6">
        <f>('TE BE'!$AB$36+'TE BF'!$AB$36+'TE CVA'!$AB$36)*1</f>
        <v>469.66510193737668</v>
      </c>
      <c r="AB222" s="6">
        <f>$K$222*$V$222</f>
        <v>0</v>
      </c>
      <c r="AC222" s="6">
        <f>$M$222*$W$222</f>
        <v>0</v>
      </c>
      <c r="AD222" s="6">
        <f>$O$222*$X$222</f>
        <v>0</v>
      </c>
      <c r="AE222" s="6">
        <f>$K$222*$Y$222</f>
        <v>0</v>
      </c>
      <c r="AF222" s="6">
        <f ca="1">$M$222*$Z$222</f>
        <v>873.77225802017995</v>
      </c>
      <c r="AG222" s="6">
        <f>$O$222*$AA$222</f>
        <v>287.43504238567454</v>
      </c>
    </row>
    <row r="223" spans="1:33" ht="11.25" customHeight="1" x14ac:dyDescent="0.25">
      <c r="A223" s="4" t="s">
        <v>21</v>
      </c>
      <c r="B223" s="4" t="s">
        <v>32</v>
      </c>
      <c r="C223" s="4" t="s">
        <v>38</v>
      </c>
      <c r="D223" s="4" t="s">
        <v>40</v>
      </c>
      <c r="E223" s="4" t="s">
        <v>25</v>
      </c>
      <c r="F223" s="4" t="s">
        <v>25</v>
      </c>
      <c r="G223" s="4" t="s">
        <v>25</v>
      </c>
      <c r="H223" s="4" t="s">
        <v>36</v>
      </c>
      <c r="I223" s="5">
        <v>44562</v>
      </c>
      <c r="J223" s="6">
        <v>0</v>
      </c>
      <c r="K223" s="6">
        <v>0</v>
      </c>
      <c r="L223" s="6">
        <v>0.60899999999999999</v>
      </c>
      <c r="M223" s="6">
        <v>0.60899999999999999</v>
      </c>
      <c r="N223" s="6">
        <v>0.60899999999999999</v>
      </c>
      <c r="O223" s="6">
        <v>0.60899999999999999</v>
      </c>
      <c r="P223" s="6">
        <v>0</v>
      </c>
      <c r="Q223" s="4" t="s">
        <v>26</v>
      </c>
      <c r="R223" s="4">
        <v>0</v>
      </c>
      <c r="S223" s="6">
        <v>0</v>
      </c>
      <c r="T223" s="6">
        <v>43</v>
      </c>
      <c r="U223" s="6">
        <v>81</v>
      </c>
      <c r="V223" s="6">
        <f>IF(ISERROR(VLOOKUP($S$223,'TAR FIN'!$A$1:$O$88,15,0)),0,VLOOKUP($S$223,'TAR FIN'!$A$1:$O$88,15,0))</f>
        <v>0</v>
      </c>
      <c r="W223" s="6">
        <f>IF(ISERROR(VLOOKUP($T$223,'TAR FIN'!$A$1:$O$88,15,0)),0,VLOOKUP($T$223,'TAR FIN'!$A$1:$O$88,15,0))</f>
        <v>0</v>
      </c>
      <c r="X223" s="6">
        <f>IF(ISERROR(VLOOKUP($U$223,'TAR FIN'!$A$1:$O$88,15,0)),0,VLOOKUP($U$223,'TAR FIN'!$A$1:$O$88,15,0))</f>
        <v>0</v>
      </c>
      <c r="Y223" s="6"/>
      <c r="Z223" s="6">
        <f ca="1">('TUSD BE'!$AM$45+'TUSD BF'!$AM$45+'TUSD CVA'!$AM$45)*1</f>
        <v>1427.7324477453922</v>
      </c>
      <c r="AA223" s="6">
        <f>('TE BE'!$AB$36+'TE BF'!$AB$36+'TE CVA'!$AB$36)*1</f>
        <v>469.66510193737668</v>
      </c>
      <c r="AB223" s="6">
        <f>$K$223*$V$223</f>
        <v>0</v>
      </c>
      <c r="AC223" s="6">
        <f>$M$223*$W$223</f>
        <v>0</v>
      </c>
      <c r="AD223" s="6">
        <f>$O$223*$X$223</f>
        <v>0</v>
      </c>
      <c r="AE223" s="6">
        <f>$K$223*$Y$223</f>
        <v>0</v>
      </c>
      <c r="AF223" s="6">
        <f ca="1">$M$223*$Z$223</f>
        <v>869.48906067694384</v>
      </c>
      <c r="AG223" s="6">
        <f>$O$223*$AA$223</f>
        <v>286.02604707986239</v>
      </c>
    </row>
    <row r="224" spans="1:33" ht="11.25" customHeight="1" x14ac:dyDescent="0.25">
      <c r="A224" s="4" t="s">
        <v>21</v>
      </c>
      <c r="B224" s="4" t="s">
        <v>32</v>
      </c>
      <c r="C224" s="4" t="s">
        <v>38</v>
      </c>
      <c r="D224" s="4" t="s">
        <v>40</v>
      </c>
      <c r="E224" s="4" t="s">
        <v>25</v>
      </c>
      <c r="F224" s="4" t="s">
        <v>25</v>
      </c>
      <c r="G224" s="4" t="s">
        <v>25</v>
      </c>
      <c r="H224" s="4" t="s">
        <v>36</v>
      </c>
      <c r="I224" s="5">
        <v>44593</v>
      </c>
      <c r="J224" s="6">
        <v>0</v>
      </c>
      <c r="K224" s="6">
        <v>0</v>
      </c>
      <c r="L224" s="6">
        <v>0.30199999999999999</v>
      </c>
      <c r="M224" s="6">
        <v>0.30199999999999999</v>
      </c>
      <c r="N224" s="6">
        <v>0.30199999999999999</v>
      </c>
      <c r="O224" s="6">
        <v>0.30199999999999999</v>
      </c>
      <c r="P224" s="6">
        <v>0</v>
      </c>
      <c r="Q224" s="4" t="s">
        <v>26</v>
      </c>
      <c r="R224" s="4">
        <v>0</v>
      </c>
      <c r="S224" s="6">
        <v>0</v>
      </c>
      <c r="T224" s="6">
        <v>43</v>
      </c>
      <c r="U224" s="6">
        <v>81</v>
      </c>
      <c r="V224" s="6">
        <f>IF(ISERROR(VLOOKUP($S$224,'TAR FIN'!$A$1:$O$88,15,0)),0,VLOOKUP($S$224,'TAR FIN'!$A$1:$O$88,15,0))</f>
        <v>0</v>
      </c>
      <c r="W224" s="6">
        <f>IF(ISERROR(VLOOKUP($T$224,'TAR FIN'!$A$1:$O$88,15,0)),0,VLOOKUP($T$224,'TAR FIN'!$A$1:$O$88,15,0))</f>
        <v>0</v>
      </c>
      <c r="X224" s="6">
        <f>IF(ISERROR(VLOOKUP($U$224,'TAR FIN'!$A$1:$O$88,15,0)),0,VLOOKUP($U$224,'TAR FIN'!$A$1:$O$88,15,0))</f>
        <v>0</v>
      </c>
      <c r="Y224" s="6"/>
      <c r="Z224" s="6">
        <f ca="1">('TUSD BE'!$AM$45+'TUSD BF'!$AM$45+'TUSD CVA'!$AM$45)*1</f>
        <v>1427.7324477453922</v>
      </c>
      <c r="AA224" s="6">
        <f>('TE BE'!$AB$36+'TE BF'!$AB$36+'TE CVA'!$AB$36)*1</f>
        <v>469.66510193737668</v>
      </c>
      <c r="AB224" s="6">
        <f>$K$224*$V$224</f>
        <v>0</v>
      </c>
      <c r="AC224" s="6">
        <f>$M$224*$W$224</f>
        <v>0</v>
      </c>
      <c r="AD224" s="6">
        <f>$O$224*$X$224</f>
        <v>0</v>
      </c>
      <c r="AE224" s="6">
        <f>$K$224*$Y$224</f>
        <v>0</v>
      </c>
      <c r="AF224" s="6">
        <f ca="1">$M$224*$Z$224</f>
        <v>431.17519921910844</v>
      </c>
      <c r="AG224" s="6">
        <f>$O$224*$AA$224</f>
        <v>141.83886078508775</v>
      </c>
    </row>
    <row r="225" spans="1:33" ht="11.25" customHeight="1" x14ac:dyDescent="0.25">
      <c r="A225" s="4" t="s">
        <v>21</v>
      </c>
      <c r="B225" s="4" t="s">
        <v>32</v>
      </c>
      <c r="C225" s="4" t="s">
        <v>38</v>
      </c>
      <c r="D225" s="4" t="s">
        <v>40</v>
      </c>
      <c r="E225" s="4" t="s">
        <v>25</v>
      </c>
      <c r="F225" s="4" t="s">
        <v>25</v>
      </c>
      <c r="G225" s="4" t="s">
        <v>25</v>
      </c>
      <c r="H225" s="4" t="s">
        <v>36</v>
      </c>
      <c r="I225" s="5">
        <v>44621</v>
      </c>
      <c r="J225" s="6">
        <v>0</v>
      </c>
      <c r="K225" s="6">
        <v>0</v>
      </c>
      <c r="L225" s="6">
        <v>0.21199999999999999</v>
      </c>
      <c r="M225" s="6">
        <v>0.21199999999999999</v>
      </c>
      <c r="N225" s="6">
        <v>0.21199999999999999</v>
      </c>
      <c r="O225" s="6">
        <v>0.21199999999999999</v>
      </c>
      <c r="P225" s="6">
        <v>0</v>
      </c>
      <c r="Q225" s="4" t="s">
        <v>26</v>
      </c>
      <c r="R225" s="4">
        <v>0</v>
      </c>
      <c r="S225" s="6">
        <v>0</v>
      </c>
      <c r="T225" s="6">
        <v>43</v>
      </c>
      <c r="U225" s="6">
        <v>81</v>
      </c>
      <c r="V225" s="6">
        <f>IF(ISERROR(VLOOKUP($S$225,'TAR FIN'!$A$1:$O$88,15,0)),0,VLOOKUP($S$225,'TAR FIN'!$A$1:$O$88,15,0))</f>
        <v>0</v>
      </c>
      <c r="W225" s="6">
        <f>IF(ISERROR(VLOOKUP($T$225,'TAR FIN'!$A$1:$O$88,15,0)),0,VLOOKUP($T$225,'TAR FIN'!$A$1:$O$88,15,0))</f>
        <v>0</v>
      </c>
      <c r="X225" s="6">
        <f>IF(ISERROR(VLOOKUP($U$225,'TAR FIN'!$A$1:$O$88,15,0)),0,VLOOKUP($U$225,'TAR FIN'!$A$1:$O$88,15,0))</f>
        <v>0</v>
      </c>
      <c r="Y225" s="6"/>
      <c r="Z225" s="6">
        <f ca="1">('TUSD BE'!$AM$45+'TUSD BF'!$AM$45+'TUSD CVA'!$AM$45)*1</f>
        <v>1427.7324477453922</v>
      </c>
      <c r="AA225" s="6">
        <f>('TE BE'!$AB$36+'TE BF'!$AB$36+'TE CVA'!$AB$36)*1</f>
        <v>469.66510193737668</v>
      </c>
      <c r="AB225" s="6">
        <f>$K$225*$V$225</f>
        <v>0</v>
      </c>
      <c r="AC225" s="6">
        <f>$M$225*$W$225</f>
        <v>0</v>
      </c>
      <c r="AD225" s="6">
        <f>$O$225*$X$225</f>
        <v>0</v>
      </c>
      <c r="AE225" s="6">
        <f>$K$225*$Y$225</f>
        <v>0</v>
      </c>
      <c r="AF225" s="6">
        <f ca="1">$M$225*$Z$225</f>
        <v>302.67927892202312</v>
      </c>
      <c r="AG225" s="6">
        <f>$O$225*$AA$225</f>
        <v>99.569001610723859</v>
      </c>
    </row>
    <row r="226" spans="1:33" ht="11.25" customHeight="1" x14ac:dyDescent="0.25">
      <c r="A226" s="4" t="s">
        <v>21</v>
      </c>
      <c r="B226" s="4" t="s">
        <v>32</v>
      </c>
      <c r="C226" s="4" t="s">
        <v>38</v>
      </c>
      <c r="D226" s="4" t="s">
        <v>40</v>
      </c>
      <c r="E226" s="4" t="s">
        <v>25</v>
      </c>
      <c r="F226" s="4" t="s">
        <v>25</v>
      </c>
      <c r="G226" s="4" t="s">
        <v>25</v>
      </c>
      <c r="H226" s="4" t="s">
        <v>36</v>
      </c>
      <c r="I226" s="5">
        <v>44652</v>
      </c>
      <c r="J226" s="6">
        <v>0</v>
      </c>
      <c r="K226" s="6">
        <v>0</v>
      </c>
      <c r="L226" s="6">
        <v>0.17599999999999999</v>
      </c>
      <c r="M226" s="6">
        <v>0.17599999999999999</v>
      </c>
      <c r="N226" s="6">
        <v>0.17599999999999999</v>
      </c>
      <c r="O226" s="6">
        <v>0.17599999999999999</v>
      </c>
      <c r="P226" s="6">
        <v>0</v>
      </c>
      <c r="Q226" s="4" t="s">
        <v>26</v>
      </c>
      <c r="R226" s="4">
        <v>0</v>
      </c>
      <c r="S226" s="6">
        <v>0</v>
      </c>
      <c r="T226" s="6">
        <v>43</v>
      </c>
      <c r="U226" s="6">
        <v>81</v>
      </c>
      <c r="V226" s="6">
        <f>IF(ISERROR(VLOOKUP($S$226,'TAR FIN'!$A$1:$O$88,15,0)),0,VLOOKUP($S$226,'TAR FIN'!$A$1:$O$88,15,0))</f>
        <v>0</v>
      </c>
      <c r="W226" s="6">
        <f>IF(ISERROR(VLOOKUP($T$226,'TAR FIN'!$A$1:$O$88,15,0)),0,VLOOKUP($T$226,'TAR FIN'!$A$1:$O$88,15,0))</f>
        <v>0</v>
      </c>
      <c r="X226" s="6">
        <f>IF(ISERROR(VLOOKUP($U$226,'TAR FIN'!$A$1:$O$88,15,0)),0,VLOOKUP($U$226,'TAR FIN'!$A$1:$O$88,15,0))</f>
        <v>0</v>
      </c>
      <c r="Y226" s="6"/>
      <c r="Z226" s="6">
        <f ca="1">('TUSD BE'!$AM$45+'TUSD BF'!$AM$45+'TUSD CVA'!$AM$45)*1</f>
        <v>1427.7324477453922</v>
      </c>
      <c r="AA226" s="6">
        <f>('TE BE'!$AB$36+'TE BF'!$AB$36+'TE CVA'!$AB$36)*1</f>
        <v>469.66510193737668</v>
      </c>
      <c r="AB226" s="6">
        <f>$K$226*$V$226</f>
        <v>0</v>
      </c>
      <c r="AC226" s="6">
        <f>$M$226*$W$226</f>
        <v>0</v>
      </c>
      <c r="AD226" s="6">
        <f>$O$226*$X$226</f>
        <v>0</v>
      </c>
      <c r="AE226" s="6">
        <f>$K$226*$Y$226</f>
        <v>0</v>
      </c>
      <c r="AF226" s="6">
        <f ca="1">$M$226*$Z$226</f>
        <v>251.28091080318902</v>
      </c>
      <c r="AG226" s="6">
        <f>$O$226*$AA$226</f>
        <v>82.661057940978296</v>
      </c>
    </row>
    <row r="227" spans="1:33" ht="11.25" customHeight="1" x14ac:dyDescent="0.25">
      <c r="A227" s="4" t="s">
        <v>21</v>
      </c>
      <c r="B227" s="4" t="s">
        <v>32</v>
      </c>
      <c r="C227" s="4" t="s">
        <v>38</v>
      </c>
      <c r="D227" s="4" t="s">
        <v>40</v>
      </c>
      <c r="E227" s="4" t="s">
        <v>25</v>
      </c>
      <c r="F227" s="4" t="s">
        <v>25</v>
      </c>
      <c r="G227" s="4" t="s">
        <v>25</v>
      </c>
      <c r="H227" s="4" t="s">
        <v>36</v>
      </c>
      <c r="I227" s="5">
        <v>44682</v>
      </c>
      <c r="J227" s="6">
        <v>0</v>
      </c>
      <c r="K227" s="6">
        <v>0</v>
      </c>
      <c r="L227" s="6">
        <v>0.13900000000000001</v>
      </c>
      <c r="M227" s="6">
        <v>0.13900000000000001</v>
      </c>
      <c r="N227" s="6">
        <v>0.13900000000000001</v>
      </c>
      <c r="O227" s="6">
        <v>0.13900000000000001</v>
      </c>
      <c r="P227" s="6">
        <v>0</v>
      </c>
      <c r="Q227" s="4" t="s">
        <v>26</v>
      </c>
      <c r="R227" s="4">
        <v>0</v>
      </c>
      <c r="S227" s="6">
        <v>0</v>
      </c>
      <c r="T227" s="6">
        <v>43</v>
      </c>
      <c r="U227" s="6">
        <v>81</v>
      </c>
      <c r="V227" s="6">
        <f>IF(ISERROR(VLOOKUP($S$227,'TAR FIN'!$A$1:$O$88,15,0)),0,VLOOKUP($S$227,'TAR FIN'!$A$1:$O$88,15,0))</f>
        <v>0</v>
      </c>
      <c r="W227" s="6">
        <f>IF(ISERROR(VLOOKUP($T$227,'TAR FIN'!$A$1:$O$88,15,0)),0,VLOOKUP($T$227,'TAR FIN'!$A$1:$O$88,15,0))</f>
        <v>0</v>
      </c>
      <c r="X227" s="6">
        <f>IF(ISERROR(VLOOKUP($U$227,'TAR FIN'!$A$1:$O$88,15,0)),0,VLOOKUP($U$227,'TAR FIN'!$A$1:$O$88,15,0))</f>
        <v>0</v>
      </c>
      <c r="Y227" s="6"/>
      <c r="Z227" s="6">
        <f ca="1">('TUSD BE'!$AM$45+'TUSD BF'!$AM$45+'TUSD CVA'!$AM$45)*1</f>
        <v>1427.7324477453922</v>
      </c>
      <c r="AA227" s="6">
        <f>('TE BE'!$AB$36+'TE BF'!$AB$36+'TE CVA'!$AB$36)*1</f>
        <v>469.66510193737668</v>
      </c>
      <c r="AB227" s="6">
        <f>$K$227*$V$227</f>
        <v>0</v>
      </c>
      <c r="AC227" s="6">
        <f>$M$227*$W$227</f>
        <v>0</v>
      </c>
      <c r="AD227" s="6">
        <f>$O$227*$X$227</f>
        <v>0</v>
      </c>
      <c r="AE227" s="6">
        <f>$K$227*$Y$227</f>
        <v>0</v>
      </c>
      <c r="AF227" s="6">
        <f ca="1">$M$227*$Z$227</f>
        <v>198.45481023660952</v>
      </c>
      <c r="AG227" s="6">
        <f>$O$227*$AA$227</f>
        <v>65.283449169295366</v>
      </c>
    </row>
    <row r="228" spans="1:33" ht="11.25" customHeight="1" x14ac:dyDescent="0.25">
      <c r="A228" s="4" t="s">
        <v>21</v>
      </c>
      <c r="B228" s="4" t="s">
        <v>32</v>
      </c>
      <c r="C228" s="4" t="s">
        <v>38</v>
      </c>
      <c r="D228" s="4" t="s">
        <v>40</v>
      </c>
      <c r="E228" s="4" t="s">
        <v>25</v>
      </c>
      <c r="F228" s="4" t="s">
        <v>25</v>
      </c>
      <c r="G228" s="4" t="s">
        <v>25</v>
      </c>
      <c r="H228" s="4" t="s">
        <v>36</v>
      </c>
      <c r="I228" s="5">
        <v>44713</v>
      </c>
      <c r="J228" s="6">
        <v>0</v>
      </c>
      <c r="K228" s="6">
        <v>0</v>
      </c>
      <c r="L228" s="6">
        <v>0.14699999999999999</v>
      </c>
      <c r="M228" s="6">
        <v>0.14699999999999999</v>
      </c>
      <c r="N228" s="6">
        <v>0.14699999999999999</v>
      </c>
      <c r="O228" s="6">
        <v>0.14699999999999999</v>
      </c>
      <c r="P228" s="6">
        <v>0</v>
      </c>
      <c r="Q228" s="4" t="s">
        <v>26</v>
      </c>
      <c r="R228" s="4">
        <v>0</v>
      </c>
      <c r="S228" s="6">
        <v>0</v>
      </c>
      <c r="T228" s="6">
        <v>43</v>
      </c>
      <c r="U228" s="6">
        <v>81</v>
      </c>
      <c r="V228" s="6">
        <f>IF(ISERROR(VLOOKUP($S$228,'TAR FIN'!$A$1:$O$88,15,0)),0,VLOOKUP($S$228,'TAR FIN'!$A$1:$O$88,15,0))</f>
        <v>0</v>
      </c>
      <c r="W228" s="6">
        <f>IF(ISERROR(VLOOKUP($T$228,'TAR FIN'!$A$1:$O$88,15,0)),0,VLOOKUP($T$228,'TAR FIN'!$A$1:$O$88,15,0))</f>
        <v>0</v>
      </c>
      <c r="X228" s="6">
        <f>IF(ISERROR(VLOOKUP($U$228,'TAR FIN'!$A$1:$O$88,15,0)),0,VLOOKUP($U$228,'TAR FIN'!$A$1:$O$88,15,0))</f>
        <v>0</v>
      </c>
      <c r="Y228" s="6"/>
      <c r="Z228" s="6">
        <f ca="1">('TUSD BE'!$AM$45+'TUSD BF'!$AM$45+'TUSD CVA'!$AM$45)*1</f>
        <v>1427.7324477453922</v>
      </c>
      <c r="AA228" s="6">
        <f>('TE BE'!$AB$36+'TE BF'!$AB$36+'TE CVA'!$AB$36)*1</f>
        <v>469.66510193737668</v>
      </c>
      <c r="AB228" s="6">
        <f>$K$228*$V$228</f>
        <v>0</v>
      </c>
      <c r="AC228" s="6">
        <f>$M$228*$W$228</f>
        <v>0</v>
      </c>
      <c r="AD228" s="6">
        <f>$O$228*$X$228</f>
        <v>0</v>
      </c>
      <c r="AE228" s="6">
        <f>$K$228*$Y$228</f>
        <v>0</v>
      </c>
      <c r="AF228" s="6">
        <f ca="1">$M$228*$Z$228</f>
        <v>209.87666981857262</v>
      </c>
      <c r="AG228" s="6">
        <f>$O$228*$AA$228</f>
        <v>69.040769984794366</v>
      </c>
    </row>
    <row r="229" spans="1:33" ht="11.25" customHeight="1" x14ac:dyDescent="0.25">
      <c r="A229" s="4" t="s">
        <v>21</v>
      </c>
      <c r="B229" s="4" t="s">
        <v>32</v>
      </c>
      <c r="C229" s="4" t="s">
        <v>38</v>
      </c>
      <c r="D229" s="4" t="s">
        <v>40</v>
      </c>
      <c r="E229" s="4" t="s">
        <v>25</v>
      </c>
      <c r="F229" s="4" t="s">
        <v>25</v>
      </c>
      <c r="G229" s="4" t="s">
        <v>25</v>
      </c>
      <c r="H229" s="4" t="s">
        <v>36</v>
      </c>
      <c r="I229" s="5">
        <v>44743</v>
      </c>
      <c r="J229" s="6">
        <v>0</v>
      </c>
      <c r="K229" s="6">
        <v>0</v>
      </c>
      <c r="L229" s="6">
        <v>0.14499999999999999</v>
      </c>
      <c r="M229" s="6">
        <v>0.14499999999999999</v>
      </c>
      <c r="N229" s="6">
        <v>0.14499999999999999</v>
      </c>
      <c r="O229" s="6">
        <v>0.14499999999999999</v>
      </c>
      <c r="P229" s="6">
        <v>0</v>
      </c>
      <c r="Q229" s="4" t="s">
        <v>26</v>
      </c>
      <c r="R229" s="4">
        <v>0</v>
      </c>
      <c r="S229" s="6">
        <v>0</v>
      </c>
      <c r="T229" s="6">
        <v>43</v>
      </c>
      <c r="U229" s="6">
        <v>81</v>
      </c>
      <c r="V229" s="6">
        <f>IF(ISERROR(VLOOKUP($S$229,'TAR FIN'!$A$1:$O$88,15,0)),0,VLOOKUP($S$229,'TAR FIN'!$A$1:$O$88,15,0))</f>
        <v>0</v>
      </c>
      <c r="W229" s="6">
        <f>IF(ISERROR(VLOOKUP($T$229,'TAR FIN'!$A$1:$O$88,15,0)),0,VLOOKUP($T$229,'TAR FIN'!$A$1:$O$88,15,0))</f>
        <v>0</v>
      </c>
      <c r="X229" s="6">
        <f>IF(ISERROR(VLOOKUP($U$229,'TAR FIN'!$A$1:$O$88,15,0)),0,VLOOKUP($U$229,'TAR FIN'!$A$1:$O$88,15,0))</f>
        <v>0</v>
      </c>
      <c r="Y229" s="6"/>
      <c r="Z229" s="6">
        <f ca="1">('TUSD BE'!$AM$45+'TUSD BF'!$AM$45+'TUSD CVA'!$AM$45)*1</f>
        <v>1427.7324477453922</v>
      </c>
      <c r="AA229" s="6">
        <f>('TE BE'!$AB$36+'TE BF'!$AB$36+'TE CVA'!$AB$36)*1</f>
        <v>469.66510193737668</v>
      </c>
      <c r="AB229" s="6">
        <f>$K$229*$V$229</f>
        <v>0</v>
      </c>
      <c r="AC229" s="6">
        <f>$M$229*$W$229</f>
        <v>0</v>
      </c>
      <c r="AD229" s="6">
        <f>$O$229*$X$229</f>
        <v>0</v>
      </c>
      <c r="AE229" s="6">
        <f>$K$229*$Y$229</f>
        <v>0</v>
      </c>
      <c r="AF229" s="6">
        <f ca="1">$M$229*$Z$229</f>
        <v>207.02120492308185</v>
      </c>
      <c r="AG229" s="6">
        <f>$O$229*$AA$229</f>
        <v>68.10143978091962</v>
      </c>
    </row>
    <row r="230" spans="1:33" ht="11.25" customHeight="1" x14ac:dyDescent="0.25">
      <c r="A230" s="4" t="s">
        <v>21</v>
      </c>
      <c r="B230" s="4" t="s">
        <v>32</v>
      </c>
      <c r="C230" s="4" t="s">
        <v>38</v>
      </c>
      <c r="D230" s="4" t="s">
        <v>33</v>
      </c>
      <c r="E230" s="4" t="s">
        <v>25</v>
      </c>
      <c r="F230" s="4" t="s">
        <v>25</v>
      </c>
      <c r="G230" s="4" t="s">
        <v>25</v>
      </c>
      <c r="H230" s="4" t="s">
        <v>37</v>
      </c>
      <c r="I230" s="5">
        <v>44409</v>
      </c>
      <c r="J230" s="6">
        <v>0</v>
      </c>
      <c r="K230" s="6">
        <v>0</v>
      </c>
      <c r="L230" s="6">
        <v>2.0550000000000002</v>
      </c>
      <c r="M230" s="6">
        <v>2.0550000000000002</v>
      </c>
      <c r="N230" s="6">
        <v>2.0550000000000002</v>
      </c>
      <c r="O230" s="6">
        <v>2.0550000000000002</v>
      </c>
      <c r="P230" s="6">
        <v>0</v>
      </c>
      <c r="Q230" s="4" t="s">
        <v>26</v>
      </c>
      <c r="R230" s="4">
        <v>0</v>
      </c>
      <c r="S230" s="6">
        <v>0</v>
      </c>
      <c r="T230" s="6">
        <v>45</v>
      </c>
      <c r="U230" s="6">
        <v>83</v>
      </c>
      <c r="V230" s="6">
        <f>IF(ISERROR(VLOOKUP($S$230,'TAR FIN'!$A$1:$O$88,15,0)),0,VLOOKUP($S$230,'TAR FIN'!$A$1:$O$88,15,0))</f>
        <v>0</v>
      </c>
      <c r="W230" s="6">
        <f>IF(ISERROR(VLOOKUP($T$230,'TAR FIN'!$A$1:$O$88,15,0)),0,VLOOKUP($T$230,'TAR FIN'!$A$1:$O$88,15,0))</f>
        <v>0</v>
      </c>
      <c r="X230" s="6">
        <f>IF(ISERROR(VLOOKUP($U$230,'TAR FIN'!$A$1:$O$88,15,0)),0,VLOOKUP($U$230,'TAR FIN'!$A$1:$O$88,15,0))</f>
        <v>0</v>
      </c>
      <c r="Y230" s="6"/>
      <c r="Z230" s="6">
        <f ca="1">('TUSD BE'!$AM$47+'TUSD BF'!$AM$47+'TUSD CVA'!$AM$47)*1</f>
        <v>403.09909371140151</v>
      </c>
      <c r="AA230" s="6">
        <f>('TE BE'!$AB$38+'TE BF'!$AB$38+'TE CVA'!$AB$38)*1</f>
        <v>274.24484099236821</v>
      </c>
      <c r="AB230" s="6">
        <f>$K$230*$V$230</f>
        <v>0</v>
      </c>
      <c r="AC230" s="6">
        <f>$M$230*$W$230</f>
        <v>0</v>
      </c>
      <c r="AD230" s="6">
        <f>$O$230*$X$230</f>
        <v>0</v>
      </c>
      <c r="AE230" s="6">
        <f>$K$230*$Y$230</f>
        <v>0</v>
      </c>
      <c r="AF230" s="6">
        <f ca="1">$M$230*$Z$230</f>
        <v>828.36863757693015</v>
      </c>
      <c r="AG230" s="6">
        <f>$O$230*$AA$230</f>
        <v>563.57314823931677</v>
      </c>
    </row>
    <row r="231" spans="1:33" ht="11.25" customHeight="1" x14ac:dyDescent="0.25">
      <c r="A231" s="4" t="s">
        <v>21</v>
      </c>
      <c r="B231" s="4" t="s">
        <v>32</v>
      </c>
      <c r="C231" s="4" t="s">
        <v>38</v>
      </c>
      <c r="D231" s="4" t="s">
        <v>33</v>
      </c>
      <c r="E231" s="4" t="s">
        <v>25</v>
      </c>
      <c r="F231" s="4" t="s">
        <v>25</v>
      </c>
      <c r="G231" s="4" t="s">
        <v>25</v>
      </c>
      <c r="H231" s="4" t="s">
        <v>37</v>
      </c>
      <c r="I231" s="5">
        <v>44440</v>
      </c>
      <c r="J231" s="6">
        <v>0</v>
      </c>
      <c r="K231" s="6">
        <v>0</v>
      </c>
      <c r="L231" s="6">
        <v>2.2200000000000002</v>
      </c>
      <c r="M231" s="6">
        <v>2.2200000000000002</v>
      </c>
      <c r="N231" s="6">
        <v>2.2200000000000002</v>
      </c>
      <c r="O231" s="6">
        <v>2.2200000000000002</v>
      </c>
      <c r="P231" s="6">
        <v>0</v>
      </c>
      <c r="Q231" s="4" t="s">
        <v>26</v>
      </c>
      <c r="R231" s="4">
        <v>0</v>
      </c>
      <c r="S231" s="6">
        <v>0</v>
      </c>
      <c r="T231" s="6">
        <v>45</v>
      </c>
      <c r="U231" s="6">
        <v>83</v>
      </c>
      <c r="V231" s="6">
        <f>IF(ISERROR(VLOOKUP($S$231,'TAR FIN'!$A$1:$O$88,15,0)),0,VLOOKUP($S$231,'TAR FIN'!$A$1:$O$88,15,0))</f>
        <v>0</v>
      </c>
      <c r="W231" s="6">
        <f>IF(ISERROR(VLOOKUP($T$231,'TAR FIN'!$A$1:$O$88,15,0)),0,VLOOKUP($T$231,'TAR FIN'!$A$1:$O$88,15,0))</f>
        <v>0</v>
      </c>
      <c r="X231" s="6">
        <f>IF(ISERROR(VLOOKUP($U$231,'TAR FIN'!$A$1:$O$88,15,0)),0,VLOOKUP($U$231,'TAR FIN'!$A$1:$O$88,15,0))</f>
        <v>0</v>
      </c>
      <c r="Y231" s="6"/>
      <c r="Z231" s="6">
        <f ca="1">('TUSD BE'!$AM$47+'TUSD BF'!$AM$47+'TUSD CVA'!$AM$47)*1</f>
        <v>403.09909371140151</v>
      </c>
      <c r="AA231" s="6">
        <f>('TE BE'!$AB$38+'TE BF'!$AB$38+'TE CVA'!$AB$38)*1</f>
        <v>274.24484099236821</v>
      </c>
      <c r="AB231" s="6">
        <f>$K$231*$V$231</f>
        <v>0</v>
      </c>
      <c r="AC231" s="6">
        <f>$M$231*$W$231</f>
        <v>0</v>
      </c>
      <c r="AD231" s="6">
        <f>$O$231*$X$231</f>
        <v>0</v>
      </c>
      <c r="AE231" s="6">
        <f>$K$231*$Y$231</f>
        <v>0</v>
      </c>
      <c r="AF231" s="6">
        <f ca="1">$M$231*$Z$231</f>
        <v>894.87998803931146</v>
      </c>
      <c r="AG231" s="6">
        <f>$O$231*$AA$231</f>
        <v>608.82354700305746</v>
      </c>
    </row>
    <row r="232" spans="1:33" ht="11.25" customHeight="1" x14ac:dyDescent="0.25">
      <c r="A232" s="4" t="s">
        <v>21</v>
      </c>
      <c r="B232" s="4" t="s">
        <v>32</v>
      </c>
      <c r="C232" s="4" t="s">
        <v>38</v>
      </c>
      <c r="D232" s="4" t="s">
        <v>33</v>
      </c>
      <c r="E232" s="4" t="s">
        <v>25</v>
      </c>
      <c r="F232" s="4" t="s">
        <v>25</v>
      </c>
      <c r="G232" s="4" t="s">
        <v>25</v>
      </c>
      <c r="H232" s="4" t="s">
        <v>37</v>
      </c>
      <c r="I232" s="5">
        <v>44470</v>
      </c>
      <c r="J232" s="6">
        <v>0</v>
      </c>
      <c r="K232" s="6">
        <v>0</v>
      </c>
      <c r="L232" s="6">
        <v>3.2949999999999999</v>
      </c>
      <c r="M232" s="6">
        <v>3.2949999999999999</v>
      </c>
      <c r="N232" s="6">
        <v>3.2949999999999999</v>
      </c>
      <c r="O232" s="6">
        <v>3.2949999999999999</v>
      </c>
      <c r="P232" s="6">
        <v>0</v>
      </c>
      <c r="Q232" s="4" t="s">
        <v>26</v>
      </c>
      <c r="R232" s="4">
        <v>0</v>
      </c>
      <c r="S232" s="6">
        <v>0</v>
      </c>
      <c r="T232" s="6">
        <v>45</v>
      </c>
      <c r="U232" s="6">
        <v>83</v>
      </c>
      <c r="V232" s="6">
        <f>IF(ISERROR(VLOOKUP($S$232,'TAR FIN'!$A$1:$O$88,15,0)),0,VLOOKUP($S$232,'TAR FIN'!$A$1:$O$88,15,0))</f>
        <v>0</v>
      </c>
      <c r="W232" s="6">
        <f>IF(ISERROR(VLOOKUP($T$232,'TAR FIN'!$A$1:$O$88,15,0)),0,VLOOKUP($T$232,'TAR FIN'!$A$1:$O$88,15,0))</f>
        <v>0</v>
      </c>
      <c r="X232" s="6">
        <f>IF(ISERROR(VLOOKUP($U$232,'TAR FIN'!$A$1:$O$88,15,0)),0,VLOOKUP($U$232,'TAR FIN'!$A$1:$O$88,15,0))</f>
        <v>0</v>
      </c>
      <c r="Y232" s="6"/>
      <c r="Z232" s="6">
        <f ca="1">('TUSD BE'!$AM$47+'TUSD BF'!$AM$47+'TUSD CVA'!$AM$47)*1</f>
        <v>403.09909371140151</v>
      </c>
      <c r="AA232" s="6">
        <f>('TE BE'!$AB$38+'TE BF'!$AB$38+'TE CVA'!$AB$38)*1</f>
        <v>274.24484099236821</v>
      </c>
      <c r="AB232" s="6">
        <f>$K$232*$V$232</f>
        <v>0</v>
      </c>
      <c r="AC232" s="6">
        <f>$M$232*$W$232</f>
        <v>0</v>
      </c>
      <c r="AD232" s="6">
        <f>$O$232*$X$232</f>
        <v>0</v>
      </c>
      <c r="AE232" s="6">
        <f>$K$232*$Y$232</f>
        <v>0</v>
      </c>
      <c r="AF232" s="6">
        <f ca="1">$M$232*$Z$232</f>
        <v>1328.2115137790679</v>
      </c>
      <c r="AG232" s="6">
        <f>$O$232*$AA$232</f>
        <v>903.63675106985329</v>
      </c>
    </row>
    <row r="233" spans="1:33" ht="11.25" customHeight="1" x14ac:dyDescent="0.25">
      <c r="A233" s="4" t="s">
        <v>21</v>
      </c>
      <c r="B233" s="4" t="s">
        <v>32</v>
      </c>
      <c r="C233" s="4" t="s">
        <v>38</v>
      </c>
      <c r="D233" s="4" t="s">
        <v>33</v>
      </c>
      <c r="E233" s="4" t="s">
        <v>25</v>
      </c>
      <c r="F233" s="4" t="s">
        <v>25</v>
      </c>
      <c r="G233" s="4" t="s">
        <v>25</v>
      </c>
      <c r="H233" s="4" t="s">
        <v>37</v>
      </c>
      <c r="I233" s="5">
        <v>44501</v>
      </c>
      <c r="J233" s="6">
        <v>0</v>
      </c>
      <c r="K233" s="6">
        <v>0</v>
      </c>
      <c r="L233" s="6">
        <v>2.5990000000000002</v>
      </c>
      <c r="M233" s="6">
        <v>2.5990000000000002</v>
      </c>
      <c r="N233" s="6">
        <v>2.5990000000000002</v>
      </c>
      <c r="O233" s="6">
        <v>2.5990000000000002</v>
      </c>
      <c r="P233" s="6">
        <v>0</v>
      </c>
      <c r="Q233" s="4" t="s">
        <v>26</v>
      </c>
      <c r="R233" s="4">
        <v>0</v>
      </c>
      <c r="S233" s="6">
        <v>0</v>
      </c>
      <c r="T233" s="6">
        <v>45</v>
      </c>
      <c r="U233" s="6">
        <v>83</v>
      </c>
      <c r="V233" s="6">
        <f>IF(ISERROR(VLOOKUP($S$233,'TAR FIN'!$A$1:$O$88,15,0)),0,VLOOKUP($S$233,'TAR FIN'!$A$1:$O$88,15,0))</f>
        <v>0</v>
      </c>
      <c r="W233" s="6">
        <f>IF(ISERROR(VLOOKUP($T$233,'TAR FIN'!$A$1:$O$88,15,0)),0,VLOOKUP($T$233,'TAR FIN'!$A$1:$O$88,15,0))</f>
        <v>0</v>
      </c>
      <c r="X233" s="6">
        <f>IF(ISERROR(VLOOKUP($U$233,'TAR FIN'!$A$1:$O$88,15,0)),0,VLOOKUP($U$233,'TAR FIN'!$A$1:$O$88,15,0))</f>
        <v>0</v>
      </c>
      <c r="Y233" s="6"/>
      <c r="Z233" s="6">
        <f ca="1">('TUSD BE'!$AM$47+'TUSD BF'!$AM$47+'TUSD CVA'!$AM$47)*1</f>
        <v>403.09909371140151</v>
      </c>
      <c r="AA233" s="6">
        <f>('TE BE'!$AB$38+'TE BF'!$AB$38+'TE CVA'!$AB$38)*1</f>
        <v>274.24484099236821</v>
      </c>
      <c r="AB233" s="6">
        <f>$K$233*$V$233</f>
        <v>0</v>
      </c>
      <c r="AC233" s="6">
        <f>$M$233*$W$233</f>
        <v>0</v>
      </c>
      <c r="AD233" s="6">
        <f>$O$233*$X$233</f>
        <v>0</v>
      </c>
      <c r="AE233" s="6">
        <f>$K$233*$Y$233</f>
        <v>0</v>
      </c>
      <c r="AF233" s="6">
        <f ca="1">$M$233*$Z$233</f>
        <v>1047.6545445559325</v>
      </c>
      <c r="AG233" s="6">
        <f>$O$233*$AA$233</f>
        <v>712.76234173916498</v>
      </c>
    </row>
    <row r="234" spans="1:33" ht="11.25" customHeight="1" x14ac:dyDescent="0.25">
      <c r="A234" s="4" t="s">
        <v>21</v>
      </c>
      <c r="B234" s="4" t="s">
        <v>32</v>
      </c>
      <c r="C234" s="4" t="s">
        <v>38</v>
      </c>
      <c r="D234" s="4" t="s">
        <v>33</v>
      </c>
      <c r="E234" s="4" t="s">
        <v>25</v>
      </c>
      <c r="F234" s="4" t="s">
        <v>25</v>
      </c>
      <c r="G234" s="4" t="s">
        <v>25</v>
      </c>
      <c r="H234" s="4" t="s">
        <v>37</v>
      </c>
      <c r="I234" s="5">
        <v>44531</v>
      </c>
      <c r="J234" s="6">
        <v>0</v>
      </c>
      <c r="K234" s="6">
        <v>0</v>
      </c>
      <c r="L234" s="6">
        <v>3.3460000000000001</v>
      </c>
      <c r="M234" s="6">
        <v>3.3460000000000001</v>
      </c>
      <c r="N234" s="6">
        <v>3.3460000000000001</v>
      </c>
      <c r="O234" s="6">
        <v>3.3460000000000001</v>
      </c>
      <c r="P234" s="6">
        <v>0</v>
      </c>
      <c r="Q234" s="4" t="s">
        <v>26</v>
      </c>
      <c r="R234" s="4">
        <v>0</v>
      </c>
      <c r="S234" s="6">
        <v>0</v>
      </c>
      <c r="T234" s="6">
        <v>45</v>
      </c>
      <c r="U234" s="6">
        <v>83</v>
      </c>
      <c r="V234" s="6">
        <f>IF(ISERROR(VLOOKUP($S$234,'TAR FIN'!$A$1:$O$88,15,0)),0,VLOOKUP($S$234,'TAR FIN'!$A$1:$O$88,15,0))</f>
        <v>0</v>
      </c>
      <c r="W234" s="6">
        <f>IF(ISERROR(VLOOKUP($T$234,'TAR FIN'!$A$1:$O$88,15,0)),0,VLOOKUP($T$234,'TAR FIN'!$A$1:$O$88,15,0))</f>
        <v>0</v>
      </c>
      <c r="X234" s="6">
        <f>IF(ISERROR(VLOOKUP($U$234,'TAR FIN'!$A$1:$O$88,15,0)),0,VLOOKUP($U$234,'TAR FIN'!$A$1:$O$88,15,0))</f>
        <v>0</v>
      </c>
      <c r="Y234" s="6"/>
      <c r="Z234" s="6">
        <f ca="1">('TUSD BE'!$AM$47+'TUSD BF'!$AM$47+'TUSD CVA'!$AM$47)*1</f>
        <v>403.09909371140151</v>
      </c>
      <c r="AA234" s="6">
        <f>('TE BE'!$AB$38+'TE BF'!$AB$38+'TE CVA'!$AB$38)*1</f>
        <v>274.24484099236821</v>
      </c>
      <c r="AB234" s="6">
        <f>$K$234*$V$234</f>
        <v>0</v>
      </c>
      <c r="AC234" s="6">
        <f>$M$234*$W$234</f>
        <v>0</v>
      </c>
      <c r="AD234" s="6">
        <f>$O$234*$X$234</f>
        <v>0</v>
      </c>
      <c r="AE234" s="6">
        <f>$K$234*$Y$234</f>
        <v>0</v>
      </c>
      <c r="AF234" s="6">
        <f ca="1">$M$234*$Z$234</f>
        <v>1348.7695675583495</v>
      </c>
      <c r="AG234" s="6">
        <f>$O$234*$AA$234</f>
        <v>917.62323796046405</v>
      </c>
    </row>
    <row r="235" spans="1:33" ht="11.25" customHeight="1" x14ac:dyDescent="0.25">
      <c r="A235" s="4" t="s">
        <v>21</v>
      </c>
      <c r="B235" s="4" t="s">
        <v>32</v>
      </c>
      <c r="C235" s="4" t="s">
        <v>38</v>
      </c>
      <c r="D235" s="4" t="s">
        <v>33</v>
      </c>
      <c r="E235" s="4" t="s">
        <v>25</v>
      </c>
      <c r="F235" s="4" t="s">
        <v>25</v>
      </c>
      <c r="G235" s="4" t="s">
        <v>25</v>
      </c>
      <c r="H235" s="4" t="s">
        <v>37</v>
      </c>
      <c r="I235" s="5">
        <v>44562</v>
      </c>
      <c r="J235" s="6">
        <v>0</v>
      </c>
      <c r="K235" s="6">
        <v>0</v>
      </c>
      <c r="L235" s="6">
        <v>1.5740000000000001</v>
      </c>
      <c r="M235" s="6">
        <v>1.5740000000000001</v>
      </c>
      <c r="N235" s="6">
        <v>1.5740000000000001</v>
      </c>
      <c r="O235" s="6">
        <v>1.5740000000000001</v>
      </c>
      <c r="P235" s="6">
        <v>0</v>
      </c>
      <c r="Q235" s="4" t="s">
        <v>26</v>
      </c>
      <c r="R235" s="4">
        <v>0</v>
      </c>
      <c r="S235" s="6">
        <v>0</v>
      </c>
      <c r="T235" s="6">
        <v>45</v>
      </c>
      <c r="U235" s="6">
        <v>83</v>
      </c>
      <c r="V235" s="6">
        <f>IF(ISERROR(VLOOKUP($S$235,'TAR FIN'!$A$1:$O$88,15,0)),0,VLOOKUP($S$235,'TAR FIN'!$A$1:$O$88,15,0))</f>
        <v>0</v>
      </c>
      <c r="W235" s="6">
        <f>IF(ISERROR(VLOOKUP($T$235,'TAR FIN'!$A$1:$O$88,15,0)),0,VLOOKUP($T$235,'TAR FIN'!$A$1:$O$88,15,0))</f>
        <v>0</v>
      </c>
      <c r="X235" s="6">
        <f>IF(ISERROR(VLOOKUP($U$235,'TAR FIN'!$A$1:$O$88,15,0)),0,VLOOKUP($U$235,'TAR FIN'!$A$1:$O$88,15,0))</f>
        <v>0</v>
      </c>
      <c r="Y235" s="6"/>
      <c r="Z235" s="6">
        <f ca="1">('TUSD BE'!$AM$47+'TUSD BF'!$AM$47+'TUSD CVA'!$AM$47)*1</f>
        <v>403.09909371140151</v>
      </c>
      <c r="AA235" s="6">
        <f>('TE BE'!$AB$38+'TE BF'!$AB$38+'TE CVA'!$AB$38)*1</f>
        <v>274.24484099236821</v>
      </c>
      <c r="AB235" s="6">
        <f>$K$235*$V$235</f>
        <v>0</v>
      </c>
      <c r="AC235" s="6">
        <f>$M$235*$W$235</f>
        <v>0</v>
      </c>
      <c r="AD235" s="6">
        <f>$O$235*$X$235</f>
        <v>0</v>
      </c>
      <c r="AE235" s="6">
        <f>$K$235*$Y$235</f>
        <v>0</v>
      </c>
      <c r="AF235" s="6">
        <f ca="1">$M$235*$Z$235</f>
        <v>634.47797350174596</v>
      </c>
      <c r="AG235" s="6">
        <f>$O$235*$AA$235</f>
        <v>431.6613797219876</v>
      </c>
    </row>
    <row r="236" spans="1:33" ht="11.25" customHeight="1" x14ac:dyDescent="0.25">
      <c r="A236" s="4" t="s">
        <v>21</v>
      </c>
      <c r="B236" s="4" t="s">
        <v>32</v>
      </c>
      <c r="C236" s="4" t="s">
        <v>38</v>
      </c>
      <c r="D236" s="4" t="s">
        <v>33</v>
      </c>
      <c r="E236" s="4" t="s">
        <v>25</v>
      </c>
      <c r="F236" s="4" t="s">
        <v>25</v>
      </c>
      <c r="G236" s="4" t="s">
        <v>25</v>
      </c>
      <c r="H236" s="4" t="s">
        <v>39</v>
      </c>
      <c r="I236" s="5">
        <v>44409</v>
      </c>
      <c r="J236" s="6">
        <v>0</v>
      </c>
      <c r="K236" s="6">
        <v>0</v>
      </c>
      <c r="L236" s="6">
        <v>2E-3</v>
      </c>
      <c r="M236" s="6">
        <v>2E-3</v>
      </c>
      <c r="N236" s="6">
        <v>2E-3</v>
      </c>
      <c r="O236" s="6">
        <v>2E-3</v>
      </c>
      <c r="P236" s="6">
        <v>0</v>
      </c>
      <c r="Q236" s="4" t="s">
        <v>26</v>
      </c>
      <c r="R236" s="4">
        <v>0</v>
      </c>
      <c r="S236" s="6">
        <v>0</v>
      </c>
      <c r="T236" s="6">
        <v>44</v>
      </c>
      <c r="U236" s="6">
        <v>82</v>
      </c>
      <c r="V236" s="6">
        <f>IF(ISERROR(VLOOKUP($S$236,'TAR FIN'!$A$1:$O$88,15,0)),0,VLOOKUP($S$236,'TAR FIN'!$A$1:$O$88,15,0))</f>
        <v>0</v>
      </c>
      <c r="W236" s="6">
        <f>IF(ISERROR(VLOOKUP($T$236,'TAR FIN'!$A$1:$O$88,15,0)),0,VLOOKUP($T$236,'TAR FIN'!$A$1:$O$88,15,0))</f>
        <v>0</v>
      </c>
      <c r="X236" s="6">
        <f>IF(ISERROR(VLOOKUP($U$236,'TAR FIN'!$A$1:$O$88,15,0)),0,VLOOKUP($U$236,'TAR FIN'!$A$1:$O$88,15,0))</f>
        <v>0</v>
      </c>
      <c r="Y236" s="6"/>
      <c r="Z236" s="6">
        <f ca="1">('TUSD BE'!$AM$46+'TUSD BF'!$AM$46+'TUSD CVA'!$AM$46)*1</f>
        <v>915.41577072839698</v>
      </c>
      <c r="AA236" s="6">
        <f>('TE BE'!$AB$37+'TE BF'!$AB$37+'TE CVA'!$AB$37)*1</f>
        <v>274.24484099236821</v>
      </c>
      <c r="AB236" s="6">
        <f>$K$236*$V$236</f>
        <v>0</v>
      </c>
      <c r="AC236" s="6">
        <f>$M$236*$W$236</f>
        <v>0</v>
      </c>
      <c r="AD236" s="6">
        <f>$O$236*$X$236</f>
        <v>0</v>
      </c>
      <c r="AE236" s="6">
        <f>$K$236*$Y$236</f>
        <v>0</v>
      </c>
      <c r="AF236" s="6">
        <f ca="1">$M$236*$Z$236</f>
        <v>1.8308315414567939</v>
      </c>
      <c r="AG236" s="6">
        <f>$O$236*$AA$236</f>
        <v>0.54848968198473647</v>
      </c>
    </row>
    <row r="237" spans="1:33" ht="11.25" customHeight="1" x14ac:dyDescent="0.25">
      <c r="A237" s="4" t="s">
        <v>21</v>
      </c>
      <c r="B237" s="4" t="s">
        <v>32</v>
      </c>
      <c r="C237" s="4" t="s">
        <v>38</v>
      </c>
      <c r="D237" s="4" t="s">
        <v>33</v>
      </c>
      <c r="E237" s="4" t="s">
        <v>25</v>
      </c>
      <c r="F237" s="4" t="s">
        <v>25</v>
      </c>
      <c r="G237" s="4" t="s">
        <v>25</v>
      </c>
      <c r="H237" s="4" t="s">
        <v>39</v>
      </c>
      <c r="I237" s="5">
        <v>44440</v>
      </c>
      <c r="J237" s="6">
        <v>0</v>
      </c>
      <c r="K237" s="6">
        <v>0</v>
      </c>
      <c r="L237" s="6">
        <v>3.0000000000000001E-3</v>
      </c>
      <c r="M237" s="6">
        <v>3.0000000000000001E-3</v>
      </c>
      <c r="N237" s="6">
        <v>3.0000000000000001E-3</v>
      </c>
      <c r="O237" s="6">
        <v>3.0000000000000001E-3</v>
      </c>
      <c r="P237" s="6">
        <v>0</v>
      </c>
      <c r="Q237" s="4" t="s">
        <v>26</v>
      </c>
      <c r="R237" s="4">
        <v>0</v>
      </c>
      <c r="S237" s="6">
        <v>0</v>
      </c>
      <c r="T237" s="6">
        <v>44</v>
      </c>
      <c r="U237" s="6">
        <v>82</v>
      </c>
      <c r="V237" s="6">
        <f>IF(ISERROR(VLOOKUP($S$237,'TAR FIN'!$A$1:$O$88,15,0)),0,VLOOKUP($S$237,'TAR FIN'!$A$1:$O$88,15,0))</f>
        <v>0</v>
      </c>
      <c r="W237" s="6">
        <f>IF(ISERROR(VLOOKUP($T$237,'TAR FIN'!$A$1:$O$88,15,0)),0,VLOOKUP($T$237,'TAR FIN'!$A$1:$O$88,15,0))</f>
        <v>0</v>
      </c>
      <c r="X237" s="6">
        <f>IF(ISERROR(VLOOKUP($U$237,'TAR FIN'!$A$1:$O$88,15,0)),0,VLOOKUP($U$237,'TAR FIN'!$A$1:$O$88,15,0))</f>
        <v>0</v>
      </c>
      <c r="Y237" s="6"/>
      <c r="Z237" s="6">
        <f ca="1">('TUSD BE'!$AM$46+'TUSD BF'!$AM$46+'TUSD CVA'!$AM$46)*1</f>
        <v>915.41577072839698</v>
      </c>
      <c r="AA237" s="6">
        <f>('TE BE'!$AB$37+'TE BF'!$AB$37+'TE CVA'!$AB$37)*1</f>
        <v>274.24484099236821</v>
      </c>
      <c r="AB237" s="6">
        <f>$K$237*$V$237</f>
        <v>0</v>
      </c>
      <c r="AC237" s="6">
        <f>$M$237*$W$237</f>
        <v>0</v>
      </c>
      <c r="AD237" s="6">
        <f>$O$237*$X$237</f>
        <v>0</v>
      </c>
      <c r="AE237" s="6">
        <f>$K$237*$Y$237</f>
        <v>0</v>
      </c>
      <c r="AF237" s="6">
        <f ca="1">$M$237*$Z$237</f>
        <v>2.7462473121851909</v>
      </c>
      <c r="AG237" s="6">
        <f>$O$237*$AA$237</f>
        <v>0.8227345229771047</v>
      </c>
    </row>
    <row r="238" spans="1:33" ht="11.25" customHeight="1" x14ac:dyDescent="0.25">
      <c r="A238" s="4" t="s">
        <v>21</v>
      </c>
      <c r="B238" s="4" t="s">
        <v>32</v>
      </c>
      <c r="C238" s="4" t="s">
        <v>38</v>
      </c>
      <c r="D238" s="4" t="s">
        <v>33</v>
      </c>
      <c r="E238" s="4" t="s">
        <v>25</v>
      </c>
      <c r="F238" s="4" t="s">
        <v>25</v>
      </c>
      <c r="G238" s="4" t="s">
        <v>25</v>
      </c>
      <c r="H238" s="4" t="s">
        <v>39</v>
      </c>
      <c r="I238" s="5">
        <v>44470</v>
      </c>
      <c r="J238" s="6">
        <v>0</v>
      </c>
      <c r="K238" s="6">
        <v>0</v>
      </c>
      <c r="L238" s="6">
        <v>1E-3</v>
      </c>
      <c r="M238" s="6">
        <v>1E-3</v>
      </c>
      <c r="N238" s="6">
        <v>1E-3</v>
      </c>
      <c r="O238" s="6">
        <v>1E-3</v>
      </c>
      <c r="P238" s="6">
        <v>0</v>
      </c>
      <c r="Q238" s="4" t="s">
        <v>26</v>
      </c>
      <c r="R238" s="4">
        <v>0</v>
      </c>
      <c r="S238" s="6">
        <v>0</v>
      </c>
      <c r="T238" s="6">
        <v>44</v>
      </c>
      <c r="U238" s="6">
        <v>82</v>
      </c>
      <c r="V238" s="6">
        <f>IF(ISERROR(VLOOKUP($S$238,'TAR FIN'!$A$1:$O$88,15,0)),0,VLOOKUP($S$238,'TAR FIN'!$A$1:$O$88,15,0))</f>
        <v>0</v>
      </c>
      <c r="W238" s="6">
        <f>IF(ISERROR(VLOOKUP($T$238,'TAR FIN'!$A$1:$O$88,15,0)),0,VLOOKUP($T$238,'TAR FIN'!$A$1:$O$88,15,0))</f>
        <v>0</v>
      </c>
      <c r="X238" s="6">
        <f>IF(ISERROR(VLOOKUP($U$238,'TAR FIN'!$A$1:$O$88,15,0)),0,VLOOKUP($U$238,'TAR FIN'!$A$1:$O$88,15,0))</f>
        <v>0</v>
      </c>
      <c r="Y238" s="6"/>
      <c r="Z238" s="6">
        <f ca="1">('TUSD BE'!$AM$46+'TUSD BF'!$AM$46+'TUSD CVA'!$AM$46)*1</f>
        <v>915.41577072839698</v>
      </c>
      <c r="AA238" s="6">
        <f>('TE BE'!$AB$37+'TE BF'!$AB$37+'TE CVA'!$AB$37)*1</f>
        <v>274.24484099236821</v>
      </c>
      <c r="AB238" s="6">
        <f>$K$238*$V$238</f>
        <v>0</v>
      </c>
      <c r="AC238" s="6">
        <f>$M$238*$W$238</f>
        <v>0</v>
      </c>
      <c r="AD238" s="6">
        <f>$O$238*$X$238</f>
        <v>0</v>
      </c>
      <c r="AE238" s="6">
        <f>$K$238*$Y$238</f>
        <v>0</v>
      </c>
      <c r="AF238" s="6">
        <f ca="1">$M$238*$Z$238</f>
        <v>0.91541577072839697</v>
      </c>
      <c r="AG238" s="6">
        <f>$O$238*$AA$238</f>
        <v>0.27424484099236823</v>
      </c>
    </row>
    <row r="239" spans="1:33" ht="11.25" customHeight="1" x14ac:dyDescent="0.25">
      <c r="A239" s="4" t="s">
        <v>21</v>
      </c>
      <c r="B239" s="4" t="s">
        <v>32</v>
      </c>
      <c r="C239" s="4" t="s">
        <v>38</v>
      </c>
      <c r="D239" s="4" t="s">
        <v>33</v>
      </c>
      <c r="E239" s="4" t="s">
        <v>25</v>
      </c>
      <c r="F239" s="4" t="s">
        <v>25</v>
      </c>
      <c r="G239" s="4" t="s">
        <v>25</v>
      </c>
      <c r="H239" s="4" t="s">
        <v>39</v>
      </c>
      <c r="I239" s="5">
        <v>44501</v>
      </c>
      <c r="J239" s="6">
        <v>0</v>
      </c>
      <c r="K239" s="6">
        <v>0</v>
      </c>
      <c r="L239" s="6">
        <v>1E-3</v>
      </c>
      <c r="M239" s="6">
        <v>1E-3</v>
      </c>
      <c r="N239" s="6">
        <v>1E-3</v>
      </c>
      <c r="O239" s="6">
        <v>1E-3</v>
      </c>
      <c r="P239" s="6">
        <v>0</v>
      </c>
      <c r="Q239" s="4" t="s">
        <v>26</v>
      </c>
      <c r="R239" s="4">
        <v>0</v>
      </c>
      <c r="S239" s="6">
        <v>0</v>
      </c>
      <c r="T239" s="6">
        <v>44</v>
      </c>
      <c r="U239" s="6">
        <v>82</v>
      </c>
      <c r="V239" s="6">
        <f>IF(ISERROR(VLOOKUP($S$239,'TAR FIN'!$A$1:$O$88,15,0)),0,VLOOKUP($S$239,'TAR FIN'!$A$1:$O$88,15,0))</f>
        <v>0</v>
      </c>
      <c r="W239" s="6">
        <f>IF(ISERROR(VLOOKUP($T$239,'TAR FIN'!$A$1:$O$88,15,0)),0,VLOOKUP($T$239,'TAR FIN'!$A$1:$O$88,15,0))</f>
        <v>0</v>
      </c>
      <c r="X239" s="6">
        <f>IF(ISERROR(VLOOKUP($U$239,'TAR FIN'!$A$1:$O$88,15,0)),0,VLOOKUP($U$239,'TAR FIN'!$A$1:$O$88,15,0))</f>
        <v>0</v>
      </c>
      <c r="Y239" s="6"/>
      <c r="Z239" s="6">
        <f ca="1">('TUSD BE'!$AM$46+'TUSD BF'!$AM$46+'TUSD CVA'!$AM$46)*1</f>
        <v>915.41577072839698</v>
      </c>
      <c r="AA239" s="6">
        <f>('TE BE'!$AB$37+'TE BF'!$AB$37+'TE CVA'!$AB$37)*1</f>
        <v>274.24484099236821</v>
      </c>
      <c r="AB239" s="6">
        <f>$K$239*$V$239</f>
        <v>0</v>
      </c>
      <c r="AC239" s="6">
        <f>$M$239*$W$239</f>
        <v>0</v>
      </c>
      <c r="AD239" s="6">
        <f>$O$239*$X$239</f>
        <v>0</v>
      </c>
      <c r="AE239" s="6">
        <f>$K$239*$Y$239</f>
        <v>0</v>
      </c>
      <c r="AF239" s="6">
        <f ca="1">$M$239*$Z$239</f>
        <v>0.91541577072839697</v>
      </c>
      <c r="AG239" s="6">
        <f>$O$239*$AA$239</f>
        <v>0.27424484099236823</v>
      </c>
    </row>
    <row r="240" spans="1:33" ht="11.25" customHeight="1" x14ac:dyDescent="0.25">
      <c r="A240" s="4" t="s">
        <v>21</v>
      </c>
      <c r="B240" s="4" t="s">
        <v>32</v>
      </c>
      <c r="C240" s="4" t="s">
        <v>38</v>
      </c>
      <c r="D240" s="4" t="s">
        <v>33</v>
      </c>
      <c r="E240" s="4" t="s">
        <v>25</v>
      </c>
      <c r="F240" s="4" t="s">
        <v>25</v>
      </c>
      <c r="G240" s="4" t="s">
        <v>25</v>
      </c>
      <c r="H240" s="4" t="s">
        <v>39</v>
      </c>
      <c r="I240" s="5">
        <v>44531</v>
      </c>
      <c r="J240" s="6">
        <v>0</v>
      </c>
      <c r="K240" s="6">
        <v>0</v>
      </c>
      <c r="L240" s="6">
        <v>2E-3</v>
      </c>
      <c r="M240" s="6">
        <v>2E-3</v>
      </c>
      <c r="N240" s="6">
        <v>2E-3</v>
      </c>
      <c r="O240" s="6">
        <v>2E-3</v>
      </c>
      <c r="P240" s="6">
        <v>0</v>
      </c>
      <c r="Q240" s="4" t="s">
        <v>26</v>
      </c>
      <c r="R240" s="4">
        <v>0</v>
      </c>
      <c r="S240" s="6">
        <v>0</v>
      </c>
      <c r="T240" s="6">
        <v>44</v>
      </c>
      <c r="U240" s="6">
        <v>82</v>
      </c>
      <c r="V240" s="6">
        <f>IF(ISERROR(VLOOKUP($S$240,'TAR FIN'!$A$1:$O$88,15,0)),0,VLOOKUP($S$240,'TAR FIN'!$A$1:$O$88,15,0))</f>
        <v>0</v>
      </c>
      <c r="W240" s="6">
        <f>IF(ISERROR(VLOOKUP($T$240,'TAR FIN'!$A$1:$O$88,15,0)),0,VLOOKUP($T$240,'TAR FIN'!$A$1:$O$88,15,0))</f>
        <v>0</v>
      </c>
      <c r="X240" s="6">
        <f>IF(ISERROR(VLOOKUP($U$240,'TAR FIN'!$A$1:$O$88,15,0)),0,VLOOKUP($U$240,'TAR FIN'!$A$1:$O$88,15,0))</f>
        <v>0</v>
      </c>
      <c r="Y240" s="6"/>
      <c r="Z240" s="6">
        <f ca="1">('TUSD BE'!$AM$46+'TUSD BF'!$AM$46+'TUSD CVA'!$AM$46)*1</f>
        <v>915.41577072839698</v>
      </c>
      <c r="AA240" s="6">
        <f>('TE BE'!$AB$37+'TE BF'!$AB$37+'TE CVA'!$AB$37)*1</f>
        <v>274.24484099236821</v>
      </c>
      <c r="AB240" s="6">
        <f>$K$240*$V$240</f>
        <v>0</v>
      </c>
      <c r="AC240" s="6">
        <f>$M$240*$W$240</f>
        <v>0</v>
      </c>
      <c r="AD240" s="6">
        <f>$O$240*$X$240</f>
        <v>0</v>
      </c>
      <c r="AE240" s="6">
        <f>$K$240*$Y$240</f>
        <v>0</v>
      </c>
      <c r="AF240" s="6">
        <f ca="1">$M$240*$Z$240</f>
        <v>1.8308315414567939</v>
      </c>
      <c r="AG240" s="6">
        <f>$O$240*$AA$240</f>
        <v>0.54848968198473647</v>
      </c>
    </row>
    <row r="241" spans="1:33" ht="11.25" customHeight="1" x14ac:dyDescent="0.25">
      <c r="A241" s="4" t="s">
        <v>21</v>
      </c>
      <c r="B241" s="4" t="s">
        <v>32</v>
      </c>
      <c r="C241" s="4" t="s">
        <v>38</v>
      </c>
      <c r="D241" s="4" t="s">
        <v>33</v>
      </c>
      <c r="E241" s="4" t="s">
        <v>25</v>
      </c>
      <c r="F241" s="4" t="s">
        <v>25</v>
      </c>
      <c r="G241" s="4" t="s">
        <v>25</v>
      </c>
      <c r="H241" s="4" t="s">
        <v>39</v>
      </c>
      <c r="I241" s="5">
        <v>44562</v>
      </c>
      <c r="J241" s="6">
        <v>0</v>
      </c>
      <c r="K241" s="6">
        <v>0</v>
      </c>
      <c r="L241" s="6">
        <v>1E-3</v>
      </c>
      <c r="M241" s="6">
        <v>1E-3</v>
      </c>
      <c r="N241" s="6">
        <v>1E-3</v>
      </c>
      <c r="O241" s="6">
        <v>1E-3</v>
      </c>
      <c r="P241" s="6">
        <v>0</v>
      </c>
      <c r="Q241" s="4" t="s">
        <v>26</v>
      </c>
      <c r="R241" s="4">
        <v>0</v>
      </c>
      <c r="S241" s="6">
        <v>0</v>
      </c>
      <c r="T241" s="6">
        <v>44</v>
      </c>
      <c r="U241" s="6">
        <v>82</v>
      </c>
      <c r="V241" s="6">
        <f>IF(ISERROR(VLOOKUP($S$241,'TAR FIN'!$A$1:$O$88,15,0)),0,VLOOKUP($S$241,'TAR FIN'!$A$1:$O$88,15,0))</f>
        <v>0</v>
      </c>
      <c r="W241" s="6">
        <f>IF(ISERROR(VLOOKUP($T$241,'TAR FIN'!$A$1:$O$88,15,0)),0,VLOOKUP($T$241,'TAR FIN'!$A$1:$O$88,15,0))</f>
        <v>0</v>
      </c>
      <c r="X241" s="6">
        <f>IF(ISERROR(VLOOKUP($U$241,'TAR FIN'!$A$1:$O$88,15,0)),0,VLOOKUP($U$241,'TAR FIN'!$A$1:$O$88,15,0))</f>
        <v>0</v>
      </c>
      <c r="Y241" s="6"/>
      <c r="Z241" s="6">
        <f ca="1">('TUSD BE'!$AM$46+'TUSD BF'!$AM$46+'TUSD CVA'!$AM$46)*1</f>
        <v>915.41577072839698</v>
      </c>
      <c r="AA241" s="6">
        <f>('TE BE'!$AB$37+'TE BF'!$AB$37+'TE CVA'!$AB$37)*1</f>
        <v>274.24484099236821</v>
      </c>
      <c r="AB241" s="6">
        <f>$K$241*$V$241</f>
        <v>0</v>
      </c>
      <c r="AC241" s="6">
        <f>$M$241*$W$241</f>
        <v>0</v>
      </c>
      <c r="AD241" s="6">
        <f>$O$241*$X$241</f>
        <v>0</v>
      </c>
      <c r="AE241" s="6">
        <f>$K$241*$Y$241</f>
        <v>0</v>
      </c>
      <c r="AF241" s="6">
        <f ca="1">$M$241*$Z$241</f>
        <v>0.91541577072839697</v>
      </c>
      <c r="AG241" s="6">
        <f>$O$241*$AA$241</f>
        <v>0.27424484099236823</v>
      </c>
    </row>
    <row r="242" spans="1:33" ht="11.25" customHeight="1" x14ac:dyDescent="0.25">
      <c r="A242" s="4" t="s">
        <v>21</v>
      </c>
      <c r="B242" s="4" t="s">
        <v>32</v>
      </c>
      <c r="C242" s="4" t="s">
        <v>38</v>
      </c>
      <c r="D242" s="4" t="s">
        <v>33</v>
      </c>
      <c r="E242" s="4" t="s">
        <v>25</v>
      </c>
      <c r="F242" s="4" t="s">
        <v>25</v>
      </c>
      <c r="G242" s="4" t="s">
        <v>25</v>
      </c>
      <c r="H242" s="4" t="s">
        <v>36</v>
      </c>
      <c r="I242" s="5">
        <v>44409</v>
      </c>
      <c r="J242" s="6">
        <v>0</v>
      </c>
      <c r="K242" s="6">
        <v>0</v>
      </c>
      <c r="L242" s="6">
        <v>1E-3</v>
      </c>
      <c r="M242" s="6">
        <v>1E-3</v>
      </c>
      <c r="N242" s="6">
        <v>1E-3</v>
      </c>
      <c r="O242" s="6">
        <v>1E-3</v>
      </c>
      <c r="P242" s="6">
        <v>0</v>
      </c>
      <c r="Q242" s="4" t="s">
        <v>26</v>
      </c>
      <c r="R242" s="4">
        <v>0</v>
      </c>
      <c r="S242" s="6">
        <v>0</v>
      </c>
      <c r="T242" s="6">
        <v>43</v>
      </c>
      <c r="U242" s="6">
        <v>81</v>
      </c>
      <c r="V242" s="6">
        <f>IF(ISERROR(VLOOKUP($S$242,'TAR FIN'!$A$1:$O$88,15,0)),0,VLOOKUP($S$242,'TAR FIN'!$A$1:$O$88,15,0))</f>
        <v>0</v>
      </c>
      <c r="W242" s="6">
        <f>IF(ISERROR(VLOOKUP($T$242,'TAR FIN'!$A$1:$O$88,15,0)),0,VLOOKUP($T$242,'TAR FIN'!$A$1:$O$88,15,0))</f>
        <v>0</v>
      </c>
      <c r="X242" s="6">
        <f>IF(ISERROR(VLOOKUP($U$242,'TAR FIN'!$A$1:$O$88,15,0)),0,VLOOKUP($U$242,'TAR FIN'!$A$1:$O$88,15,0))</f>
        <v>0</v>
      </c>
      <c r="Y242" s="6"/>
      <c r="Z242" s="6">
        <f ca="1">('TUSD BE'!$AM$45+'TUSD BF'!$AM$45+'TUSD CVA'!$AM$45)*1</f>
        <v>1427.7324477453922</v>
      </c>
      <c r="AA242" s="6">
        <f>('TE BE'!$AB$36+'TE BF'!$AB$36+'TE CVA'!$AB$36)*1</f>
        <v>469.66510193737668</v>
      </c>
      <c r="AB242" s="6">
        <f>$K$242*$V$242</f>
        <v>0</v>
      </c>
      <c r="AC242" s="6">
        <f>$M$242*$W$242</f>
        <v>0</v>
      </c>
      <c r="AD242" s="6">
        <f>$O$242*$X$242</f>
        <v>0</v>
      </c>
      <c r="AE242" s="6">
        <f>$K$242*$Y$242</f>
        <v>0</v>
      </c>
      <c r="AF242" s="6">
        <f ca="1">$M$242*$Z$242</f>
        <v>1.4277324477453921</v>
      </c>
      <c r="AG242" s="6">
        <f>$O$242*$AA$242</f>
        <v>0.46966510193737671</v>
      </c>
    </row>
    <row r="243" spans="1:33" ht="11.25" customHeight="1" x14ac:dyDescent="0.25">
      <c r="A243" s="4" t="s">
        <v>21</v>
      </c>
      <c r="B243" s="4" t="s">
        <v>32</v>
      </c>
      <c r="C243" s="4" t="s">
        <v>38</v>
      </c>
      <c r="D243" s="4" t="s">
        <v>33</v>
      </c>
      <c r="E243" s="4" t="s">
        <v>25</v>
      </c>
      <c r="F243" s="4" t="s">
        <v>25</v>
      </c>
      <c r="G243" s="4" t="s">
        <v>25</v>
      </c>
      <c r="H243" s="4" t="s">
        <v>36</v>
      </c>
      <c r="I243" s="5">
        <v>44440</v>
      </c>
      <c r="J243" s="6">
        <v>0</v>
      </c>
      <c r="K243" s="6">
        <v>0</v>
      </c>
      <c r="L243" s="6">
        <v>3.0000000000000001E-3</v>
      </c>
      <c r="M243" s="6">
        <v>3.0000000000000001E-3</v>
      </c>
      <c r="N243" s="6">
        <v>3.0000000000000001E-3</v>
      </c>
      <c r="O243" s="6">
        <v>3.0000000000000001E-3</v>
      </c>
      <c r="P243" s="6">
        <v>0</v>
      </c>
      <c r="Q243" s="4" t="s">
        <v>26</v>
      </c>
      <c r="R243" s="4">
        <v>0</v>
      </c>
      <c r="S243" s="6">
        <v>0</v>
      </c>
      <c r="T243" s="6">
        <v>43</v>
      </c>
      <c r="U243" s="6">
        <v>81</v>
      </c>
      <c r="V243" s="6">
        <f>IF(ISERROR(VLOOKUP($S$243,'TAR FIN'!$A$1:$O$88,15,0)),0,VLOOKUP($S$243,'TAR FIN'!$A$1:$O$88,15,0))</f>
        <v>0</v>
      </c>
      <c r="W243" s="6">
        <f>IF(ISERROR(VLOOKUP($T$243,'TAR FIN'!$A$1:$O$88,15,0)),0,VLOOKUP($T$243,'TAR FIN'!$A$1:$O$88,15,0))</f>
        <v>0</v>
      </c>
      <c r="X243" s="6">
        <f>IF(ISERROR(VLOOKUP($U$243,'TAR FIN'!$A$1:$O$88,15,0)),0,VLOOKUP($U$243,'TAR FIN'!$A$1:$O$88,15,0))</f>
        <v>0</v>
      </c>
      <c r="Y243" s="6"/>
      <c r="Z243" s="6">
        <f ca="1">('TUSD BE'!$AM$45+'TUSD BF'!$AM$45+'TUSD CVA'!$AM$45)*1</f>
        <v>1427.7324477453922</v>
      </c>
      <c r="AA243" s="6">
        <f>('TE BE'!$AB$36+'TE BF'!$AB$36+'TE CVA'!$AB$36)*1</f>
        <v>469.66510193737668</v>
      </c>
      <c r="AB243" s="6">
        <f>$K$243*$V$243</f>
        <v>0</v>
      </c>
      <c r="AC243" s="6">
        <f>$M$243*$W$243</f>
        <v>0</v>
      </c>
      <c r="AD243" s="6">
        <f>$O$243*$X$243</f>
        <v>0</v>
      </c>
      <c r="AE243" s="6">
        <f>$K$243*$Y$243</f>
        <v>0</v>
      </c>
      <c r="AF243" s="6">
        <f ca="1">$M$243*$Z$243</f>
        <v>4.2831973432361767</v>
      </c>
      <c r="AG243" s="6">
        <f>$O$243*$AA$243</f>
        <v>1.4089953058121301</v>
      </c>
    </row>
    <row r="244" spans="1:33" ht="11.25" customHeight="1" x14ac:dyDescent="0.25">
      <c r="A244" s="4" t="s">
        <v>21</v>
      </c>
      <c r="B244" s="4" t="s">
        <v>32</v>
      </c>
      <c r="C244" s="4" t="s">
        <v>38</v>
      </c>
      <c r="D244" s="4" t="s">
        <v>33</v>
      </c>
      <c r="E244" s="4" t="s">
        <v>25</v>
      </c>
      <c r="F244" s="4" t="s">
        <v>25</v>
      </c>
      <c r="G244" s="4" t="s">
        <v>25</v>
      </c>
      <c r="H244" s="4" t="s">
        <v>36</v>
      </c>
      <c r="I244" s="5">
        <v>44470</v>
      </c>
      <c r="J244" s="6">
        <v>0</v>
      </c>
      <c r="K244" s="6">
        <v>0</v>
      </c>
      <c r="L244" s="6">
        <v>1E-3</v>
      </c>
      <c r="M244" s="6">
        <v>1E-3</v>
      </c>
      <c r="N244" s="6">
        <v>1E-3</v>
      </c>
      <c r="O244" s="6">
        <v>1E-3</v>
      </c>
      <c r="P244" s="6">
        <v>0</v>
      </c>
      <c r="Q244" s="4" t="s">
        <v>26</v>
      </c>
      <c r="R244" s="4">
        <v>0</v>
      </c>
      <c r="S244" s="6">
        <v>0</v>
      </c>
      <c r="T244" s="6">
        <v>43</v>
      </c>
      <c r="U244" s="6">
        <v>81</v>
      </c>
      <c r="V244" s="6">
        <f>IF(ISERROR(VLOOKUP($S$244,'TAR FIN'!$A$1:$O$88,15,0)),0,VLOOKUP($S$244,'TAR FIN'!$A$1:$O$88,15,0))</f>
        <v>0</v>
      </c>
      <c r="W244" s="6">
        <f>IF(ISERROR(VLOOKUP($T$244,'TAR FIN'!$A$1:$O$88,15,0)),0,VLOOKUP($T$244,'TAR FIN'!$A$1:$O$88,15,0))</f>
        <v>0</v>
      </c>
      <c r="X244" s="6">
        <f>IF(ISERROR(VLOOKUP($U$244,'TAR FIN'!$A$1:$O$88,15,0)),0,VLOOKUP($U$244,'TAR FIN'!$A$1:$O$88,15,0))</f>
        <v>0</v>
      </c>
      <c r="Y244" s="6"/>
      <c r="Z244" s="6">
        <f ca="1">('TUSD BE'!$AM$45+'TUSD BF'!$AM$45+'TUSD CVA'!$AM$45)*1</f>
        <v>1427.7324477453922</v>
      </c>
      <c r="AA244" s="6">
        <f>('TE BE'!$AB$36+'TE BF'!$AB$36+'TE CVA'!$AB$36)*1</f>
        <v>469.66510193737668</v>
      </c>
      <c r="AB244" s="6">
        <f>$K$244*$V$244</f>
        <v>0</v>
      </c>
      <c r="AC244" s="6">
        <f>$M$244*$W$244</f>
        <v>0</v>
      </c>
      <c r="AD244" s="6">
        <f>$O$244*$X$244</f>
        <v>0</v>
      </c>
      <c r="AE244" s="6">
        <f>$K$244*$Y$244</f>
        <v>0</v>
      </c>
      <c r="AF244" s="6">
        <f ca="1">$M$244*$Z$244</f>
        <v>1.4277324477453921</v>
      </c>
      <c r="AG244" s="6">
        <f>$O$244*$AA$244</f>
        <v>0.46966510193737671</v>
      </c>
    </row>
    <row r="245" spans="1:33" ht="11.25" customHeight="1" x14ac:dyDescent="0.25">
      <c r="A245" s="4" t="s">
        <v>21</v>
      </c>
      <c r="B245" s="4" t="s">
        <v>32</v>
      </c>
      <c r="C245" s="4" t="s">
        <v>38</v>
      </c>
      <c r="D245" s="4" t="s">
        <v>33</v>
      </c>
      <c r="E245" s="4" t="s">
        <v>25</v>
      </c>
      <c r="F245" s="4" t="s">
        <v>25</v>
      </c>
      <c r="G245" s="4" t="s">
        <v>25</v>
      </c>
      <c r="H245" s="4" t="s">
        <v>36</v>
      </c>
      <c r="I245" s="5">
        <v>44501</v>
      </c>
      <c r="J245" s="6">
        <v>0</v>
      </c>
      <c r="K245" s="6">
        <v>0</v>
      </c>
      <c r="L245" s="6">
        <v>1E-3</v>
      </c>
      <c r="M245" s="6">
        <v>1E-3</v>
      </c>
      <c r="N245" s="6">
        <v>1E-3</v>
      </c>
      <c r="O245" s="6">
        <v>1E-3</v>
      </c>
      <c r="P245" s="6">
        <v>0</v>
      </c>
      <c r="Q245" s="4" t="s">
        <v>26</v>
      </c>
      <c r="R245" s="4">
        <v>0</v>
      </c>
      <c r="S245" s="6">
        <v>0</v>
      </c>
      <c r="T245" s="6">
        <v>43</v>
      </c>
      <c r="U245" s="6">
        <v>81</v>
      </c>
      <c r="V245" s="6">
        <f>IF(ISERROR(VLOOKUP($S$245,'TAR FIN'!$A$1:$O$88,15,0)),0,VLOOKUP($S$245,'TAR FIN'!$A$1:$O$88,15,0))</f>
        <v>0</v>
      </c>
      <c r="W245" s="6">
        <f>IF(ISERROR(VLOOKUP($T$245,'TAR FIN'!$A$1:$O$88,15,0)),0,VLOOKUP($T$245,'TAR FIN'!$A$1:$O$88,15,0))</f>
        <v>0</v>
      </c>
      <c r="X245" s="6">
        <f>IF(ISERROR(VLOOKUP($U$245,'TAR FIN'!$A$1:$O$88,15,0)),0,VLOOKUP($U$245,'TAR FIN'!$A$1:$O$88,15,0))</f>
        <v>0</v>
      </c>
      <c r="Y245" s="6"/>
      <c r="Z245" s="6">
        <f ca="1">('TUSD BE'!$AM$45+'TUSD BF'!$AM$45+'TUSD CVA'!$AM$45)*1</f>
        <v>1427.7324477453922</v>
      </c>
      <c r="AA245" s="6">
        <f>('TE BE'!$AB$36+'TE BF'!$AB$36+'TE CVA'!$AB$36)*1</f>
        <v>469.66510193737668</v>
      </c>
      <c r="AB245" s="6">
        <f>$K$245*$V$245</f>
        <v>0</v>
      </c>
      <c r="AC245" s="6">
        <f>$M$245*$W$245</f>
        <v>0</v>
      </c>
      <c r="AD245" s="6">
        <f>$O$245*$X$245</f>
        <v>0</v>
      </c>
      <c r="AE245" s="6">
        <f>$K$245*$Y$245</f>
        <v>0</v>
      </c>
      <c r="AF245" s="6">
        <f ca="1">$M$245*$Z$245</f>
        <v>1.4277324477453921</v>
      </c>
      <c r="AG245" s="6">
        <f>$O$245*$AA$245</f>
        <v>0.46966510193737671</v>
      </c>
    </row>
    <row r="246" spans="1:33" ht="11.25" customHeight="1" x14ac:dyDescent="0.25">
      <c r="A246" s="4" t="s">
        <v>21</v>
      </c>
      <c r="B246" s="4" t="s">
        <v>32</v>
      </c>
      <c r="C246" s="4" t="s">
        <v>38</v>
      </c>
      <c r="D246" s="4" t="s">
        <v>33</v>
      </c>
      <c r="E246" s="4" t="s">
        <v>25</v>
      </c>
      <c r="F246" s="4" t="s">
        <v>25</v>
      </c>
      <c r="G246" s="4" t="s">
        <v>25</v>
      </c>
      <c r="H246" s="4" t="s">
        <v>36</v>
      </c>
      <c r="I246" s="5">
        <v>44531</v>
      </c>
      <c r="J246" s="6">
        <v>0</v>
      </c>
      <c r="K246" s="6">
        <v>0</v>
      </c>
      <c r="L246" s="6">
        <v>8.0000000000000002E-3</v>
      </c>
      <c r="M246" s="6">
        <v>8.0000000000000002E-3</v>
      </c>
      <c r="N246" s="6">
        <v>8.0000000000000002E-3</v>
      </c>
      <c r="O246" s="6">
        <v>8.0000000000000002E-3</v>
      </c>
      <c r="P246" s="6">
        <v>0</v>
      </c>
      <c r="Q246" s="4" t="s">
        <v>26</v>
      </c>
      <c r="R246" s="4">
        <v>0</v>
      </c>
      <c r="S246" s="6">
        <v>0</v>
      </c>
      <c r="T246" s="6">
        <v>43</v>
      </c>
      <c r="U246" s="6">
        <v>81</v>
      </c>
      <c r="V246" s="6">
        <f>IF(ISERROR(VLOOKUP($S$246,'TAR FIN'!$A$1:$O$88,15,0)),0,VLOOKUP($S$246,'TAR FIN'!$A$1:$O$88,15,0))</f>
        <v>0</v>
      </c>
      <c r="W246" s="6">
        <f>IF(ISERROR(VLOOKUP($T$246,'TAR FIN'!$A$1:$O$88,15,0)),0,VLOOKUP($T$246,'TAR FIN'!$A$1:$O$88,15,0))</f>
        <v>0</v>
      </c>
      <c r="X246" s="6">
        <f>IF(ISERROR(VLOOKUP($U$246,'TAR FIN'!$A$1:$O$88,15,0)),0,VLOOKUP($U$246,'TAR FIN'!$A$1:$O$88,15,0))</f>
        <v>0</v>
      </c>
      <c r="Y246" s="6"/>
      <c r="Z246" s="6">
        <f ca="1">('TUSD BE'!$AM$45+'TUSD BF'!$AM$45+'TUSD CVA'!$AM$45)*1</f>
        <v>1427.7324477453922</v>
      </c>
      <c r="AA246" s="6">
        <f>('TE BE'!$AB$36+'TE BF'!$AB$36+'TE CVA'!$AB$36)*1</f>
        <v>469.66510193737668</v>
      </c>
      <c r="AB246" s="6">
        <f>$K$246*$V$246</f>
        <v>0</v>
      </c>
      <c r="AC246" s="6">
        <f>$M$246*$W$246</f>
        <v>0</v>
      </c>
      <c r="AD246" s="6">
        <f>$O$246*$X$246</f>
        <v>0</v>
      </c>
      <c r="AE246" s="6">
        <f>$K$246*$Y$246</f>
        <v>0</v>
      </c>
      <c r="AF246" s="6">
        <f ca="1">$M$246*$Z$246</f>
        <v>11.421859581963137</v>
      </c>
      <c r="AG246" s="6">
        <f>$O$246*$AA$246</f>
        <v>3.7573208154990136</v>
      </c>
    </row>
    <row r="247" spans="1:33" ht="11.25" customHeight="1" x14ac:dyDescent="0.25">
      <c r="A247" s="4" t="s">
        <v>21</v>
      </c>
      <c r="B247" s="4" t="s">
        <v>32</v>
      </c>
      <c r="C247" s="4" t="s">
        <v>38</v>
      </c>
      <c r="D247" s="4" t="s">
        <v>33</v>
      </c>
      <c r="E247" s="4" t="s">
        <v>25</v>
      </c>
      <c r="F247" s="4" t="s">
        <v>25</v>
      </c>
      <c r="G247" s="4" t="s">
        <v>25</v>
      </c>
      <c r="H247" s="4" t="s">
        <v>36</v>
      </c>
      <c r="I247" s="5">
        <v>44562</v>
      </c>
      <c r="J247" s="6">
        <v>0</v>
      </c>
      <c r="K247" s="6">
        <v>0</v>
      </c>
      <c r="L247" s="6">
        <v>1E-3</v>
      </c>
      <c r="M247" s="6">
        <v>1E-3</v>
      </c>
      <c r="N247" s="6">
        <v>1E-3</v>
      </c>
      <c r="O247" s="6">
        <v>1E-3</v>
      </c>
      <c r="P247" s="6">
        <v>0</v>
      </c>
      <c r="Q247" s="4" t="s">
        <v>26</v>
      </c>
      <c r="R247" s="4">
        <v>0</v>
      </c>
      <c r="S247" s="6">
        <v>0</v>
      </c>
      <c r="T247" s="6">
        <v>43</v>
      </c>
      <c r="U247" s="6">
        <v>81</v>
      </c>
      <c r="V247" s="6">
        <f>IF(ISERROR(VLOOKUP($S$247,'TAR FIN'!$A$1:$O$88,15,0)),0,VLOOKUP($S$247,'TAR FIN'!$A$1:$O$88,15,0))</f>
        <v>0</v>
      </c>
      <c r="W247" s="6">
        <f>IF(ISERROR(VLOOKUP($T$247,'TAR FIN'!$A$1:$O$88,15,0)),0,VLOOKUP($T$247,'TAR FIN'!$A$1:$O$88,15,0))</f>
        <v>0</v>
      </c>
      <c r="X247" s="6">
        <f>IF(ISERROR(VLOOKUP($U$247,'TAR FIN'!$A$1:$O$88,15,0)),0,VLOOKUP($U$247,'TAR FIN'!$A$1:$O$88,15,0))</f>
        <v>0</v>
      </c>
      <c r="Y247" s="6"/>
      <c r="Z247" s="6">
        <f ca="1">('TUSD BE'!$AM$45+'TUSD BF'!$AM$45+'TUSD CVA'!$AM$45)*1</f>
        <v>1427.7324477453922</v>
      </c>
      <c r="AA247" s="6">
        <f>('TE BE'!$AB$36+'TE BF'!$AB$36+'TE CVA'!$AB$36)*1</f>
        <v>469.66510193737668</v>
      </c>
      <c r="AB247" s="6">
        <f>$K$247*$V$247</f>
        <v>0</v>
      </c>
      <c r="AC247" s="6">
        <f>$M$247*$W$247</f>
        <v>0</v>
      </c>
      <c r="AD247" s="6">
        <f>$O$247*$X$247</f>
        <v>0</v>
      </c>
      <c r="AE247" s="6">
        <f>$K$247*$Y$247</f>
        <v>0</v>
      </c>
      <c r="AF247" s="6">
        <f ca="1">$M$247*$Z$247</f>
        <v>1.4277324477453921</v>
      </c>
      <c r="AG247" s="6">
        <f>$O$247*$AA$247</f>
        <v>0.46966510193737671</v>
      </c>
    </row>
    <row r="248" spans="1:33" ht="11.25" customHeight="1" x14ac:dyDescent="0.25">
      <c r="A248" s="4" t="s">
        <v>21</v>
      </c>
      <c r="B248" s="4" t="s">
        <v>32</v>
      </c>
      <c r="C248" s="4" t="s">
        <v>38</v>
      </c>
      <c r="D248" s="4" t="s">
        <v>43</v>
      </c>
      <c r="E248" s="4" t="s">
        <v>25</v>
      </c>
      <c r="F248" s="4" t="s">
        <v>25</v>
      </c>
      <c r="G248" s="4" t="s">
        <v>25</v>
      </c>
      <c r="H248" s="4" t="s">
        <v>37</v>
      </c>
      <c r="I248" s="5">
        <v>44409</v>
      </c>
      <c r="J248" s="6">
        <v>0</v>
      </c>
      <c r="K248" s="6">
        <v>0</v>
      </c>
      <c r="L248" s="6">
        <v>4.6429999999999998</v>
      </c>
      <c r="M248" s="6">
        <v>4.6429999999999998</v>
      </c>
      <c r="N248" s="6">
        <v>4.6429999999999998</v>
      </c>
      <c r="O248" s="6">
        <v>4.6429999999999998</v>
      </c>
      <c r="P248" s="6">
        <v>0</v>
      </c>
      <c r="Q248" s="4" t="s">
        <v>26</v>
      </c>
      <c r="R248" s="4">
        <v>0</v>
      </c>
      <c r="S248" s="6">
        <v>0</v>
      </c>
      <c r="T248" s="6">
        <v>45</v>
      </c>
      <c r="U248" s="6">
        <v>83</v>
      </c>
      <c r="V248" s="6">
        <f>IF(ISERROR(VLOOKUP($S$248,'TAR FIN'!$A$1:$O$88,15,0)),0,VLOOKUP($S$248,'TAR FIN'!$A$1:$O$88,15,0))</f>
        <v>0</v>
      </c>
      <c r="W248" s="6">
        <f>IF(ISERROR(VLOOKUP($T$248,'TAR FIN'!$A$1:$O$88,15,0)),0,VLOOKUP($T$248,'TAR FIN'!$A$1:$O$88,15,0))</f>
        <v>0</v>
      </c>
      <c r="X248" s="6">
        <f>IF(ISERROR(VLOOKUP($U$248,'TAR FIN'!$A$1:$O$88,15,0)),0,VLOOKUP($U$248,'TAR FIN'!$A$1:$O$88,15,0))</f>
        <v>0</v>
      </c>
      <c r="Y248" s="6"/>
      <c r="Z248" s="6">
        <f ca="1">('TUSD BE'!$AM$47+'TUSD BF'!$AM$47+'TUSD CVA'!$AM$47)*1</f>
        <v>403.09909371140151</v>
      </c>
      <c r="AA248" s="6">
        <f>('TE BE'!$AB$38+'TE BF'!$AB$38+'TE CVA'!$AB$38)*1</f>
        <v>274.24484099236821</v>
      </c>
      <c r="AB248" s="6">
        <f>$K$248*$V$248</f>
        <v>0</v>
      </c>
      <c r="AC248" s="6">
        <f>$M$248*$W$248</f>
        <v>0</v>
      </c>
      <c r="AD248" s="6">
        <f>$O$248*$X$248</f>
        <v>0</v>
      </c>
      <c r="AE248" s="6">
        <f>$K$248*$Y$248</f>
        <v>0</v>
      </c>
      <c r="AF248" s="6">
        <f ca="1">$M$248*$Z$248</f>
        <v>1871.5890921020371</v>
      </c>
      <c r="AG248" s="6">
        <f>$O$248*$AA$248</f>
        <v>1273.3187967275655</v>
      </c>
    </row>
    <row r="249" spans="1:33" ht="11.25" customHeight="1" x14ac:dyDescent="0.25">
      <c r="A249" s="4" t="s">
        <v>21</v>
      </c>
      <c r="B249" s="4" t="s">
        <v>32</v>
      </c>
      <c r="C249" s="4" t="s">
        <v>38</v>
      </c>
      <c r="D249" s="4" t="s">
        <v>43</v>
      </c>
      <c r="E249" s="4" t="s">
        <v>25</v>
      </c>
      <c r="F249" s="4" t="s">
        <v>25</v>
      </c>
      <c r="G249" s="4" t="s">
        <v>25</v>
      </c>
      <c r="H249" s="4" t="s">
        <v>37</v>
      </c>
      <c r="I249" s="5">
        <v>44440</v>
      </c>
      <c r="J249" s="6">
        <v>0</v>
      </c>
      <c r="K249" s="6">
        <v>0</v>
      </c>
      <c r="L249" s="6">
        <v>4.452</v>
      </c>
      <c r="M249" s="6">
        <v>4.452</v>
      </c>
      <c r="N249" s="6">
        <v>4.452</v>
      </c>
      <c r="O249" s="6">
        <v>4.452</v>
      </c>
      <c r="P249" s="6">
        <v>0</v>
      </c>
      <c r="Q249" s="4" t="s">
        <v>26</v>
      </c>
      <c r="R249" s="4">
        <v>0</v>
      </c>
      <c r="S249" s="6">
        <v>0</v>
      </c>
      <c r="T249" s="6">
        <v>45</v>
      </c>
      <c r="U249" s="6">
        <v>83</v>
      </c>
      <c r="V249" s="6">
        <f>IF(ISERROR(VLOOKUP($S$249,'TAR FIN'!$A$1:$O$88,15,0)),0,VLOOKUP($S$249,'TAR FIN'!$A$1:$O$88,15,0))</f>
        <v>0</v>
      </c>
      <c r="W249" s="6">
        <f>IF(ISERROR(VLOOKUP($T$249,'TAR FIN'!$A$1:$O$88,15,0)),0,VLOOKUP($T$249,'TAR FIN'!$A$1:$O$88,15,0))</f>
        <v>0</v>
      </c>
      <c r="X249" s="6">
        <f>IF(ISERROR(VLOOKUP($U$249,'TAR FIN'!$A$1:$O$88,15,0)),0,VLOOKUP($U$249,'TAR FIN'!$A$1:$O$88,15,0))</f>
        <v>0</v>
      </c>
      <c r="Y249" s="6"/>
      <c r="Z249" s="6">
        <f ca="1">('TUSD BE'!$AM$47+'TUSD BF'!$AM$47+'TUSD CVA'!$AM$47)*1</f>
        <v>403.09909371140151</v>
      </c>
      <c r="AA249" s="6">
        <f>('TE BE'!$AB$38+'TE BF'!$AB$38+'TE CVA'!$AB$38)*1</f>
        <v>274.24484099236821</v>
      </c>
      <c r="AB249" s="6">
        <f>$K$249*$V$249</f>
        <v>0</v>
      </c>
      <c r="AC249" s="6">
        <f>$M$249*$W$249</f>
        <v>0</v>
      </c>
      <c r="AD249" s="6">
        <f>$O$249*$X$249</f>
        <v>0</v>
      </c>
      <c r="AE249" s="6">
        <f>$K$249*$Y$249</f>
        <v>0</v>
      </c>
      <c r="AF249" s="6">
        <f ca="1">$M$249*$Z$249</f>
        <v>1794.5971652031594</v>
      </c>
      <c r="AG249" s="6">
        <f>$O$249*$AA$249</f>
        <v>1220.9380320980233</v>
      </c>
    </row>
    <row r="250" spans="1:33" ht="11.25" customHeight="1" x14ac:dyDescent="0.25">
      <c r="A250" s="4" t="s">
        <v>21</v>
      </c>
      <c r="B250" s="4" t="s">
        <v>32</v>
      </c>
      <c r="C250" s="4" t="s">
        <v>38</v>
      </c>
      <c r="D250" s="4" t="s">
        <v>43</v>
      </c>
      <c r="E250" s="4" t="s">
        <v>25</v>
      </c>
      <c r="F250" s="4" t="s">
        <v>25</v>
      </c>
      <c r="G250" s="4" t="s">
        <v>25</v>
      </c>
      <c r="H250" s="4" t="s">
        <v>37</v>
      </c>
      <c r="I250" s="5">
        <v>44470</v>
      </c>
      <c r="J250" s="6">
        <v>0</v>
      </c>
      <c r="K250" s="6">
        <v>0</v>
      </c>
      <c r="L250" s="6">
        <v>4.3840000000000003</v>
      </c>
      <c r="M250" s="6">
        <v>4.3840000000000003</v>
      </c>
      <c r="N250" s="6">
        <v>4.3840000000000003</v>
      </c>
      <c r="O250" s="6">
        <v>4.3840000000000003</v>
      </c>
      <c r="P250" s="6">
        <v>0</v>
      </c>
      <c r="Q250" s="4" t="s">
        <v>26</v>
      </c>
      <c r="R250" s="4">
        <v>0</v>
      </c>
      <c r="S250" s="6">
        <v>0</v>
      </c>
      <c r="T250" s="6">
        <v>45</v>
      </c>
      <c r="U250" s="6">
        <v>83</v>
      </c>
      <c r="V250" s="6">
        <f>IF(ISERROR(VLOOKUP($S$250,'TAR FIN'!$A$1:$O$88,15,0)),0,VLOOKUP($S$250,'TAR FIN'!$A$1:$O$88,15,0))</f>
        <v>0</v>
      </c>
      <c r="W250" s="6">
        <f>IF(ISERROR(VLOOKUP($T$250,'TAR FIN'!$A$1:$O$88,15,0)),0,VLOOKUP($T$250,'TAR FIN'!$A$1:$O$88,15,0))</f>
        <v>0</v>
      </c>
      <c r="X250" s="6">
        <f>IF(ISERROR(VLOOKUP($U$250,'TAR FIN'!$A$1:$O$88,15,0)),0,VLOOKUP($U$250,'TAR FIN'!$A$1:$O$88,15,0))</f>
        <v>0</v>
      </c>
      <c r="Y250" s="6"/>
      <c r="Z250" s="6">
        <f ca="1">('TUSD BE'!$AM$47+'TUSD BF'!$AM$47+'TUSD CVA'!$AM$47)*1</f>
        <v>403.09909371140151</v>
      </c>
      <c r="AA250" s="6">
        <f>('TE BE'!$AB$38+'TE BF'!$AB$38+'TE CVA'!$AB$38)*1</f>
        <v>274.24484099236821</v>
      </c>
      <c r="AB250" s="6">
        <f>$K$250*$V$250</f>
        <v>0</v>
      </c>
      <c r="AC250" s="6">
        <f>$M$250*$W$250</f>
        <v>0</v>
      </c>
      <c r="AD250" s="6">
        <f>$O$250*$X$250</f>
        <v>0</v>
      </c>
      <c r="AE250" s="6">
        <f>$K$250*$Y$250</f>
        <v>0</v>
      </c>
      <c r="AF250" s="6">
        <f ca="1">$M$250*$Z$250</f>
        <v>1767.1864268307843</v>
      </c>
      <c r="AG250" s="6">
        <f>$O$250*$AA$250</f>
        <v>1202.2893829105424</v>
      </c>
    </row>
    <row r="251" spans="1:33" ht="11.25" customHeight="1" x14ac:dyDescent="0.25">
      <c r="A251" s="4" t="s">
        <v>21</v>
      </c>
      <c r="B251" s="4" t="s">
        <v>32</v>
      </c>
      <c r="C251" s="4" t="s">
        <v>38</v>
      </c>
      <c r="D251" s="4" t="s">
        <v>43</v>
      </c>
      <c r="E251" s="4" t="s">
        <v>25</v>
      </c>
      <c r="F251" s="4" t="s">
        <v>25</v>
      </c>
      <c r="G251" s="4" t="s">
        <v>25</v>
      </c>
      <c r="H251" s="4" t="s">
        <v>37</v>
      </c>
      <c r="I251" s="5">
        <v>44501</v>
      </c>
      <c r="J251" s="6">
        <v>0</v>
      </c>
      <c r="K251" s="6">
        <v>0</v>
      </c>
      <c r="L251" s="6">
        <v>4.9059999999999997</v>
      </c>
      <c r="M251" s="6">
        <v>4.9059999999999997</v>
      </c>
      <c r="N251" s="6">
        <v>4.9059999999999997</v>
      </c>
      <c r="O251" s="6">
        <v>4.9059999999999997</v>
      </c>
      <c r="P251" s="6">
        <v>0</v>
      </c>
      <c r="Q251" s="4" t="s">
        <v>26</v>
      </c>
      <c r="R251" s="4">
        <v>0</v>
      </c>
      <c r="S251" s="6">
        <v>0</v>
      </c>
      <c r="T251" s="6">
        <v>45</v>
      </c>
      <c r="U251" s="6">
        <v>83</v>
      </c>
      <c r="V251" s="6">
        <f>IF(ISERROR(VLOOKUP($S$251,'TAR FIN'!$A$1:$O$88,15,0)),0,VLOOKUP($S$251,'TAR FIN'!$A$1:$O$88,15,0))</f>
        <v>0</v>
      </c>
      <c r="W251" s="6">
        <f>IF(ISERROR(VLOOKUP($T$251,'TAR FIN'!$A$1:$O$88,15,0)),0,VLOOKUP($T$251,'TAR FIN'!$A$1:$O$88,15,0))</f>
        <v>0</v>
      </c>
      <c r="X251" s="6">
        <f>IF(ISERROR(VLOOKUP($U$251,'TAR FIN'!$A$1:$O$88,15,0)),0,VLOOKUP($U$251,'TAR FIN'!$A$1:$O$88,15,0))</f>
        <v>0</v>
      </c>
      <c r="Y251" s="6"/>
      <c r="Z251" s="6">
        <f ca="1">('TUSD BE'!$AM$47+'TUSD BF'!$AM$47+'TUSD CVA'!$AM$47)*1</f>
        <v>403.09909371140151</v>
      </c>
      <c r="AA251" s="6">
        <f>('TE BE'!$AB$38+'TE BF'!$AB$38+'TE CVA'!$AB$38)*1</f>
        <v>274.24484099236821</v>
      </c>
      <c r="AB251" s="6">
        <f>$K$251*$V$251</f>
        <v>0</v>
      </c>
      <c r="AC251" s="6">
        <f>$M$251*$W$251</f>
        <v>0</v>
      </c>
      <c r="AD251" s="6">
        <f>$O$251*$X$251</f>
        <v>0</v>
      </c>
      <c r="AE251" s="6">
        <f>$K$251*$Y$251</f>
        <v>0</v>
      </c>
      <c r="AF251" s="6">
        <f ca="1">$M$251*$Z$251</f>
        <v>1977.6041537481358</v>
      </c>
      <c r="AG251" s="6">
        <f>$O$251*$AA$251</f>
        <v>1345.4451899085584</v>
      </c>
    </row>
    <row r="252" spans="1:33" ht="11.25" customHeight="1" x14ac:dyDescent="0.25">
      <c r="A252" s="4" t="s">
        <v>21</v>
      </c>
      <c r="B252" s="4" t="s">
        <v>32</v>
      </c>
      <c r="C252" s="4" t="s">
        <v>38</v>
      </c>
      <c r="D252" s="4" t="s">
        <v>43</v>
      </c>
      <c r="E252" s="4" t="s">
        <v>25</v>
      </c>
      <c r="F252" s="4" t="s">
        <v>25</v>
      </c>
      <c r="G252" s="4" t="s">
        <v>25</v>
      </c>
      <c r="H252" s="4" t="s">
        <v>37</v>
      </c>
      <c r="I252" s="5">
        <v>44531</v>
      </c>
      <c r="J252" s="6">
        <v>0</v>
      </c>
      <c r="K252" s="6">
        <v>0</v>
      </c>
      <c r="L252" s="6">
        <v>5.53</v>
      </c>
      <c r="M252" s="6">
        <v>5.53</v>
      </c>
      <c r="N252" s="6">
        <v>5.53</v>
      </c>
      <c r="O252" s="6">
        <v>5.53</v>
      </c>
      <c r="P252" s="6">
        <v>0</v>
      </c>
      <c r="Q252" s="4" t="s">
        <v>26</v>
      </c>
      <c r="R252" s="4">
        <v>0</v>
      </c>
      <c r="S252" s="6">
        <v>0</v>
      </c>
      <c r="T252" s="6">
        <v>45</v>
      </c>
      <c r="U252" s="6">
        <v>83</v>
      </c>
      <c r="V252" s="6">
        <f>IF(ISERROR(VLOOKUP($S$252,'TAR FIN'!$A$1:$O$88,15,0)),0,VLOOKUP($S$252,'TAR FIN'!$A$1:$O$88,15,0))</f>
        <v>0</v>
      </c>
      <c r="W252" s="6">
        <f>IF(ISERROR(VLOOKUP($T$252,'TAR FIN'!$A$1:$O$88,15,0)),0,VLOOKUP($T$252,'TAR FIN'!$A$1:$O$88,15,0))</f>
        <v>0</v>
      </c>
      <c r="X252" s="6">
        <f>IF(ISERROR(VLOOKUP($U$252,'TAR FIN'!$A$1:$O$88,15,0)),0,VLOOKUP($U$252,'TAR FIN'!$A$1:$O$88,15,0))</f>
        <v>0</v>
      </c>
      <c r="Y252" s="6"/>
      <c r="Z252" s="6">
        <f ca="1">('TUSD BE'!$AM$47+'TUSD BF'!$AM$47+'TUSD CVA'!$AM$47)*1</f>
        <v>403.09909371140151</v>
      </c>
      <c r="AA252" s="6">
        <f>('TE BE'!$AB$38+'TE BF'!$AB$38+'TE CVA'!$AB$38)*1</f>
        <v>274.24484099236821</v>
      </c>
      <c r="AB252" s="6">
        <f>$K$252*$V$252</f>
        <v>0</v>
      </c>
      <c r="AC252" s="6">
        <f>$M$252*$W$252</f>
        <v>0</v>
      </c>
      <c r="AD252" s="6">
        <f>$O$252*$X$252</f>
        <v>0</v>
      </c>
      <c r="AE252" s="6">
        <f>$K$252*$Y$252</f>
        <v>0</v>
      </c>
      <c r="AF252" s="6">
        <f ca="1">$M$252*$Z$252</f>
        <v>2229.1379882240503</v>
      </c>
      <c r="AG252" s="6">
        <f>$O$252*$AA$252</f>
        <v>1516.5739706877962</v>
      </c>
    </row>
    <row r="253" spans="1:33" ht="11.25" customHeight="1" x14ac:dyDescent="0.25">
      <c r="A253" s="4" t="s">
        <v>21</v>
      </c>
      <c r="B253" s="4" t="s">
        <v>32</v>
      </c>
      <c r="C253" s="4" t="s">
        <v>38</v>
      </c>
      <c r="D253" s="4" t="s">
        <v>43</v>
      </c>
      <c r="E253" s="4" t="s">
        <v>25</v>
      </c>
      <c r="F253" s="4" t="s">
        <v>25</v>
      </c>
      <c r="G253" s="4" t="s">
        <v>25</v>
      </c>
      <c r="H253" s="4" t="s">
        <v>37</v>
      </c>
      <c r="I253" s="5">
        <v>44562</v>
      </c>
      <c r="J253" s="6">
        <v>0</v>
      </c>
      <c r="K253" s="6">
        <v>0</v>
      </c>
      <c r="L253" s="6">
        <v>6.5960000000000001</v>
      </c>
      <c r="M253" s="6">
        <v>6.5960000000000001</v>
      </c>
      <c r="N253" s="6">
        <v>6.5960000000000001</v>
      </c>
      <c r="O253" s="6">
        <v>6.5960000000000001</v>
      </c>
      <c r="P253" s="6">
        <v>0</v>
      </c>
      <c r="Q253" s="4" t="s">
        <v>26</v>
      </c>
      <c r="R253" s="4">
        <v>0</v>
      </c>
      <c r="S253" s="6">
        <v>0</v>
      </c>
      <c r="T253" s="6">
        <v>45</v>
      </c>
      <c r="U253" s="6">
        <v>83</v>
      </c>
      <c r="V253" s="6">
        <f>IF(ISERROR(VLOOKUP($S$253,'TAR FIN'!$A$1:$O$88,15,0)),0,VLOOKUP($S$253,'TAR FIN'!$A$1:$O$88,15,0))</f>
        <v>0</v>
      </c>
      <c r="W253" s="6">
        <f>IF(ISERROR(VLOOKUP($T$253,'TAR FIN'!$A$1:$O$88,15,0)),0,VLOOKUP($T$253,'TAR FIN'!$A$1:$O$88,15,0))</f>
        <v>0</v>
      </c>
      <c r="X253" s="6">
        <f>IF(ISERROR(VLOOKUP($U$253,'TAR FIN'!$A$1:$O$88,15,0)),0,VLOOKUP($U$253,'TAR FIN'!$A$1:$O$88,15,0))</f>
        <v>0</v>
      </c>
      <c r="Y253" s="6"/>
      <c r="Z253" s="6">
        <f ca="1">('TUSD BE'!$AM$47+'TUSD BF'!$AM$47+'TUSD CVA'!$AM$47)*1</f>
        <v>403.09909371140151</v>
      </c>
      <c r="AA253" s="6">
        <f>('TE BE'!$AB$38+'TE BF'!$AB$38+'TE CVA'!$AB$38)*1</f>
        <v>274.24484099236821</v>
      </c>
      <c r="AB253" s="6">
        <f>$K$253*$V$253</f>
        <v>0</v>
      </c>
      <c r="AC253" s="6">
        <f>$M$253*$W$253</f>
        <v>0</v>
      </c>
      <c r="AD253" s="6">
        <f>$O$253*$X$253</f>
        <v>0</v>
      </c>
      <c r="AE253" s="6">
        <f>$K$253*$Y$253</f>
        <v>0</v>
      </c>
      <c r="AF253" s="6">
        <f ca="1">$M$253*$Z$253</f>
        <v>2658.8416221204043</v>
      </c>
      <c r="AG253" s="6">
        <f>$O$253*$AA$253</f>
        <v>1808.9189711856607</v>
      </c>
    </row>
    <row r="254" spans="1:33" ht="11.25" customHeight="1" x14ac:dyDescent="0.25">
      <c r="A254" s="4" t="s">
        <v>21</v>
      </c>
      <c r="B254" s="4" t="s">
        <v>32</v>
      </c>
      <c r="C254" s="4" t="s">
        <v>38</v>
      </c>
      <c r="D254" s="4" t="s">
        <v>43</v>
      </c>
      <c r="E254" s="4" t="s">
        <v>25</v>
      </c>
      <c r="F254" s="4" t="s">
        <v>25</v>
      </c>
      <c r="G254" s="4" t="s">
        <v>25</v>
      </c>
      <c r="H254" s="4" t="s">
        <v>37</v>
      </c>
      <c r="I254" s="5">
        <v>44593</v>
      </c>
      <c r="J254" s="6">
        <v>0</v>
      </c>
      <c r="K254" s="6">
        <v>0</v>
      </c>
      <c r="L254" s="6">
        <v>8.9149999999999991</v>
      </c>
      <c r="M254" s="6">
        <v>8.9149999999999991</v>
      </c>
      <c r="N254" s="6">
        <v>8.9149999999999991</v>
      </c>
      <c r="O254" s="6">
        <v>8.9149999999999991</v>
      </c>
      <c r="P254" s="6">
        <v>0</v>
      </c>
      <c r="Q254" s="4" t="s">
        <v>26</v>
      </c>
      <c r="R254" s="4">
        <v>0</v>
      </c>
      <c r="S254" s="6">
        <v>0</v>
      </c>
      <c r="T254" s="6">
        <v>45</v>
      </c>
      <c r="U254" s="6">
        <v>83</v>
      </c>
      <c r="V254" s="6">
        <f>IF(ISERROR(VLOOKUP($S$254,'TAR FIN'!$A$1:$O$88,15,0)),0,VLOOKUP($S$254,'TAR FIN'!$A$1:$O$88,15,0))</f>
        <v>0</v>
      </c>
      <c r="W254" s="6">
        <f>IF(ISERROR(VLOOKUP($T$254,'TAR FIN'!$A$1:$O$88,15,0)),0,VLOOKUP($T$254,'TAR FIN'!$A$1:$O$88,15,0))</f>
        <v>0</v>
      </c>
      <c r="X254" s="6">
        <f>IF(ISERROR(VLOOKUP($U$254,'TAR FIN'!$A$1:$O$88,15,0)),0,VLOOKUP($U$254,'TAR FIN'!$A$1:$O$88,15,0))</f>
        <v>0</v>
      </c>
      <c r="Y254" s="6"/>
      <c r="Z254" s="6">
        <f ca="1">('TUSD BE'!$AM$47+'TUSD BF'!$AM$47+'TUSD CVA'!$AM$47)*1</f>
        <v>403.09909371140151</v>
      </c>
      <c r="AA254" s="6">
        <f>('TE BE'!$AB$38+'TE BF'!$AB$38+'TE CVA'!$AB$38)*1</f>
        <v>274.24484099236821</v>
      </c>
      <c r="AB254" s="6">
        <f>$K$254*$V$254</f>
        <v>0</v>
      </c>
      <c r="AC254" s="6">
        <f>$M$254*$W$254</f>
        <v>0</v>
      </c>
      <c r="AD254" s="6">
        <f>$O$254*$X$254</f>
        <v>0</v>
      </c>
      <c r="AE254" s="6">
        <f>$K$254*$Y$254</f>
        <v>0</v>
      </c>
      <c r="AF254" s="6">
        <f ca="1">$M$254*$Z$254</f>
        <v>3593.6284204371441</v>
      </c>
      <c r="AG254" s="6">
        <f>$O$254*$AA$254</f>
        <v>2444.8927574469622</v>
      </c>
    </row>
    <row r="255" spans="1:33" ht="11.25" customHeight="1" x14ac:dyDescent="0.25">
      <c r="A255" s="4" t="s">
        <v>21</v>
      </c>
      <c r="B255" s="4" t="s">
        <v>32</v>
      </c>
      <c r="C255" s="4" t="s">
        <v>38</v>
      </c>
      <c r="D255" s="4" t="s">
        <v>43</v>
      </c>
      <c r="E255" s="4" t="s">
        <v>25</v>
      </c>
      <c r="F255" s="4" t="s">
        <v>25</v>
      </c>
      <c r="G255" s="4" t="s">
        <v>25</v>
      </c>
      <c r="H255" s="4" t="s">
        <v>37</v>
      </c>
      <c r="I255" s="5">
        <v>44621</v>
      </c>
      <c r="J255" s="6">
        <v>0</v>
      </c>
      <c r="K255" s="6">
        <v>0</v>
      </c>
      <c r="L255" s="6">
        <v>7.0819999999999999</v>
      </c>
      <c r="M255" s="6">
        <v>7.0819999999999999</v>
      </c>
      <c r="N255" s="6">
        <v>7.0819999999999999</v>
      </c>
      <c r="O255" s="6">
        <v>7.0819999999999999</v>
      </c>
      <c r="P255" s="6">
        <v>0</v>
      </c>
      <c r="Q255" s="4" t="s">
        <v>26</v>
      </c>
      <c r="R255" s="4">
        <v>0</v>
      </c>
      <c r="S255" s="6">
        <v>0</v>
      </c>
      <c r="T255" s="6">
        <v>45</v>
      </c>
      <c r="U255" s="6">
        <v>83</v>
      </c>
      <c r="V255" s="6">
        <f>IF(ISERROR(VLOOKUP($S$255,'TAR FIN'!$A$1:$O$88,15,0)),0,VLOOKUP($S$255,'TAR FIN'!$A$1:$O$88,15,0))</f>
        <v>0</v>
      </c>
      <c r="W255" s="6">
        <f>IF(ISERROR(VLOOKUP($T$255,'TAR FIN'!$A$1:$O$88,15,0)),0,VLOOKUP($T$255,'TAR FIN'!$A$1:$O$88,15,0))</f>
        <v>0</v>
      </c>
      <c r="X255" s="6">
        <f>IF(ISERROR(VLOOKUP($U$255,'TAR FIN'!$A$1:$O$88,15,0)),0,VLOOKUP($U$255,'TAR FIN'!$A$1:$O$88,15,0))</f>
        <v>0</v>
      </c>
      <c r="Y255" s="6"/>
      <c r="Z255" s="6">
        <f ca="1">('TUSD BE'!$AM$47+'TUSD BF'!$AM$47+'TUSD CVA'!$AM$47)*1</f>
        <v>403.09909371140151</v>
      </c>
      <c r="AA255" s="6">
        <f>('TE BE'!$AB$38+'TE BF'!$AB$38+'TE CVA'!$AB$38)*1</f>
        <v>274.24484099236821</v>
      </c>
      <c r="AB255" s="6">
        <f>$K$255*$V$255</f>
        <v>0</v>
      </c>
      <c r="AC255" s="6">
        <f>$M$255*$W$255</f>
        <v>0</v>
      </c>
      <c r="AD255" s="6">
        <f>$O$255*$X$255</f>
        <v>0</v>
      </c>
      <c r="AE255" s="6">
        <f>$K$255*$Y$255</f>
        <v>0</v>
      </c>
      <c r="AF255" s="6">
        <f ca="1">$M$255*$Z$255</f>
        <v>2854.7477816641454</v>
      </c>
      <c r="AG255" s="6">
        <f>$O$255*$AA$255</f>
        <v>1942.2019639079517</v>
      </c>
    </row>
    <row r="256" spans="1:33" ht="11.25" customHeight="1" x14ac:dyDescent="0.25">
      <c r="A256" s="4" t="s">
        <v>21</v>
      </c>
      <c r="B256" s="4" t="s">
        <v>32</v>
      </c>
      <c r="C256" s="4" t="s">
        <v>38</v>
      </c>
      <c r="D256" s="4" t="s">
        <v>43</v>
      </c>
      <c r="E256" s="4" t="s">
        <v>25</v>
      </c>
      <c r="F256" s="4" t="s">
        <v>25</v>
      </c>
      <c r="G256" s="4" t="s">
        <v>25</v>
      </c>
      <c r="H256" s="4" t="s">
        <v>37</v>
      </c>
      <c r="I256" s="5">
        <v>44652</v>
      </c>
      <c r="J256" s="6">
        <v>0</v>
      </c>
      <c r="K256" s="6">
        <v>0</v>
      </c>
      <c r="L256" s="6">
        <v>7.0330000000000004</v>
      </c>
      <c r="M256" s="6">
        <v>7.0330000000000004</v>
      </c>
      <c r="N256" s="6">
        <v>7.0330000000000004</v>
      </c>
      <c r="O256" s="6">
        <v>7.0330000000000004</v>
      </c>
      <c r="P256" s="6">
        <v>0</v>
      </c>
      <c r="Q256" s="4" t="s">
        <v>26</v>
      </c>
      <c r="R256" s="4">
        <v>0</v>
      </c>
      <c r="S256" s="6">
        <v>0</v>
      </c>
      <c r="T256" s="6">
        <v>45</v>
      </c>
      <c r="U256" s="6">
        <v>83</v>
      </c>
      <c r="V256" s="6">
        <f>IF(ISERROR(VLOOKUP($S$256,'TAR FIN'!$A$1:$O$88,15,0)),0,VLOOKUP($S$256,'TAR FIN'!$A$1:$O$88,15,0))</f>
        <v>0</v>
      </c>
      <c r="W256" s="6">
        <f>IF(ISERROR(VLOOKUP($T$256,'TAR FIN'!$A$1:$O$88,15,0)),0,VLOOKUP($T$256,'TAR FIN'!$A$1:$O$88,15,0))</f>
        <v>0</v>
      </c>
      <c r="X256" s="6">
        <f>IF(ISERROR(VLOOKUP($U$256,'TAR FIN'!$A$1:$O$88,15,0)),0,VLOOKUP($U$256,'TAR FIN'!$A$1:$O$88,15,0))</f>
        <v>0</v>
      </c>
      <c r="Y256" s="6"/>
      <c r="Z256" s="6">
        <f ca="1">('TUSD BE'!$AM$47+'TUSD BF'!$AM$47+'TUSD CVA'!$AM$47)*1</f>
        <v>403.09909371140151</v>
      </c>
      <c r="AA256" s="6">
        <f>('TE BE'!$AB$38+'TE BF'!$AB$38+'TE CVA'!$AB$38)*1</f>
        <v>274.24484099236821</v>
      </c>
      <c r="AB256" s="6">
        <f>$K$256*$V$256</f>
        <v>0</v>
      </c>
      <c r="AC256" s="6">
        <f>$M$256*$W$256</f>
        <v>0</v>
      </c>
      <c r="AD256" s="6">
        <f>$O$256*$X$256</f>
        <v>0</v>
      </c>
      <c r="AE256" s="6">
        <f>$K$256*$Y$256</f>
        <v>0</v>
      </c>
      <c r="AF256" s="6">
        <f ca="1">$M$256*$Z$256</f>
        <v>2834.9959260722871</v>
      </c>
      <c r="AG256" s="6">
        <f>$O$256*$AA$256</f>
        <v>1928.7639666993257</v>
      </c>
    </row>
    <row r="257" spans="1:33" ht="11.25" customHeight="1" x14ac:dyDescent="0.25">
      <c r="A257" s="4" t="s">
        <v>21</v>
      </c>
      <c r="B257" s="4" t="s">
        <v>32</v>
      </c>
      <c r="C257" s="4" t="s">
        <v>38</v>
      </c>
      <c r="D257" s="4" t="s">
        <v>43</v>
      </c>
      <c r="E257" s="4" t="s">
        <v>25</v>
      </c>
      <c r="F257" s="4" t="s">
        <v>25</v>
      </c>
      <c r="G257" s="4" t="s">
        <v>25</v>
      </c>
      <c r="H257" s="4" t="s">
        <v>37</v>
      </c>
      <c r="I257" s="5">
        <v>44682</v>
      </c>
      <c r="J257" s="6">
        <v>0</v>
      </c>
      <c r="K257" s="6">
        <v>0</v>
      </c>
      <c r="L257" s="6">
        <v>5.6379999999999999</v>
      </c>
      <c r="M257" s="6">
        <v>5.6379999999999999</v>
      </c>
      <c r="N257" s="6">
        <v>5.6379999999999999</v>
      </c>
      <c r="O257" s="6">
        <v>5.6379999999999999</v>
      </c>
      <c r="P257" s="6">
        <v>0</v>
      </c>
      <c r="Q257" s="4" t="s">
        <v>26</v>
      </c>
      <c r="R257" s="4">
        <v>0</v>
      </c>
      <c r="S257" s="6">
        <v>0</v>
      </c>
      <c r="T257" s="6">
        <v>45</v>
      </c>
      <c r="U257" s="6">
        <v>83</v>
      </c>
      <c r="V257" s="6">
        <f>IF(ISERROR(VLOOKUP($S$257,'TAR FIN'!$A$1:$O$88,15,0)),0,VLOOKUP($S$257,'TAR FIN'!$A$1:$O$88,15,0))</f>
        <v>0</v>
      </c>
      <c r="W257" s="6">
        <f>IF(ISERROR(VLOOKUP($T$257,'TAR FIN'!$A$1:$O$88,15,0)),0,VLOOKUP($T$257,'TAR FIN'!$A$1:$O$88,15,0))</f>
        <v>0</v>
      </c>
      <c r="X257" s="6">
        <f>IF(ISERROR(VLOOKUP($U$257,'TAR FIN'!$A$1:$O$88,15,0)),0,VLOOKUP($U$257,'TAR FIN'!$A$1:$O$88,15,0))</f>
        <v>0</v>
      </c>
      <c r="Y257" s="6"/>
      <c r="Z257" s="6">
        <f ca="1">('TUSD BE'!$AM$47+'TUSD BF'!$AM$47+'TUSD CVA'!$AM$47)*1</f>
        <v>403.09909371140151</v>
      </c>
      <c r="AA257" s="6">
        <f>('TE BE'!$AB$38+'TE BF'!$AB$38+'TE CVA'!$AB$38)*1</f>
        <v>274.24484099236821</v>
      </c>
      <c r="AB257" s="6">
        <f>$K$257*$V$257</f>
        <v>0</v>
      </c>
      <c r="AC257" s="6">
        <f>$M$257*$W$257</f>
        <v>0</v>
      </c>
      <c r="AD257" s="6">
        <f>$O$257*$X$257</f>
        <v>0</v>
      </c>
      <c r="AE257" s="6">
        <f>$K$257*$Y$257</f>
        <v>0</v>
      </c>
      <c r="AF257" s="6">
        <f ca="1">$M$257*$Z$257</f>
        <v>2272.6726903448816</v>
      </c>
      <c r="AG257" s="6">
        <f>$O$257*$AA$257</f>
        <v>1546.192413514972</v>
      </c>
    </row>
    <row r="258" spans="1:33" ht="11.25" customHeight="1" x14ac:dyDescent="0.25">
      <c r="A258" s="4" t="s">
        <v>21</v>
      </c>
      <c r="B258" s="4" t="s">
        <v>32</v>
      </c>
      <c r="C258" s="4" t="s">
        <v>38</v>
      </c>
      <c r="D258" s="4" t="s">
        <v>43</v>
      </c>
      <c r="E258" s="4" t="s">
        <v>25</v>
      </c>
      <c r="F258" s="4" t="s">
        <v>25</v>
      </c>
      <c r="G258" s="4" t="s">
        <v>25</v>
      </c>
      <c r="H258" s="4" t="s">
        <v>37</v>
      </c>
      <c r="I258" s="5">
        <v>44713</v>
      </c>
      <c r="J258" s="6">
        <v>0</v>
      </c>
      <c r="K258" s="6">
        <v>0</v>
      </c>
      <c r="L258" s="6">
        <v>4.3520000000000003</v>
      </c>
      <c r="M258" s="6">
        <v>4.3520000000000003</v>
      </c>
      <c r="N258" s="6">
        <v>4.3520000000000003</v>
      </c>
      <c r="O258" s="6">
        <v>4.3520000000000003</v>
      </c>
      <c r="P258" s="6">
        <v>0</v>
      </c>
      <c r="Q258" s="4" t="s">
        <v>26</v>
      </c>
      <c r="R258" s="4">
        <v>0</v>
      </c>
      <c r="S258" s="6">
        <v>0</v>
      </c>
      <c r="T258" s="6">
        <v>45</v>
      </c>
      <c r="U258" s="6">
        <v>83</v>
      </c>
      <c r="V258" s="6">
        <f>IF(ISERROR(VLOOKUP($S$258,'TAR FIN'!$A$1:$O$88,15,0)),0,VLOOKUP($S$258,'TAR FIN'!$A$1:$O$88,15,0))</f>
        <v>0</v>
      </c>
      <c r="W258" s="6">
        <f>IF(ISERROR(VLOOKUP($T$258,'TAR FIN'!$A$1:$O$88,15,0)),0,VLOOKUP($T$258,'TAR FIN'!$A$1:$O$88,15,0))</f>
        <v>0</v>
      </c>
      <c r="X258" s="6">
        <f>IF(ISERROR(VLOOKUP($U$258,'TAR FIN'!$A$1:$O$88,15,0)),0,VLOOKUP($U$258,'TAR FIN'!$A$1:$O$88,15,0))</f>
        <v>0</v>
      </c>
      <c r="Y258" s="6"/>
      <c r="Z258" s="6">
        <f ca="1">('TUSD BE'!$AM$47+'TUSD BF'!$AM$47+'TUSD CVA'!$AM$47)*1</f>
        <v>403.09909371140151</v>
      </c>
      <c r="AA258" s="6">
        <f>('TE BE'!$AB$38+'TE BF'!$AB$38+'TE CVA'!$AB$38)*1</f>
        <v>274.24484099236821</v>
      </c>
      <c r="AB258" s="6">
        <f>$K$258*$V$258</f>
        <v>0</v>
      </c>
      <c r="AC258" s="6">
        <f>$M$258*$W$258</f>
        <v>0</v>
      </c>
      <c r="AD258" s="6">
        <f>$O$258*$X$258</f>
        <v>0</v>
      </c>
      <c r="AE258" s="6">
        <f>$K$258*$Y$258</f>
        <v>0</v>
      </c>
      <c r="AF258" s="6">
        <f ca="1">$M$258*$Z$258</f>
        <v>1754.2872558320196</v>
      </c>
      <c r="AG258" s="6">
        <f>$O$258*$AA$258</f>
        <v>1193.5135479987866</v>
      </c>
    </row>
    <row r="259" spans="1:33" ht="11.25" customHeight="1" x14ac:dyDescent="0.25">
      <c r="A259" s="4" t="s">
        <v>21</v>
      </c>
      <c r="B259" s="4" t="s">
        <v>32</v>
      </c>
      <c r="C259" s="4" t="s">
        <v>38</v>
      </c>
      <c r="D259" s="4" t="s">
        <v>43</v>
      </c>
      <c r="E259" s="4" t="s">
        <v>25</v>
      </c>
      <c r="F259" s="4" t="s">
        <v>25</v>
      </c>
      <c r="G259" s="4" t="s">
        <v>25</v>
      </c>
      <c r="H259" s="4" t="s">
        <v>37</v>
      </c>
      <c r="I259" s="5">
        <v>44743</v>
      </c>
      <c r="J259" s="6">
        <v>0</v>
      </c>
      <c r="K259" s="6">
        <v>0</v>
      </c>
      <c r="L259" s="6">
        <v>3.7970000000000002</v>
      </c>
      <c r="M259" s="6">
        <v>3.7970000000000002</v>
      </c>
      <c r="N259" s="6">
        <v>3.7970000000000002</v>
      </c>
      <c r="O259" s="6">
        <v>3.7970000000000002</v>
      </c>
      <c r="P259" s="6">
        <v>0</v>
      </c>
      <c r="Q259" s="4" t="s">
        <v>26</v>
      </c>
      <c r="R259" s="4">
        <v>0</v>
      </c>
      <c r="S259" s="6">
        <v>0</v>
      </c>
      <c r="T259" s="6">
        <v>45</v>
      </c>
      <c r="U259" s="6">
        <v>83</v>
      </c>
      <c r="V259" s="6">
        <f>IF(ISERROR(VLOOKUP($S$259,'TAR FIN'!$A$1:$O$88,15,0)),0,VLOOKUP($S$259,'TAR FIN'!$A$1:$O$88,15,0))</f>
        <v>0</v>
      </c>
      <c r="W259" s="6">
        <f>IF(ISERROR(VLOOKUP($T$259,'TAR FIN'!$A$1:$O$88,15,0)),0,VLOOKUP($T$259,'TAR FIN'!$A$1:$O$88,15,0))</f>
        <v>0</v>
      </c>
      <c r="X259" s="6">
        <f>IF(ISERROR(VLOOKUP($U$259,'TAR FIN'!$A$1:$O$88,15,0)),0,VLOOKUP($U$259,'TAR FIN'!$A$1:$O$88,15,0))</f>
        <v>0</v>
      </c>
      <c r="Y259" s="6"/>
      <c r="Z259" s="6">
        <f ca="1">('TUSD BE'!$AM$47+'TUSD BF'!$AM$47+'TUSD CVA'!$AM$47)*1</f>
        <v>403.09909371140151</v>
      </c>
      <c r="AA259" s="6">
        <f>('TE BE'!$AB$38+'TE BF'!$AB$38+'TE CVA'!$AB$38)*1</f>
        <v>274.24484099236821</v>
      </c>
      <c r="AB259" s="6">
        <f>$K$259*$V$259</f>
        <v>0</v>
      </c>
      <c r="AC259" s="6">
        <f>$M$259*$W$259</f>
        <v>0</v>
      </c>
      <c r="AD259" s="6">
        <f>$O$259*$X$259</f>
        <v>0</v>
      </c>
      <c r="AE259" s="6">
        <f>$K$259*$Y$259</f>
        <v>0</v>
      </c>
      <c r="AF259" s="6">
        <f ca="1">$M$259*$Z$259</f>
        <v>1530.5672588221917</v>
      </c>
      <c r="AG259" s="6">
        <f>$O$259*$AA$259</f>
        <v>1041.3076612480222</v>
      </c>
    </row>
    <row r="260" spans="1:33" ht="11.25" customHeight="1" x14ac:dyDescent="0.25">
      <c r="A260" s="4" t="s">
        <v>21</v>
      </c>
      <c r="B260" s="4" t="s">
        <v>32</v>
      </c>
      <c r="C260" s="4" t="s">
        <v>38</v>
      </c>
      <c r="D260" s="4" t="s">
        <v>43</v>
      </c>
      <c r="E260" s="4" t="s">
        <v>25</v>
      </c>
      <c r="F260" s="4" t="s">
        <v>25</v>
      </c>
      <c r="G260" s="4" t="s">
        <v>25</v>
      </c>
      <c r="H260" s="4" t="s">
        <v>39</v>
      </c>
      <c r="I260" s="5">
        <v>44409</v>
      </c>
      <c r="J260" s="6">
        <v>0</v>
      </c>
      <c r="K260" s="6">
        <v>0</v>
      </c>
      <c r="L260" s="6">
        <v>0.29099999999999998</v>
      </c>
      <c r="M260" s="6">
        <v>0.29099999999999998</v>
      </c>
      <c r="N260" s="6">
        <v>0.29099999999999998</v>
      </c>
      <c r="O260" s="6">
        <v>0.29099999999999998</v>
      </c>
      <c r="P260" s="6">
        <v>0</v>
      </c>
      <c r="Q260" s="4" t="s">
        <v>26</v>
      </c>
      <c r="R260" s="4">
        <v>0</v>
      </c>
      <c r="S260" s="6">
        <v>0</v>
      </c>
      <c r="T260" s="6">
        <v>44</v>
      </c>
      <c r="U260" s="6">
        <v>82</v>
      </c>
      <c r="V260" s="6">
        <f>IF(ISERROR(VLOOKUP($S$260,'TAR FIN'!$A$1:$O$88,15,0)),0,VLOOKUP($S$260,'TAR FIN'!$A$1:$O$88,15,0))</f>
        <v>0</v>
      </c>
      <c r="W260" s="6">
        <f>IF(ISERROR(VLOOKUP($T$260,'TAR FIN'!$A$1:$O$88,15,0)),0,VLOOKUP($T$260,'TAR FIN'!$A$1:$O$88,15,0))</f>
        <v>0</v>
      </c>
      <c r="X260" s="6">
        <f>IF(ISERROR(VLOOKUP($U$260,'TAR FIN'!$A$1:$O$88,15,0)),0,VLOOKUP($U$260,'TAR FIN'!$A$1:$O$88,15,0))</f>
        <v>0</v>
      </c>
      <c r="Y260" s="6"/>
      <c r="Z260" s="6">
        <f ca="1">('TUSD BE'!$AM$46+'TUSD BF'!$AM$46+'TUSD CVA'!$AM$46)*1</f>
        <v>915.41577072839698</v>
      </c>
      <c r="AA260" s="6">
        <f>('TE BE'!$AB$37+'TE BF'!$AB$37+'TE CVA'!$AB$37)*1</f>
        <v>274.24484099236821</v>
      </c>
      <c r="AB260" s="6">
        <f>$K$260*$V$260</f>
        <v>0</v>
      </c>
      <c r="AC260" s="6">
        <f>$M$260*$W$260</f>
        <v>0</v>
      </c>
      <c r="AD260" s="6">
        <f>$O$260*$X$260</f>
        <v>0</v>
      </c>
      <c r="AE260" s="6">
        <f>$K$260*$Y$260</f>
        <v>0</v>
      </c>
      <c r="AF260" s="6">
        <f ca="1">$M$260*$Z$260</f>
        <v>266.38598928196348</v>
      </c>
      <c r="AG260" s="6">
        <f>$O$260*$AA$260</f>
        <v>79.805248728779148</v>
      </c>
    </row>
    <row r="261" spans="1:33" ht="11.25" customHeight="1" x14ac:dyDescent="0.25">
      <c r="A261" s="4" t="s">
        <v>21</v>
      </c>
      <c r="B261" s="4" t="s">
        <v>32</v>
      </c>
      <c r="C261" s="4" t="s">
        <v>38</v>
      </c>
      <c r="D261" s="4" t="s">
        <v>43</v>
      </c>
      <c r="E261" s="4" t="s">
        <v>25</v>
      </c>
      <c r="F261" s="4" t="s">
        <v>25</v>
      </c>
      <c r="G261" s="4" t="s">
        <v>25</v>
      </c>
      <c r="H261" s="4" t="s">
        <v>39</v>
      </c>
      <c r="I261" s="5">
        <v>44440</v>
      </c>
      <c r="J261" s="6">
        <v>0</v>
      </c>
      <c r="K261" s="6">
        <v>0</v>
      </c>
      <c r="L261" s="6">
        <v>0.27700000000000002</v>
      </c>
      <c r="M261" s="6">
        <v>0.27700000000000002</v>
      </c>
      <c r="N261" s="6">
        <v>0.27700000000000002</v>
      </c>
      <c r="O261" s="6">
        <v>0.27700000000000002</v>
      </c>
      <c r="P261" s="6">
        <v>0</v>
      </c>
      <c r="Q261" s="4" t="s">
        <v>26</v>
      </c>
      <c r="R261" s="4">
        <v>0</v>
      </c>
      <c r="S261" s="6">
        <v>0</v>
      </c>
      <c r="T261" s="6">
        <v>44</v>
      </c>
      <c r="U261" s="6">
        <v>82</v>
      </c>
      <c r="V261" s="6">
        <f>IF(ISERROR(VLOOKUP($S$261,'TAR FIN'!$A$1:$O$88,15,0)),0,VLOOKUP($S$261,'TAR FIN'!$A$1:$O$88,15,0))</f>
        <v>0</v>
      </c>
      <c r="W261" s="6">
        <f>IF(ISERROR(VLOOKUP($T$261,'TAR FIN'!$A$1:$O$88,15,0)),0,VLOOKUP($T$261,'TAR FIN'!$A$1:$O$88,15,0))</f>
        <v>0</v>
      </c>
      <c r="X261" s="6">
        <f>IF(ISERROR(VLOOKUP($U$261,'TAR FIN'!$A$1:$O$88,15,0)),0,VLOOKUP($U$261,'TAR FIN'!$A$1:$O$88,15,0))</f>
        <v>0</v>
      </c>
      <c r="Y261" s="6"/>
      <c r="Z261" s="6">
        <f ca="1">('TUSD BE'!$AM$46+'TUSD BF'!$AM$46+'TUSD CVA'!$AM$46)*1</f>
        <v>915.41577072839698</v>
      </c>
      <c r="AA261" s="6">
        <f>('TE BE'!$AB$37+'TE BF'!$AB$37+'TE CVA'!$AB$37)*1</f>
        <v>274.24484099236821</v>
      </c>
      <c r="AB261" s="6">
        <f>$K$261*$V$261</f>
        <v>0</v>
      </c>
      <c r="AC261" s="6">
        <f>$M$261*$W$261</f>
        <v>0</v>
      </c>
      <c r="AD261" s="6">
        <f>$O$261*$X$261</f>
        <v>0</v>
      </c>
      <c r="AE261" s="6">
        <f>$K$261*$Y$261</f>
        <v>0</v>
      </c>
      <c r="AF261" s="6">
        <f ca="1">$M$261*$Z$261</f>
        <v>253.570168491766</v>
      </c>
      <c r="AG261" s="6">
        <f>$O$261*$AA$261</f>
        <v>75.965820954885999</v>
      </c>
    </row>
    <row r="262" spans="1:33" ht="11.25" customHeight="1" x14ac:dyDescent="0.25">
      <c r="A262" s="4" t="s">
        <v>21</v>
      </c>
      <c r="B262" s="4" t="s">
        <v>32</v>
      </c>
      <c r="C262" s="4" t="s">
        <v>38</v>
      </c>
      <c r="D262" s="4" t="s">
        <v>43</v>
      </c>
      <c r="E262" s="4" t="s">
        <v>25</v>
      </c>
      <c r="F262" s="4" t="s">
        <v>25</v>
      </c>
      <c r="G262" s="4" t="s">
        <v>25</v>
      </c>
      <c r="H262" s="4" t="s">
        <v>39</v>
      </c>
      <c r="I262" s="5">
        <v>44470</v>
      </c>
      <c r="J262" s="6">
        <v>0</v>
      </c>
      <c r="K262" s="6">
        <v>0</v>
      </c>
      <c r="L262" s="6">
        <v>0.24399999999999999</v>
      </c>
      <c r="M262" s="6">
        <v>0.24399999999999999</v>
      </c>
      <c r="N262" s="6">
        <v>0.24399999999999999</v>
      </c>
      <c r="O262" s="6">
        <v>0.24399999999999999</v>
      </c>
      <c r="P262" s="6">
        <v>0</v>
      </c>
      <c r="Q262" s="4" t="s">
        <v>26</v>
      </c>
      <c r="R262" s="4">
        <v>0</v>
      </c>
      <c r="S262" s="6">
        <v>0</v>
      </c>
      <c r="T262" s="6">
        <v>44</v>
      </c>
      <c r="U262" s="6">
        <v>82</v>
      </c>
      <c r="V262" s="6">
        <f>IF(ISERROR(VLOOKUP($S$262,'TAR FIN'!$A$1:$O$88,15,0)),0,VLOOKUP($S$262,'TAR FIN'!$A$1:$O$88,15,0))</f>
        <v>0</v>
      </c>
      <c r="W262" s="6">
        <f>IF(ISERROR(VLOOKUP($T$262,'TAR FIN'!$A$1:$O$88,15,0)),0,VLOOKUP($T$262,'TAR FIN'!$A$1:$O$88,15,0))</f>
        <v>0</v>
      </c>
      <c r="X262" s="6">
        <f>IF(ISERROR(VLOOKUP($U$262,'TAR FIN'!$A$1:$O$88,15,0)),0,VLOOKUP($U$262,'TAR FIN'!$A$1:$O$88,15,0))</f>
        <v>0</v>
      </c>
      <c r="Y262" s="6"/>
      <c r="Z262" s="6">
        <f ca="1">('TUSD BE'!$AM$46+'TUSD BF'!$AM$46+'TUSD CVA'!$AM$46)*1</f>
        <v>915.41577072839698</v>
      </c>
      <c r="AA262" s="6">
        <f>('TE BE'!$AB$37+'TE BF'!$AB$37+'TE CVA'!$AB$37)*1</f>
        <v>274.24484099236821</v>
      </c>
      <c r="AB262" s="6">
        <f>$K$262*$V$262</f>
        <v>0</v>
      </c>
      <c r="AC262" s="6">
        <f>$M$262*$W$262</f>
        <v>0</v>
      </c>
      <c r="AD262" s="6">
        <f>$O$262*$X$262</f>
        <v>0</v>
      </c>
      <c r="AE262" s="6">
        <f>$K$262*$Y$262</f>
        <v>0</v>
      </c>
      <c r="AF262" s="6">
        <f ca="1">$M$262*$Z$262</f>
        <v>223.36144805772886</v>
      </c>
      <c r="AG262" s="6">
        <f>$O$262*$AA$262</f>
        <v>66.915741202137838</v>
      </c>
    </row>
    <row r="263" spans="1:33" ht="11.25" customHeight="1" x14ac:dyDescent="0.25">
      <c r="A263" s="4" t="s">
        <v>21</v>
      </c>
      <c r="B263" s="4" t="s">
        <v>32</v>
      </c>
      <c r="C263" s="4" t="s">
        <v>38</v>
      </c>
      <c r="D263" s="4" t="s">
        <v>43</v>
      </c>
      <c r="E263" s="4" t="s">
        <v>25</v>
      </c>
      <c r="F263" s="4" t="s">
        <v>25</v>
      </c>
      <c r="G263" s="4" t="s">
        <v>25</v>
      </c>
      <c r="H263" s="4" t="s">
        <v>39</v>
      </c>
      <c r="I263" s="5">
        <v>44501</v>
      </c>
      <c r="J263" s="6">
        <v>0</v>
      </c>
      <c r="K263" s="6">
        <v>0</v>
      </c>
      <c r="L263" s="6">
        <v>0.24399999999999999</v>
      </c>
      <c r="M263" s="6">
        <v>0.24399999999999999</v>
      </c>
      <c r="N263" s="6">
        <v>0.24399999999999999</v>
      </c>
      <c r="O263" s="6">
        <v>0.24399999999999999</v>
      </c>
      <c r="P263" s="6">
        <v>0</v>
      </c>
      <c r="Q263" s="4" t="s">
        <v>26</v>
      </c>
      <c r="R263" s="4">
        <v>0</v>
      </c>
      <c r="S263" s="6">
        <v>0</v>
      </c>
      <c r="T263" s="6">
        <v>44</v>
      </c>
      <c r="U263" s="6">
        <v>82</v>
      </c>
      <c r="V263" s="6">
        <f>IF(ISERROR(VLOOKUP($S$263,'TAR FIN'!$A$1:$O$88,15,0)),0,VLOOKUP($S$263,'TAR FIN'!$A$1:$O$88,15,0))</f>
        <v>0</v>
      </c>
      <c r="W263" s="6">
        <f>IF(ISERROR(VLOOKUP($T$263,'TAR FIN'!$A$1:$O$88,15,0)),0,VLOOKUP($T$263,'TAR FIN'!$A$1:$O$88,15,0))</f>
        <v>0</v>
      </c>
      <c r="X263" s="6">
        <f>IF(ISERROR(VLOOKUP($U$263,'TAR FIN'!$A$1:$O$88,15,0)),0,VLOOKUP($U$263,'TAR FIN'!$A$1:$O$88,15,0))</f>
        <v>0</v>
      </c>
      <c r="Y263" s="6"/>
      <c r="Z263" s="6">
        <f ca="1">('TUSD BE'!$AM$46+'TUSD BF'!$AM$46+'TUSD CVA'!$AM$46)*1</f>
        <v>915.41577072839698</v>
      </c>
      <c r="AA263" s="6">
        <f>('TE BE'!$AB$37+'TE BF'!$AB$37+'TE CVA'!$AB$37)*1</f>
        <v>274.24484099236821</v>
      </c>
      <c r="AB263" s="6">
        <f>$K$263*$V$263</f>
        <v>0</v>
      </c>
      <c r="AC263" s="6">
        <f>$M$263*$W$263</f>
        <v>0</v>
      </c>
      <c r="AD263" s="6">
        <f>$O$263*$X$263</f>
        <v>0</v>
      </c>
      <c r="AE263" s="6">
        <f>$K$263*$Y$263</f>
        <v>0</v>
      </c>
      <c r="AF263" s="6">
        <f ca="1">$M$263*$Z$263</f>
        <v>223.36144805772886</v>
      </c>
      <c r="AG263" s="6">
        <f>$O$263*$AA$263</f>
        <v>66.915741202137838</v>
      </c>
    </row>
    <row r="264" spans="1:33" ht="11.25" customHeight="1" x14ac:dyDescent="0.25">
      <c r="A264" s="4" t="s">
        <v>21</v>
      </c>
      <c r="B264" s="4" t="s">
        <v>32</v>
      </c>
      <c r="C264" s="4" t="s">
        <v>38</v>
      </c>
      <c r="D264" s="4" t="s">
        <v>43</v>
      </c>
      <c r="E264" s="4" t="s">
        <v>25</v>
      </c>
      <c r="F264" s="4" t="s">
        <v>25</v>
      </c>
      <c r="G264" s="4" t="s">
        <v>25</v>
      </c>
      <c r="H264" s="4" t="s">
        <v>39</v>
      </c>
      <c r="I264" s="5">
        <v>44531</v>
      </c>
      <c r="J264" s="6">
        <v>0</v>
      </c>
      <c r="K264" s="6">
        <v>0</v>
      </c>
      <c r="L264" s="6">
        <v>0.34499999999999997</v>
      </c>
      <c r="M264" s="6">
        <v>0.34499999999999997</v>
      </c>
      <c r="N264" s="6">
        <v>0.34499999999999997</v>
      </c>
      <c r="O264" s="6">
        <v>0.34499999999999997</v>
      </c>
      <c r="P264" s="6">
        <v>0</v>
      </c>
      <c r="Q264" s="4" t="s">
        <v>26</v>
      </c>
      <c r="R264" s="4">
        <v>0</v>
      </c>
      <c r="S264" s="6">
        <v>0</v>
      </c>
      <c r="T264" s="6">
        <v>44</v>
      </c>
      <c r="U264" s="6">
        <v>82</v>
      </c>
      <c r="V264" s="6">
        <f>IF(ISERROR(VLOOKUP($S$264,'TAR FIN'!$A$1:$O$88,15,0)),0,VLOOKUP($S$264,'TAR FIN'!$A$1:$O$88,15,0))</f>
        <v>0</v>
      </c>
      <c r="W264" s="6">
        <f>IF(ISERROR(VLOOKUP($T$264,'TAR FIN'!$A$1:$O$88,15,0)),0,VLOOKUP($T$264,'TAR FIN'!$A$1:$O$88,15,0))</f>
        <v>0</v>
      </c>
      <c r="X264" s="6">
        <f>IF(ISERROR(VLOOKUP($U$264,'TAR FIN'!$A$1:$O$88,15,0)),0,VLOOKUP($U$264,'TAR FIN'!$A$1:$O$88,15,0))</f>
        <v>0</v>
      </c>
      <c r="Y264" s="6"/>
      <c r="Z264" s="6">
        <f ca="1">('TUSD BE'!$AM$46+'TUSD BF'!$AM$46+'TUSD CVA'!$AM$46)*1</f>
        <v>915.41577072839698</v>
      </c>
      <c r="AA264" s="6">
        <f>('TE BE'!$AB$37+'TE BF'!$AB$37+'TE CVA'!$AB$37)*1</f>
        <v>274.24484099236821</v>
      </c>
      <c r="AB264" s="6">
        <f>$K$264*$V$264</f>
        <v>0</v>
      </c>
      <c r="AC264" s="6">
        <f>$M$264*$W$264</f>
        <v>0</v>
      </c>
      <c r="AD264" s="6">
        <f>$O$264*$X$264</f>
        <v>0</v>
      </c>
      <c r="AE264" s="6">
        <f>$K$264*$Y$264</f>
        <v>0</v>
      </c>
      <c r="AF264" s="6">
        <f ca="1">$M$264*$Z$264</f>
        <v>315.81844090129692</v>
      </c>
      <c r="AG264" s="6">
        <f>$O$264*$AA$264</f>
        <v>94.614470142367026</v>
      </c>
    </row>
    <row r="265" spans="1:33" ht="11.25" customHeight="1" x14ac:dyDescent="0.25">
      <c r="A265" s="4" t="s">
        <v>21</v>
      </c>
      <c r="B265" s="4" t="s">
        <v>32</v>
      </c>
      <c r="C265" s="4" t="s">
        <v>38</v>
      </c>
      <c r="D265" s="4" t="s">
        <v>43</v>
      </c>
      <c r="E265" s="4" t="s">
        <v>25</v>
      </c>
      <c r="F265" s="4" t="s">
        <v>25</v>
      </c>
      <c r="G265" s="4" t="s">
        <v>25</v>
      </c>
      <c r="H265" s="4" t="s">
        <v>39</v>
      </c>
      <c r="I265" s="5">
        <v>44562</v>
      </c>
      <c r="J265" s="6">
        <v>0</v>
      </c>
      <c r="K265" s="6">
        <v>0</v>
      </c>
      <c r="L265" s="6">
        <v>0.44700000000000001</v>
      </c>
      <c r="M265" s="6">
        <v>0.44700000000000001</v>
      </c>
      <c r="N265" s="6">
        <v>0.44700000000000001</v>
      </c>
      <c r="O265" s="6">
        <v>0.44700000000000001</v>
      </c>
      <c r="P265" s="6">
        <v>0</v>
      </c>
      <c r="Q265" s="4" t="s">
        <v>26</v>
      </c>
      <c r="R265" s="4">
        <v>0</v>
      </c>
      <c r="S265" s="6">
        <v>0</v>
      </c>
      <c r="T265" s="6">
        <v>44</v>
      </c>
      <c r="U265" s="6">
        <v>82</v>
      </c>
      <c r="V265" s="6">
        <f>IF(ISERROR(VLOOKUP($S$265,'TAR FIN'!$A$1:$O$88,15,0)),0,VLOOKUP($S$265,'TAR FIN'!$A$1:$O$88,15,0))</f>
        <v>0</v>
      </c>
      <c r="W265" s="6">
        <f>IF(ISERROR(VLOOKUP($T$265,'TAR FIN'!$A$1:$O$88,15,0)),0,VLOOKUP($T$265,'TAR FIN'!$A$1:$O$88,15,0))</f>
        <v>0</v>
      </c>
      <c r="X265" s="6">
        <f>IF(ISERROR(VLOOKUP($U$265,'TAR FIN'!$A$1:$O$88,15,0)),0,VLOOKUP($U$265,'TAR FIN'!$A$1:$O$88,15,0))</f>
        <v>0</v>
      </c>
      <c r="Y265" s="6"/>
      <c r="Z265" s="6">
        <f ca="1">('TUSD BE'!$AM$46+'TUSD BF'!$AM$46+'TUSD CVA'!$AM$46)*1</f>
        <v>915.41577072839698</v>
      </c>
      <c r="AA265" s="6">
        <f>('TE BE'!$AB$37+'TE BF'!$AB$37+'TE CVA'!$AB$37)*1</f>
        <v>274.24484099236821</v>
      </c>
      <c r="AB265" s="6">
        <f>$K$265*$V$265</f>
        <v>0</v>
      </c>
      <c r="AC265" s="6">
        <f>$M$265*$W$265</f>
        <v>0</v>
      </c>
      <c r="AD265" s="6">
        <f>$O$265*$X$265</f>
        <v>0</v>
      </c>
      <c r="AE265" s="6">
        <f>$K$265*$Y$265</f>
        <v>0</v>
      </c>
      <c r="AF265" s="6">
        <f ca="1">$M$265*$Z$265</f>
        <v>409.19084951559347</v>
      </c>
      <c r="AG265" s="6">
        <f>$O$265*$AA$265</f>
        <v>122.58744392358859</v>
      </c>
    </row>
    <row r="266" spans="1:33" ht="11.25" customHeight="1" x14ac:dyDescent="0.25">
      <c r="A266" s="4" t="s">
        <v>21</v>
      </c>
      <c r="B266" s="4" t="s">
        <v>32</v>
      </c>
      <c r="C266" s="4" t="s">
        <v>38</v>
      </c>
      <c r="D266" s="4" t="s">
        <v>43</v>
      </c>
      <c r="E266" s="4" t="s">
        <v>25</v>
      </c>
      <c r="F266" s="4" t="s">
        <v>25</v>
      </c>
      <c r="G266" s="4" t="s">
        <v>25</v>
      </c>
      <c r="H266" s="4" t="s">
        <v>39</v>
      </c>
      <c r="I266" s="5">
        <v>44593</v>
      </c>
      <c r="J266" s="6">
        <v>0</v>
      </c>
      <c r="K266" s="6">
        <v>0</v>
      </c>
      <c r="L266" s="6">
        <v>0.55300000000000005</v>
      </c>
      <c r="M266" s="6">
        <v>0.55300000000000005</v>
      </c>
      <c r="N266" s="6">
        <v>0.55300000000000005</v>
      </c>
      <c r="O266" s="6">
        <v>0.55300000000000005</v>
      </c>
      <c r="P266" s="6">
        <v>0</v>
      </c>
      <c r="Q266" s="4" t="s">
        <v>26</v>
      </c>
      <c r="R266" s="4">
        <v>0</v>
      </c>
      <c r="S266" s="6">
        <v>0</v>
      </c>
      <c r="T266" s="6">
        <v>44</v>
      </c>
      <c r="U266" s="6">
        <v>82</v>
      </c>
      <c r="V266" s="6">
        <f>IF(ISERROR(VLOOKUP($S$266,'TAR FIN'!$A$1:$O$88,15,0)),0,VLOOKUP($S$266,'TAR FIN'!$A$1:$O$88,15,0))</f>
        <v>0</v>
      </c>
      <c r="W266" s="6">
        <f>IF(ISERROR(VLOOKUP($T$266,'TAR FIN'!$A$1:$O$88,15,0)),0,VLOOKUP($T$266,'TAR FIN'!$A$1:$O$88,15,0))</f>
        <v>0</v>
      </c>
      <c r="X266" s="6">
        <f>IF(ISERROR(VLOOKUP($U$266,'TAR FIN'!$A$1:$O$88,15,0)),0,VLOOKUP($U$266,'TAR FIN'!$A$1:$O$88,15,0))</f>
        <v>0</v>
      </c>
      <c r="Y266" s="6"/>
      <c r="Z266" s="6">
        <f ca="1">('TUSD BE'!$AM$46+'TUSD BF'!$AM$46+'TUSD CVA'!$AM$46)*1</f>
        <v>915.41577072839698</v>
      </c>
      <c r="AA266" s="6">
        <f>('TE BE'!$AB$37+'TE BF'!$AB$37+'TE CVA'!$AB$37)*1</f>
        <v>274.24484099236821</v>
      </c>
      <c r="AB266" s="6">
        <f>$K$266*$V$266</f>
        <v>0</v>
      </c>
      <c r="AC266" s="6">
        <f>$M$266*$W$266</f>
        <v>0</v>
      </c>
      <c r="AD266" s="6">
        <f>$O$266*$X$266</f>
        <v>0</v>
      </c>
      <c r="AE266" s="6">
        <f>$K$266*$Y$266</f>
        <v>0</v>
      </c>
      <c r="AF266" s="6">
        <f ca="1">$M$266*$Z$266</f>
        <v>506.22492121280357</v>
      </c>
      <c r="AG266" s="6">
        <f>$O$266*$AA$266</f>
        <v>151.65739706877963</v>
      </c>
    </row>
    <row r="267" spans="1:33" ht="11.25" customHeight="1" x14ac:dyDescent="0.25">
      <c r="A267" s="4" t="s">
        <v>21</v>
      </c>
      <c r="B267" s="4" t="s">
        <v>32</v>
      </c>
      <c r="C267" s="4" t="s">
        <v>38</v>
      </c>
      <c r="D267" s="4" t="s">
        <v>43</v>
      </c>
      <c r="E267" s="4" t="s">
        <v>25</v>
      </c>
      <c r="F267" s="4" t="s">
        <v>25</v>
      </c>
      <c r="G267" s="4" t="s">
        <v>25</v>
      </c>
      <c r="H267" s="4" t="s">
        <v>39</v>
      </c>
      <c r="I267" s="5">
        <v>44621</v>
      </c>
      <c r="J267" s="6">
        <v>0</v>
      </c>
      <c r="K267" s="6">
        <v>0</v>
      </c>
      <c r="L267" s="6">
        <v>0.23799999999999999</v>
      </c>
      <c r="M267" s="6">
        <v>0.23799999999999999</v>
      </c>
      <c r="N267" s="6">
        <v>0.23799999999999999</v>
      </c>
      <c r="O267" s="6">
        <v>0.23799999999999999</v>
      </c>
      <c r="P267" s="6">
        <v>0</v>
      </c>
      <c r="Q267" s="4" t="s">
        <v>26</v>
      </c>
      <c r="R267" s="4">
        <v>0</v>
      </c>
      <c r="S267" s="6">
        <v>0</v>
      </c>
      <c r="T267" s="6">
        <v>44</v>
      </c>
      <c r="U267" s="6">
        <v>82</v>
      </c>
      <c r="V267" s="6">
        <f>IF(ISERROR(VLOOKUP($S$267,'TAR FIN'!$A$1:$O$88,15,0)),0,VLOOKUP($S$267,'TAR FIN'!$A$1:$O$88,15,0))</f>
        <v>0</v>
      </c>
      <c r="W267" s="6">
        <f>IF(ISERROR(VLOOKUP($T$267,'TAR FIN'!$A$1:$O$88,15,0)),0,VLOOKUP($T$267,'TAR FIN'!$A$1:$O$88,15,0))</f>
        <v>0</v>
      </c>
      <c r="X267" s="6">
        <f>IF(ISERROR(VLOOKUP($U$267,'TAR FIN'!$A$1:$O$88,15,0)),0,VLOOKUP($U$267,'TAR FIN'!$A$1:$O$88,15,0))</f>
        <v>0</v>
      </c>
      <c r="Y267" s="6"/>
      <c r="Z267" s="6">
        <f ca="1">('TUSD BE'!$AM$46+'TUSD BF'!$AM$46+'TUSD CVA'!$AM$46)*1</f>
        <v>915.41577072839698</v>
      </c>
      <c r="AA267" s="6">
        <f>('TE BE'!$AB$37+'TE BF'!$AB$37+'TE CVA'!$AB$37)*1</f>
        <v>274.24484099236821</v>
      </c>
      <c r="AB267" s="6">
        <f>$K$267*$V$267</f>
        <v>0</v>
      </c>
      <c r="AC267" s="6">
        <f>$M$267*$W$267</f>
        <v>0</v>
      </c>
      <c r="AD267" s="6">
        <f>$O$267*$X$267</f>
        <v>0</v>
      </c>
      <c r="AE267" s="6">
        <f>$K$267*$Y$267</f>
        <v>0</v>
      </c>
      <c r="AF267" s="6">
        <f ca="1">$M$267*$Z$267</f>
        <v>217.86895343335848</v>
      </c>
      <c r="AG267" s="6">
        <f>$O$267*$AA$267</f>
        <v>65.270272156183637</v>
      </c>
    </row>
    <row r="268" spans="1:33" ht="11.25" customHeight="1" x14ac:dyDescent="0.25">
      <c r="A268" s="4" t="s">
        <v>21</v>
      </c>
      <c r="B268" s="4" t="s">
        <v>32</v>
      </c>
      <c r="C268" s="4" t="s">
        <v>38</v>
      </c>
      <c r="D268" s="4" t="s">
        <v>43</v>
      </c>
      <c r="E268" s="4" t="s">
        <v>25</v>
      </c>
      <c r="F268" s="4" t="s">
        <v>25</v>
      </c>
      <c r="G268" s="4" t="s">
        <v>25</v>
      </c>
      <c r="H268" s="4" t="s">
        <v>39</v>
      </c>
      <c r="I268" s="5">
        <v>44652</v>
      </c>
      <c r="J268" s="6">
        <v>0</v>
      </c>
      <c r="K268" s="6">
        <v>0</v>
      </c>
      <c r="L268" s="6">
        <v>0.3</v>
      </c>
      <c r="M268" s="6">
        <v>0.3</v>
      </c>
      <c r="N268" s="6">
        <v>0.3</v>
      </c>
      <c r="O268" s="6">
        <v>0.3</v>
      </c>
      <c r="P268" s="6">
        <v>0</v>
      </c>
      <c r="Q268" s="4" t="s">
        <v>26</v>
      </c>
      <c r="R268" s="4">
        <v>0</v>
      </c>
      <c r="S268" s="6">
        <v>0</v>
      </c>
      <c r="T268" s="6">
        <v>44</v>
      </c>
      <c r="U268" s="6">
        <v>82</v>
      </c>
      <c r="V268" s="6">
        <f>IF(ISERROR(VLOOKUP($S$268,'TAR FIN'!$A$1:$O$88,15,0)),0,VLOOKUP($S$268,'TAR FIN'!$A$1:$O$88,15,0))</f>
        <v>0</v>
      </c>
      <c r="W268" s="6">
        <f>IF(ISERROR(VLOOKUP($T$268,'TAR FIN'!$A$1:$O$88,15,0)),0,VLOOKUP($T$268,'TAR FIN'!$A$1:$O$88,15,0))</f>
        <v>0</v>
      </c>
      <c r="X268" s="6">
        <f>IF(ISERROR(VLOOKUP($U$268,'TAR FIN'!$A$1:$O$88,15,0)),0,VLOOKUP($U$268,'TAR FIN'!$A$1:$O$88,15,0))</f>
        <v>0</v>
      </c>
      <c r="Y268" s="6"/>
      <c r="Z268" s="6">
        <f ca="1">('TUSD BE'!$AM$46+'TUSD BF'!$AM$46+'TUSD CVA'!$AM$46)*1</f>
        <v>915.41577072839698</v>
      </c>
      <c r="AA268" s="6">
        <f>('TE BE'!$AB$37+'TE BF'!$AB$37+'TE CVA'!$AB$37)*1</f>
        <v>274.24484099236821</v>
      </c>
      <c r="AB268" s="6">
        <f>$K$268*$V$268</f>
        <v>0</v>
      </c>
      <c r="AC268" s="6">
        <f>$M$268*$W$268</f>
        <v>0</v>
      </c>
      <c r="AD268" s="6">
        <f>$O$268*$X$268</f>
        <v>0</v>
      </c>
      <c r="AE268" s="6">
        <f>$K$268*$Y$268</f>
        <v>0</v>
      </c>
      <c r="AF268" s="6">
        <f ca="1">$M$268*$Z$268</f>
        <v>274.62473121851906</v>
      </c>
      <c r="AG268" s="6">
        <f>$O$268*$AA$268</f>
        <v>82.273452297710463</v>
      </c>
    </row>
    <row r="269" spans="1:33" ht="11.25" customHeight="1" x14ac:dyDescent="0.25">
      <c r="A269" s="4" t="s">
        <v>21</v>
      </c>
      <c r="B269" s="4" t="s">
        <v>32</v>
      </c>
      <c r="C269" s="4" t="s">
        <v>38</v>
      </c>
      <c r="D269" s="4" t="s">
        <v>43</v>
      </c>
      <c r="E269" s="4" t="s">
        <v>25</v>
      </c>
      <c r="F269" s="4" t="s">
        <v>25</v>
      </c>
      <c r="G269" s="4" t="s">
        <v>25</v>
      </c>
      <c r="H269" s="4" t="s">
        <v>39</v>
      </c>
      <c r="I269" s="5">
        <v>44682</v>
      </c>
      <c r="J269" s="6">
        <v>0</v>
      </c>
      <c r="K269" s="6">
        <v>0</v>
      </c>
      <c r="L269" s="6">
        <v>0.19800000000000001</v>
      </c>
      <c r="M269" s="6">
        <v>0.19800000000000001</v>
      </c>
      <c r="N269" s="6">
        <v>0.19800000000000001</v>
      </c>
      <c r="O269" s="6">
        <v>0.19800000000000001</v>
      </c>
      <c r="P269" s="6">
        <v>0</v>
      </c>
      <c r="Q269" s="4" t="s">
        <v>26</v>
      </c>
      <c r="R269" s="4">
        <v>0</v>
      </c>
      <c r="S269" s="6">
        <v>0</v>
      </c>
      <c r="T269" s="6">
        <v>44</v>
      </c>
      <c r="U269" s="6">
        <v>82</v>
      </c>
      <c r="V269" s="6">
        <f>IF(ISERROR(VLOOKUP($S$269,'TAR FIN'!$A$1:$O$88,15,0)),0,VLOOKUP($S$269,'TAR FIN'!$A$1:$O$88,15,0))</f>
        <v>0</v>
      </c>
      <c r="W269" s="6">
        <f>IF(ISERROR(VLOOKUP($T$269,'TAR FIN'!$A$1:$O$88,15,0)),0,VLOOKUP($T$269,'TAR FIN'!$A$1:$O$88,15,0))</f>
        <v>0</v>
      </c>
      <c r="X269" s="6">
        <f>IF(ISERROR(VLOOKUP($U$269,'TAR FIN'!$A$1:$O$88,15,0)),0,VLOOKUP($U$269,'TAR FIN'!$A$1:$O$88,15,0))</f>
        <v>0</v>
      </c>
      <c r="Y269" s="6"/>
      <c r="Z269" s="6">
        <f ca="1">('TUSD BE'!$AM$46+'TUSD BF'!$AM$46+'TUSD CVA'!$AM$46)*1</f>
        <v>915.41577072839698</v>
      </c>
      <c r="AA269" s="6">
        <f>('TE BE'!$AB$37+'TE BF'!$AB$37+'TE CVA'!$AB$37)*1</f>
        <v>274.24484099236821</v>
      </c>
      <c r="AB269" s="6">
        <f>$K$269*$V$269</f>
        <v>0</v>
      </c>
      <c r="AC269" s="6">
        <f>$M$269*$W$269</f>
        <v>0</v>
      </c>
      <c r="AD269" s="6">
        <f>$O$269*$X$269</f>
        <v>0</v>
      </c>
      <c r="AE269" s="6">
        <f>$K$269*$Y$269</f>
        <v>0</v>
      </c>
      <c r="AF269" s="6">
        <f ca="1">$M$269*$Z$269</f>
        <v>181.2523226042226</v>
      </c>
      <c r="AG269" s="6">
        <f>$O$269*$AA$269</f>
        <v>54.300478516488909</v>
      </c>
    </row>
    <row r="270" spans="1:33" ht="11.25" customHeight="1" x14ac:dyDescent="0.25">
      <c r="A270" s="4" t="s">
        <v>21</v>
      </c>
      <c r="B270" s="4" t="s">
        <v>32</v>
      </c>
      <c r="C270" s="4" t="s">
        <v>38</v>
      </c>
      <c r="D270" s="4" t="s">
        <v>43</v>
      </c>
      <c r="E270" s="4" t="s">
        <v>25</v>
      </c>
      <c r="F270" s="4" t="s">
        <v>25</v>
      </c>
      <c r="G270" s="4" t="s">
        <v>25</v>
      </c>
      <c r="H270" s="4" t="s">
        <v>39</v>
      </c>
      <c r="I270" s="5">
        <v>44713</v>
      </c>
      <c r="J270" s="6">
        <v>0</v>
      </c>
      <c r="K270" s="6">
        <v>0</v>
      </c>
      <c r="L270" s="6">
        <v>0.19600000000000001</v>
      </c>
      <c r="M270" s="6">
        <v>0.19600000000000001</v>
      </c>
      <c r="N270" s="6">
        <v>0.19600000000000001</v>
      </c>
      <c r="O270" s="6">
        <v>0.19600000000000001</v>
      </c>
      <c r="P270" s="6">
        <v>0</v>
      </c>
      <c r="Q270" s="4" t="s">
        <v>26</v>
      </c>
      <c r="R270" s="4">
        <v>0</v>
      </c>
      <c r="S270" s="6">
        <v>0</v>
      </c>
      <c r="T270" s="6">
        <v>44</v>
      </c>
      <c r="U270" s="6">
        <v>82</v>
      </c>
      <c r="V270" s="6">
        <f>IF(ISERROR(VLOOKUP($S$270,'TAR FIN'!$A$1:$O$88,15,0)),0,VLOOKUP($S$270,'TAR FIN'!$A$1:$O$88,15,0))</f>
        <v>0</v>
      </c>
      <c r="W270" s="6">
        <f>IF(ISERROR(VLOOKUP($T$270,'TAR FIN'!$A$1:$O$88,15,0)),0,VLOOKUP($T$270,'TAR FIN'!$A$1:$O$88,15,0))</f>
        <v>0</v>
      </c>
      <c r="X270" s="6">
        <f>IF(ISERROR(VLOOKUP($U$270,'TAR FIN'!$A$1:$O$88,15,0)),0,VLOOKUP($U$270,'TAR FIN'!$A$1:$O$88,15,0))</f>
        <v>0</v>
      </c>
      <c r="Y270" s="6"/>
      <c r="Z270" s="6">
        <f ca="1">('TUSD BE'!$AM$46+'TUSD BF'!$AM$46+'TUSD CVA'!$AM$46)*1</f>
        <v>915.41577072839698</v>
      </c>
      <c r="AA270" s="6">
        <f>('TE BE'!$AB$37+'TE BF'!$AB$37+'TE CVA'!$AB$37)*1</f>
        <v>274.24484099236821</v>
      </c>
      <c r="AB270" s="6">
        <f>$K$270*$V$270</f>
        <v>0</v>
      </c>
      <c r="AC270" s="6">
        <f>$M$270*$W$270</f>
        <v>0</v>
      </c>
      <c r="AD270" s="6">
        <f>$O$270*$X$270</f>
        <v>0</v>
      </c>
      <c r="AE270" s="6">
        <f>$K$270*$Y$270</f>
        <v>0</v>
      </c>
      <c r="AF270" s="6">
        <f ca="1">$M$270*$Z$270</f>
        <v>179.42149106276582</v>
      </c>
      <c r="AG270" s="6">
        <f>$O$270*$AA$270</f>
        <v>53.751988834504168</v>
      </c>
    </row>
    <row r="271" spans="1:33" ht="11.25" customHeight="1" x14ac:dyDescent="0.25">
      <c r="A271" s="4" t="s">
        <v>21</v>
      </c>
      <c r="B271" s="4" t="s">
        <v>32</v>
      </c>
      <c r="C271" s="4" t="s">
        <v>38</v>
      </c>
      <c r="D271" s="4" t="s">
        <v>43</v>
      </c>
      <c r="E271" s="4" t="s">
        <v>25</v>
      </c>
      <c r="F271" s="4" t="s">
        <v>25</v>
      </c>
      <c r="G271" s="4" t="s">
        <v>25</v>
      </c>
      <c r="H271" s="4" t="s">
        <v>39</v>
      </c>
      <c r="I271" s="5">
        <v>44743</v>
      </c>
      <c r="J271" s="6">
        <v>0</v>
      </c>
      <c r="K271" s="6">
        <v>0</v>
      </c>
      <c r="L271" s="6">
        <v>0.19600000000000001</v>
      </c>
      <c r="M271" s="6">
        <v>0.19600000000000001</v>
      </c>
      <c r="N271" s="6">
        <v>0.19600000000000001</v>
      </c>
      <c r="O271" s="6">
        <v>0.19600000000000001</v>
      </c>
      <c r="P271" s="6">
        <v>0</v>
      </c>
      <c r="Q271" s="4" t="s">
        <v>26</v>
      </c>
      <c r="R271" s="4">
        <v>0</v>
      </c>
      <c r="S271" s="6">
        <v>0</v>
      </c>
      <c r="T271" s="6">
        <v>44</v>
      </c>
      <c r="U271" s="6">
        <v>82</v>
      </c>
      <c r="V271" s="6">
        <f>IF(ISERROR(VLOOKUP($S$271,'TAR FIN'!$A$1:$O$88,15,0)),0,VLOOKUP($S$271,'TAR FIN'!$A$1:$O$88,15,0))</f>
        <v>0</v>
      </c>
      <c r="W271" s="6">
        <f>IF(ISERROR(VLOOKUP($T$271,'TAR FIN'!$A$1:$O$88,15,0)),0,VLOOKUP($T$271,'TAR FIN'!$A$1:$O$88,15,0))</f>
        <v>0</v>
      </c>
      <c r="X271" s="6">
        <f>IF(ISERROR(VLOOKUP($U$271,'TAR FIN'!$A$1:$O$88,15,0)),0,VLOOKUP($U$271,'TAR FIN'!$A$1:$O$88,15,0))</f>
        <v>0</v>
      </c>
      <c r="Y271" s="6"/>
      <c r="Z271" s="6">
        <f ca="1">('TUSD BE'!$AM$46+'TUSD BF'!$AM$46+'TUSD CVA'!$AM$46)*1</f>
        <v>915.41577072839698</v>
      </c>
      <c r="AA271" s="6">
        <f>('TE BE'!$AB$37+'TE BF'!$AB$37+'TE CVA'!$AB$37)*1</f>
        <v>274.24484099236821</v>
      </c>
      <c r="AB271" s="6">
        <f>$K$271*$V$271</f>
        <v>0</v>
      </c>
      <c r="AC271" s="6">
        <f>$M$271*$W$271</f>
        <v>0</v>
      </c>
      <c r="AD271" s="6">
        <f>$O$271*$X$271</f>
        <v>0</v>
      </c>
      <c r="AE271" s="6">
        <f>$K$271*$Y$271</f>
        <v>0</v>
      </c>
      <c r="AF271" s="6">
        <f ca="1">$M$271*$Z$271</f>
        <v>179.42149106276582</v>
      </c>
      <c r="AG271" s="6">
        <f>$O$271*$AA$271</f>
        <v>53.751988834504168</v>
      </c>
    </row>
    <row r="272" spans="1:33" ht="11.25" customHeight="1" x14ac:dyDescent="0.25">
      <c r="A272" s="4" t="s">
        <v>21</v>
      </c>
      <c r="B272" s="4" t="s">
        <v>32</v>
      </c>
      <c r="C272" s="4" t="s">
        <v>38</v>
      </c>
      <c r="D272" s="4" t="s">
        <v>43</v>
      </c>
      <c r="E272" s="4" t="s">
        <v>25</v>
      </c>
      <c r="F272" s="4" t="s">
        <v>25</v>
      </c>
      <c r="G272" s="4" t="s">
        <v>25</v>
      </c>
      <c r="H272" s="4" t="s">
        <v>36</v>
      </c>
      <c r="I272" s="5">
        <v>44409</v>
      </c>
      <c r="J272" s="6">
        <v>0</v>
      </c>
      <c r="K272" s="6">
        <v>0</v>
      </c>
      <c r="L272" s="6">
        <v>0.38200000000000001</v>
      </c>
      <c r="M272" s="6">
        <v>0.38200000000000001</v>
      </c>
      <c r="N272" s="6">
        <v>0.38200000000000001</v>
      </c>
      <c r="O272" s="6">
        <v>0.38200000000000001</v>
      </c>
      <c r="P272" s="6">
        <v>0</v>
      </c>
      <c r="Q272" s="4" t="s">
        <v>26</v>
      </c>
      <c r="R272" s="4">
        <v>0</v>
      </c>
      <c r="S272" s="6">
        <v>0</v>
      </c>
      <c r="T272" s="6">
        <v>43</v>
      </c>
      <c r="U272" s="6">
        <v>81</v>
      </c>
      <c r="V272" s="6">
        <f>IF(ISERROR(VLOOKUP($S$272,'TAR FIN'!$A$1:$O$88,15,0)),0,VLOOKUP($S$272,'TAR FIN'!$A$1:$O$88,15,0))</f>
        <v>0</v>
      </c>
      <c r="W272" s="6">
        <f>IF(ISERROR(VLOOKUP($T$272,'TAR FIN'!$A$1:$O$88,15,0)),0,VLOOKUP($T$272,'TAR FIN'!$A$1:$O$88,15,0))</f>
        <v>0</v>
      </c>
      <c r="X272" s="6">
        <f>IF(ISERROR(VLOOKUP($U$272,'TAR FIN'!$A$1:$O$88,15,0)),0,VLOOKUP($U$272,'TAR FIN'!$A$1:$O$88,15,0))</f>
        <v>0</v>
      </c>
      <c r="Y272" s="6"/>
      <c r="Z272" s="6">
        <f ca="1">('TUSD BE'!$AM$45+'TUSD BF'!$AM$45+'TUSD CVA'!$AM$45)*1</f>
        <v>1427.7324477453922</v>
      </c>
      <c r="AA272" s="6">
        <f>('TE BE'!$AB$36+'TE BF'!$AB$36+'TE CVA'!$AB$36)*1</f>
        <v>469.66510193737668</v>
      </c>
      <c r="AB272" s="6">
        <f>$K$272*$V$272</f>
        <v>0</v>
      </c>
      <c r="AC272" s="6">
        <f>$M$272*$W$272</f>
        <v>0</v>
      </c>
      <c r="AD272" s="6">
        <f>$O$272*$X$272</f>
        <v>0</v>
      </c>
      <c r="AE272" s="6">
        <f>$K$272*$Y$272</f>
        <v>0</v>
      </c>
      <c r="AF272" s="6">
        <f ca="1">$M$272*$Z$272</f>
        <v>545.39379503873977</v>
      </c>
      <c r="AG272" s="6">
        <f>$O$272*$AA$272</f>
        <v>179.41206894007789</v>
      </c>
    </row>
    <row r="273" spans="1:33" ht="11.25" customHeight="1" x14ac:dyDescent="0.25">
      <c r="A273" s="4" t="s">
        <v>21</v>
      </c>
      <c r="B273" s="4" t="s">
        <v>32</v>
      </c>
      <c r="C273" s="4" t="s">
        <v>38</v>
      </c>
      <c r="D273" s="4" t="s">
        <v>43</v>
      </c>
      <c r="E273" s="4" t="s">
        <v>25</v>
      </c>
      <c r="F273" s="4" t="s">
        <v>25</v>
      </c>
      <c r="G273" s="4" t="s">
        <v>25</v>
      </c>
      <c r="H273" s="4" t="s">
        <v>36</v>
      </c>
      <c r="I273" s="5">
        <v>44440</v>
      </c>
      <c r="J273" s="6">
        <v>0</v>
      </c>
      <c r="K273" s="6">
        <v>0</v>
      </c>
      <c r="L273" s="6">
        <v>0.38300000000000001</v>
      </c>
      <c r="M273" s="6">
        <v>0.38300000000000001</v>
      </c>
      <c r="N273" s="6">
        <v>0.38300000000000001</v>
      </c>
      <c r="O273" s="6">
        <v>0.38300000000000001</v>
      </c>
      <c r="P273" s="6">
        <v>0</v>
      </c>
      <c r="Q273" s="4" t="s">
        <v>26</v>
      </c>
      <c r="R273" s="4">
        <v>0</v>
      </c>
      <c r="S273" s="6">
        <v>0</v>
      </c>
      <c r="T273" s="6">
        <v>43</v>
      </c>
      <c r="U273" s="6">
        <v>81</v>
      </c>
      <c r="V273" s="6">
        <f>IF(ISERROR(VLOOKUP($S$273,'TAR FIN'!$A$1:$O$88,15,0)),0,VLOOKUP($S$273,'TAR FIN'!$A$1:$O$88,15,0))</f>
        <v>0</v>
      </c>
      <c r="W273" s="6">
        <f>IF(ISERROR(VLOOKUP($T$273,'TAR FIN'!$A$1:$O$88,15,0)),0,VLOOKUP($T$273,'TAR FIN'!$A$1:$O$88,15,0))</f>
        <v>0</v>
      </c>
      <c r="X273" s="6">
        <f>IF(ISERROR(VLOOKUP($U$273,'TAR FIN'!$A$1:$O$88,15,0)),0,VLOOKUP($U$273,'TAR FIN'!$A$1:$O$88,15,0))</f>
        <v>0</v>
      </c>
      <c r="Y273" s="6"/>
      <c r="Z273" s="6">
        <f ca="1">('TUSD BE'!$AM$45+'TUSD BF'!$AM$45+'TUSD CVA'!$AM$45)*1</f>
        <v>1427.7324477453922</v>
      </c>
      <c r="AA273" s="6">
        <f>('TE BE'!$AB$36+'TE BF'!$AB$36+'TE CVA'!$AB$36)*1</f>
        <v>469.66510193737668</v>
      </c>
      <c r="AB273" s="6">
        <f>$K$273*$V$273</f>
        <v>0</v>
      </c>
      <c r="AC273" s="6">
        <f>$M$273*$W$273</f>
        <v>0</v>
      </c>
      <c r="AD273" s="6">
        <f>$O$273*$X$273</f>
        <v>0</v>
      </c>
      <c r="AE273" s="6">
        <f>$K$273*$Y$273</f>
        <v>0</v>
      </c>
      <c r="AF273" s="6">
        <f ca="1">$M$273*$Z$273</f>
        <v>546.82152748648525</v>
      </c>
      <c r="AG273" s="6">
        <f>$O$273*$AA$273</f>
        <v>179.88173404201527</v>
      </c>
    </row>
    <row r="274" spans="1:33" ht="11.25" customHeight="1" x14ac:dyDescent="0.25">
      <c r="A274" s="4" t="s">
        <v>21</v>
      </c>
      <c r="B274" s="4" t="s">
        <v>32</v>
      </c>
      <c r="C274" s="4" t="s">
        <v>38</v>
      </c>
      <c r="D274" s="4" t="s">
        <v>43</v>
      </c>
      <c r="E274" s="4" t="s">
        <v>25</v>
      </c>
      <c r="F274" s="4" t="s">
        <v>25</v>
      </c>
      <c r="G274" s="4" t="s">
        <v>25</v>
      </c>
      <c r="H274" s="4" t="s">
        <v>36</v>
      </c>
      <c r="I274" s="5">
        <v>44470</v>
      </c>
      <c r="J274" s="6">
        <v>0</v>
      </c>
      <c r="K274" s="6">
        <v>0</v>
      </c>
      <c r="L274" s="6">
        <v>0.33900000000000002</v>
      </c>
      <c r="M274" s="6">
        <v>0.33900000000000002</v>
      </c>
      <c r="N274" s="6">
        <v>0.33900000000000002</v>
      </c>
      <c r="O274" s="6">
        <v>0.33900000000000002</v>
      </c>
      <c r="P274" s="6">
        <v>0</v>
      </c>
      <c r="Q274" s="4" t="s">
        <v>26</v>
      </c>
      <c r="R274" s="4">
        <v>0</v>
      </c>
      <c r="S274" s="6">
        <v>0</v>
      </c>
      <c r="T274" s="6">
        <v>43</v>
      </c>
      <c r="U274" s="6">
        <v>81</v>
      </c>
      <c r="V274" s="6">
        <f>IF(ISERROR(VLOOKUP($S$274,'TAR FIN'!$A$1:$O$88,15,0)),0,VLOOKUP($S$274,'TAR FIN'!$A$1:$O$88,15,0))</f>
        <v>0</v>
      </c>
      <c r="W274" s="6">
        <f>IF(ISERROR(VLOOKUP($T$274,'TAR FIN'!$A$1:$O$88,15,0)),0,VLOOKUP($T$274,'TAR FIN'!$A$1:$O$88,15,0))</f>
        <v>0</v>
      </c>
      <c r="X274" s="6">
        <f>IF(ISERROR(VLOOKUP($U$274,'TAR FIN'!$A$1:$O$88,15,0)),0,VLOOKUP($U$274,'TAR FIN'!$A$1:$O$88,15,0))</f>
        <v>0</v>
      </c>
      <c r="Y274" s="6"/>
      <c r="Z274" s="6">
        <f ca="1">('TUSD BE'!$AM$45+'TUSD BF'!$AM$45+'TUSD CVA'!$AM$45)*1</f>
        <v>1427.7324477453922</v>
      </c>
      <c r="AA274" s="6">
        <f>('TE BE'!$AB$36+'TE BF'!$AB$36+'TE CVA'!$AB$36)*1</f>
        <v>469.66510193737668</v>
      </c>
      <c r="AB274" s="6">
        <f>$K$274*$V$274</f>
        <v>0</v>
      </c>
      <c r="AC274" s="6">
        <f>$M$274*$W$274</f>
        <v>0</v>
      </c>
      <c r="AD274" s="6">
        <f>$O$274*$X$274</f>
        <v>0</v>
      </c>
      <c r="AE274" s="6">
        <f>$K$274*$Y$274</f>
        <v>0</v>
      </c>
      <c r="AF274" s="6">
        <f ca="1">$M$274*$Z$274</f>
        <v>484.00129978568799</v>
      </c>
      <c r="AG274" s="6">
        <f>$O$274*$AA$274</f>
        <v>159.2164695567707</v>
      </c>
    </row>
    <row r="275" spans="1:33" ht="11.25" customHeight="1" x14ac:dyDescent="0.25">
      <c r="A275" s="4" t="s">
        <v>21</v>
      </c>
      <c r="B275" s="4" t="s">
        <v>32</v>
      </c>
      <c r="C275" s="4" t="s">
        <v>38</v>
      </c>
      <c r="D275" s="4" t="s">
        <v>43</v>
      </c>
      <c r="E275" s="4" t="s">
        <v>25</v>
      </c>
      <c r="F275" s="4" t="s">
        <v>25</v>
      </c>
      <c r="G275" s="4" t="s">
        <v>25</v>
      </c>
      <c r="H275" s="4" t="s">
        <v>36</v>
      </c>
      <c r="I275" s="5">
        <v>44501</v>
      </c>
      <c r="J275" s="6">
        <v>0</v>
      </c>
      <c r="K275" s="6">
        <v>0</v>
      </c>
      <c r="L275" s="6">
        <v>0.33700000000000002</v>
      </c>
      <c r="M275" s="6">
        <v>0.33700000000000002</v>
      </c>
      <c r="N275" s="6">
        <v>0.33700000000000002</v>
      </c>
      <c r="O275" s="6">
        <v>0.33700000000000002</v>
      </c>
      <c r="P275" s="6">
        <v>0</v>
      </c>
      <c r="Q275" s="4" t="s">
        <v>26</v>
      </c>
      <c r="R275" s="4">
        <v>0</v>
      </c>
      <c r="S275" s="6">
        <v>0</v>
      </c>
      <c r="T275" s="6">
        <v>43</v>
      </c>
      <c r="U275" s="6">
        <v>81</v>
      </c>
      <c r="V275" s="6">
        <f>IF(ISERROR(VLOOKUP($S$275,'TAR FIN'!$A$1:$O$88,15,0)),0,VLOOKUP($S$275,'TAR FIN'!$A$1:$O$88,15,0))</f>
        <v>0</v>
      </c>
      <c r="W275" s="6">
        <f>IF(ISERROR(VLOOKUP($T$275,'TAR FIN'!$A$1:$O$88,15,0)),0,VLOOKUP($T$275,'TAR FIN'!$A$1:$O$88,15,0))</f>
        <v>0</v>
      </c>
      <c r="X275" s="6">
        <f>IF(ISERROR(VLOOKUP($U$275,'TAR FIN'!$A$1:$O$88,15,0)),0,VLOOKUP($U$275,'TAR FIN'!$A$1:$O$88,15,0))</f>
        <v>0</v>
      </c>
      <c r="Y275" s="6"/>
      <c r="Z275" s="6">
        <f ca="1">('TUSD BE'!$AM$45+'TUSD BF'!$AM$45+'TUSD CVA'!$AM$45)*1</f>
        <v>1427.7324477453922</v>
      </c>
      <c r="AA275" s="6">
        <f>('TE BE'!$AB$36+'TE BF'!$AB$36+'TE CVA'!$AB$36)*1</f>
        <v>469.66510193737668</v>
      </c>
      <c r="AB275" s="6">
        <f>$K$275*$V$275</f>
        <v>0</v>
      </c>
      <c r="AC275" s="6">
        <f>$M$275*$W$275</f>
        <v>0</v>
      </c>
      <c r="AD275" s="6">
        <f>$O$275*$X$275</f>
        <v>0</v>
      </c>
      <c r="AE275" s="6">
        <f>$K$275*$Y$275</f>
        <v>0</v>
      </c>
      <c r="AF275" s="6">
        <f ca="1">$M$275*$Z$275</f>
        <v>481.14583489019719</v>
      </c>
      <c r="AG275" s="6">
        <f>$O$275*$AA$275</f>
        <v>158.27713935289594</v>
      </c>
    </row>
    <row r="276" spans="1:33" ht="11.25" customHeight="1" x14ac:dyDescent="0.25">
      <c r="A276" s="4" t="s">
        <v>21</v>
      </c>
      <c r="B276" s="4" t="s">
        <v>32</v>
      </c>
      <c r="C276" s="4" t="s">
        <v>38</v>
      </c>
      <c r="D276" s="4" t="s">
        <v>43</v>
      </c>
      <c r="E276" s="4" t="s">
        <v>25</v>
      </c>
      <c r="F276" s="4" t="s">
        <v>25</v>
      </c>
      <c r="G276" s="4" t="s">
        <v>25</v>
      </c>
      <c r="H276" s="4" t="s">
        <v>36</v>
      </c>
      <c r="I276" s="5">
        <v>44531</v>
      </c>
      <c r="J276" s="6">
        <v>0</v>
      </c>
      <c r="K276" s="6">
        <v>0</v>
      </c>
      <c r="L276" s="6">
        <v>0.32800000000000001</v>
      </c>
      <c r="M276" s="6">
        <v>0.32800000000000001</v>
      </c>
      <c r="N276" s="6">
        <v>0.32800000000000001</v>
      </c>
      <c r="O276" s="6">
        <v>0.32800000000000001</v>
      </c>
      <c r="P276" s="6">
        <v>0</v>
      </c>
      <c r="Q276" s="4" t="s">
        <v>26</v>
      </c>
      <c r="R276" s="4">
        <v>0</v>
      </c>
      <c r="S276" s="6">
        <v>0</v>
      </c>
      <c r="T276" s="6">
        <v>43</v>
      </c>
      <c r="U276" s="6">
        <v>81</v>
      </c>
      <c r="V276" s="6">
        <f>IF(ISERROR(VLOOKUP($S$276,'TAR FIN'!$A$1:$O$88,15,0)),0,VLOOKUP($S$276,'TAR FIN'!$A$1:$O$88,15,0))</f>
        <v>0</v>
      </c>
      <c r="W276" s="6">
        <f>IF(ISERROR(VLOOKUP($T$276,'TAR FIN'!$A$1:$O$88,15,0)),0,VLOOKUP($T$276,'TAR FIN'!$A$1:$O$88,15,0))</f>
        <v>0</v>
      </c>
      <c r="X276" s="6">
        <f>IF(ISERROR(VLOOKUP($U$276,'TAR FIN'!$A$1:$O$88,15,0)),0,VLOOKUP($U$276,'TAR FIN'!$A$1:$O$88,15,0))</f>
        <v>0</v>
      </c>
      <c r="Y276" s="6"/>
      <c r="Z276" s="6">
        <f ca="1">('TUSD BE'!$AM$45+'TUSD BF'!$AM$45+'TUSD CVA'!$AM$45)*1</f>
        <v>1427.7324477453922</v>
      </c>
      <c r="AA276" s="6">
        <f>('TE BE'!$AB$36+'TE BF'!$AB$36+'TE CVA'!$AB$36)*1</f>
        <v>469.66510193737668</v>
      </c>
      <c r="AB276" s="6">
        <f>$K$276*$V$276</f>
        <v>0</v>
      </c>
      <c r="AC276" s="6">
        <f>$M$276*$W$276</f>
        <v>0</v>
      </c>
      <c r="AD276" s="6">
        <f>$O$276*$X$276</f>
        <v>0</v>
      </c>
      <c r="AE276" s="6">
        <f>$K$276*$Y$276</f>
        <v>0</v>
      </c>
      <c r="AF276" s="6">
        <f ca="1">$M$276*$Z$276</f>
        <v>468.29624286048863</v>
      </c>
      <c r="AG276" s="6">
        <f>$O$276*$AA$276</f>
        <v>154.05015343545955</v>
      </c>
    </row>
    <row r="277" spans="1:33" ht="11.25" customHeight="1" x14ac:dyDescent="0.25">
      <c r="A277" s="4" t="s">
        <v>21</v>
      </c>
      <c r="B277" s="4" t="s">
        <v>32</v>
      </c>
      <c r="C277" s="4" t="s">
        <v>38</v>
      </c>
      <c r="D277" s="4" t="s">
        <v>43</v>
      </c>
      <c r="E277" s="4" t="s">
        <v>25</v>
      </c>
      <c r="F277" s="4" t="s">
        <v>25</v>
      </c>
      <c r="G277" s="4" t="s">
        <v>25</v>
      </c>
      <c r="H277" s="4" t="s">
        <v>36</v>
      </c>
      <c r="I277" s="5">
        <v>44562</v>
      </c>
      <c r="J277" s="6">
        <v>0</v>
      </c>
      <c r="K277" s="6">
        <v>0</v>
      </c>
      <c r="L277" s="6">
        <v>0.36499999999999999</v>
      </c>
      <c r="M277" s="6">
        <v>0.36499999999999999</v>
      </c>
      <c r="N277" s="6">
        <v>0.36499999999999999</v>
      </c>
      <c r="O277" s="6">
        <v>0.36499999999999999</v>
      </c>
      <c r="P277" s="6">
        <v>0</v>
      </c>
      <c r="Q277" s="4" t="s">
        <v>26</v>
      </c>
      <c r="R277" s="4">
        <v>0</v>
      </c>
      <c r="S277" s="6">
        <v>0</v>
      </c>
      <c r="T277" s="6">
        <v>43</v>
      </c>
      <c r="U277" s="6">
        <v>81</v>
      </c>
      <c r="V277" s="6">
        <f>IF(ISERROR(VLOOKUP($S$277,'TAR FIN'!$A$1:$O$88,15,0)),0,VLOOKUP($S$277,'TAR FIN'!$A$1:$O$88,15,0))</f>
        <v>0</v>
      </c>
      <c r="W277" s="6">
        <f>IF(ISERROR(VLOOKUP($T$277,'TAR FIN'!$A$1:$O$88,15,0)),0,VLOOKUP($T$277,'TAR FIN'!$A$1:$O$88,15,0))</f>
        <v>0</v>
      </c>
      <c r="X277" s="6">
        <f>IF(ISERROR(VLOOKUP($U$277,'TAR FIN'!$A$1:$O$88,15,0)),0,VLOOKUP($U$277,'TAR FIN'!$A$1:$O$88,15,0))</f>
        <v>0</v>
      </c>
      <c r="Y277" s="6"/>
      <c r="Z277" s="6">
        <f ca="1">('TUSD BE'!$AM$45+'TUSD BF'!$AM$45+'TUSD CVA'!$AM$45)*1</f>
        <v>1427.7324477453922</v>
      </c>
      <c r="AA277" s="6">
        <f>('TE BE'!$AB$36+'TE BF'!$AB$36+'TE CVA'!$AB$36)*1</f>
        <v>469.66510193737668</v>
      </c>
      <c r="AB277" s="6">
        <f>$K$277*$V$277</f>
        <v>0</v>
      </c>
      <c r="AC277" s="6">
        <f>$M$277*$W$277</f>
        <v>0</v>
      </c>
      <c r="AD277" s="6">
        <f>$O$277*$X$277</f>
        <v>0</v>
      </c>
      <c r="AE277" s="6">
        <f>$K$277*$Y$277</f>
        <v>0</v>
      </c>
      <c r="AF277" s="6">
        <f ca="1">$M$277*$Z$277</f>
        <v>521.12234342706813</v>
      </c>
      <c r="AG277" s="6">
        <f>$O$277*$AA$277</f>
        <v>171.42776220714248</v>
      </c>
    </row>
    <row r="278" spans="1:33" ht="11.25" customHeight="1" x14ac:dyDescent="0.25">
      <c r="A278" s="4" t="s">
        <v>21</v>
      </c>
      <c r="B278" s="4" t="s">
        <v>32</v>
      </c>
      <c r="C278" s="4" t="s">
        <v>38</v>
      </c>
      <c r="D278" s="4" t="s">
        <v>43</v>
      </c>
      <c r="E278" s="4" t="s">
        <v>25</v>
      </c>
      <c r="F278" s="4" t="s">
        <v>25</v>
      </c>
      <c r="G278" s="4" t="s">
        <v>25</v>
      </c>
      <c r="H278" s="4" t="s">
        <v>36</v>
      </c>
      <c r="I278" s="5">
        <v>44593</v>
      </c>
      <c r="J278" s="6">
        <v>0</v>
      </c>
      <c r="K278" s="6">
        <v>0</v>
      </c>
      <c r="L278" s="6">
        <v>0.48599999999999999</v>
      </c>
      <c r="M278" s="6">
        <v>0.48599999999999999</v>
      </c>
      <c r="N278" s="6">
        <v>0.48599999999999999</v>
      </c>
      <c r="O278" s="6">
        <v>0.48599999999999999</v>
      </c>
      <c r="P278" s="6">
        <v>0</v>
      </c>
      <c r="Q278" s="4" t="s">
        <v>26</v>
      </c>
      <c r="R278" s="4">
        <v>0</v>
      </c>
      <c r="S278" s="6">
        <v>0</v>
      </c>
      <c r="T278" s="6">
        <v>43</v>
      </c>
      <c r="U278" s="6">
        <v>81</v>
      </c>
      <c r="V278" s="6">
        <f>IF(ISERROR(VLOOKUP($S$278,'TAR FIN'!$A$1:$O$88,15,0)),0,VLOOKUP($S$278,'TAR FIN'!$A$1:$O$88,15,0))</f>
        <v>0</v>
      </c>
      <c r="W278" s="6">
        <f>IF(ISERROR(VLOOKUP($T$278,'TAR FIN'!$A$1:$O$88,15,0)),0,VLOOKUP($T$278,'TAR FIN'!$A$1:$O$88,15,0))</f>
        <v>0</v>
      </c>
      <c r="X278" s="6">
        <f>IF(ISERROR(VLOOKUP($U$278,'TAR FIN'!$A$1:$O$88,15,0)),0,VLOOKUP($U$278,'TAR FIN'!$A$1:$O$88,15,0))</f>
        <v>0</v>
      </c>
      <c r="Y278" s="6"/>
      <c r="Z278" s="6">
        <f ca="1">('TUSD BE'!$AM$45+'TUSD BF'!$AM$45+'TUSD CVA'!$AM$45)*1</f>
        <v>1427.7324477453922</v>
      </c>
      <c r="AA278" s="6">
        <f>('TE BE'!$AB$36+'TE BF'!$AB$36+'TE CVA'!$AB$36)*1</f>
        <v>469.66510193737668</v>
      </c>
      <c r="AB278" s="6">
        <f>$K$278*$V$278</f>
        <v>0</v>
      </c>
      <c r="AC278" s="6">
        <f>$M$278*$W$278</f>
        <v>0</v>
      </c>
      <c r="AD278" s="6">
        <f>$O$278*$X$278</f>
        <v>0</v>
      </c>
      <c r="AE278" s="6">
        <f>$K$278*$Y$278</f>
        <v>0</v>
      </c>
      <c r="AF278" s="6">
        <f ca="1">$M$278*$Z$278</f>
        <v>693.87796960426056</v>
      </c>
      <c r="AG278" s="6">
        <f>$O$278*$AA$278</f>
        <v>228.25723954156507</v>
      </c>
    </row>
    <row r="279" spans="1:33" ht="11.25" customHeight="1" x14ac:dyDescent="0.25">
      <c r="A279" s="4" t="s">
        <v>21</v>
      </c>
      <c r="B279" s="4" t="s">
        <v>32</v>
      </c>
      <c r="C279" s="4" t="s">
        <v>38</v>
      </c>
      <c r="D279" s="4" t="s">
        <v>43</v>
      </c>
      <c r="E279" s="4" t="s">
        <v>25</v>
      </c>
      <c r="F279" s="4" t="s">
        <v>25</v>
      </c>
      <c r="G279" s="4" t="s">
        <v>25</v>
      </c>
      <c r="H279" s="4" t="s">
        <v>36</v>
      </c>
      <c r="I279" s="5">
        <v>44621</v>
      </c>
      <c r="J279" s="6">
        <v>0</v>
      </c>
      <c r="K279" s="6">
        <v>0</v>
      </c>
      <c r="L279" s="6">
        <v>0.35199999999999998</v>
      </c>
      <c r="M279" s="6">
        <v>0.35199999999999998</v>
      </c>
      <c r="N279" s="6">
        <v>0.35199999999999998</v>
      </c>
      <c r="O279" s="6">
        <v>0.35199999999999998</v>
      </c>
      <c r="P279" s="6">
        <v>0</v>
      </c>
      <c r="Q279" s="4" t="s">
        <v>26</v>
      </c>
      <c r="R279" s="4">
        <v>0</v>
      </c>
      <c r="S279" s="6">
        <v>0</v>
      </c>
      <c r="T279" s="6">
        <v>43</v>
      </c>
      <c r="U279" s="6">
        <v>81</v>
      </c>
      <c r="V279" s="6">
        <f>IF(ISERROR(VLOOKUP($S$279,'TAR FIN'!$A$1:$O$88,15,0)),0,VLOOKUP($S$279,'TAR FIN'!$A$1:$O$88,15,0))</f>
        <v>0</v>
      </c>
      <c r="W279" s="6">
        <f>IF(ISERROR(VLOOKUP($T$279,'TAR FIN'!$A$1:$O$88,15,0)),0,VLOOKUP($T$279,'TAR FIN'!$A$1:$O$88,15,0))</f>
        <v>0</v>
      </c>
      <c r="X279" s="6">
        <f>IF(ISERROR(VLOOKUP($U$279,'TAR FIN'!$A$1:$O$88,15,0)),0,VLOOKUP($U$279,'TAR FIN'!$A$1:$O$88,15,0))</f>
        <v>0</v>
      </c>
      <c r="Y279" s="6"/>
      <c r="Z279" s="6">
        <f ca="1">('TUSD BE'!$AM$45+'TUSD BF'!$AM$45+'TUSD CVA'!$AM$45)*1</f>
        <v>1427.7324477453922</v>
      </c>
      <c r="AA279" s="6">
        <f>('TE BE'!$AB$36+'TE BF'!$AB$36+'TE CVA'!$AB$36)*1</f>
        <v>469.66510193737668</v>
      </c>
      <c r="AB279" s="6">
        <f>$K$279*$V$279</f>
        <v>0</v>
      </c>
      <c r="AC279" s="6">
        <f>$M$279*$W$279</f>
        <v>0</v>
      </c>
      <c r="AD279" s="6">
        <f>$O$279*$X$279</f>
        <v>0</v>
      </c>
      <c r="AE279" s="6">
        <f>$K$279*$Y$279</f>
        <v>0</v>
      </c>
      <c r="AF279" s="6">
        <f ca="1">$M$279*$Z$279</f>
        <v>502.56182160637803</v>
      </c>
      <c r="AG279" s="6">
        <f>$O$279*$AA$279</f>
        <v>165.32211588195659</v>
      </c>
    </row>
    <row r="280" spans="1:33" ht="11.25" customHeight="1" x14ac:dyDescent="0.25">
      <c r="A280" s="4" t="s">
        <v>21</v>
      </c>
      <c r="B280" s="4" t="s">
        <v>32</v>
      </c>
      <c r="C280" s="4" t="s">
        <v>38</v>
      </c>
      <c r="D280" s="4" t="s">
        <v>43</v>
      </c>
      <c r="E280" s="4" t="s">
        <v>25</v>
      </c>
      <c r="F280" s="4" t="s">
        <v>25</v>
      </c>
      <c r="G280" s="4" t="s">
        <v>25</v>
      </c>
      <c r="H280" s="4" t="s">
        <v>36</v>
      </c>
      <c r="I280" s="5">
        <v>44652</v>
      </c>
      <c r="J280" s="6">
        <v>0</v>
      </c>
      <c r="K280" s="6">
        <v>0</v>
      </c>
      <c r="L280" s="6">
        <v>0.42299999999999999</v>
      </c>
      <c r="M280" s="6">
        <v>0.42299999999999999</v>
      </c>
      <c r="N280" s="6">
        <v>0.42299999999999999</v>
      </c>
      <c r="O280" s="6">
        <v>0.42299999999999999</v>
      </c>
      <c r="P280" s="6">
        <v>0</v>
      </c>
      <c r="Q280" s="4" t="s">
        <v>26</v>
      </c>
      <c r="R280" s="4">
        <v>0</v>
      </c>
      <c r="S280" s="6">
        <v>0</v>
      </c>
      <c r="T280" s="6">
        <v>43</v>
      </c>
      <c r="U280" s="6">
        <v>81</v>
      </c>
      <c r="V280" s="6">
        <f>IF(ISERROR(VLOOKUP($S$280,'TAR FIN'!$A$1:$O$88,15,0)),0,VLOOKUP($S$280,'TAR FIN'!$A$1:$O$88,15,0))</f>
        <v>0</v>
      </c>
      <c r="W280" s="6">
        <f>IF(ISERROR(VLOOKUP($T$280,'TAR FIN'!$A$1:$O$88,15,0)),0,VLOOKUP($T$280,'TAR FIN'!$A$1:$O$88,15,0))</f>
        <v>0</v>
      </c>
      <c r="X280" s="6">
        <f>IF(ISERROR(VLOOKUP($U$280,'TAR FIN'!$A$1:$O$88,15,0)),0,VLOOKUP($U$280,'TAR FIN'!$A$1:$O$88,15,0))</f>
        <v>0</v>
      </c>
      <c r="Y280" s="6"/>
      <c r="Z280" s="6">
        <f ca="1">('TUSD BE'!$AM$45+'TUSD BF'!$AM$45+'TUSD CVA'!$AM$45)*1</f>
        <v>1427.7324477453922</v>
      </c>
      <c r="AA280" s="6">
        <f>('TE BE'!$AB$36+'TE BF'!$AB$36+'TE CVA'!$AB$36)*1</f>
        <v>469.66510193737668</v>
      </c>
      <c r="AB280" s="6">
        <f>$K$280*$V$280</f>
        <v>0</v>
      </c>
      <c r="AC280" s="6">
        <f>$M$280*$W$280</f>
        <v>0</v>
      </c>
      <c r="AD280" s="6">
        <f>$O$280*$X$280</f>
        <v>0</v>
      </c>
      <c r="AE280" s="6">
        <f>$K$280*$Y$280</f>
        <v>0</v>
      </c>
      <c r="AF280" s="6">
        <f ca="1">$M$280*$Z$280</f>
        <v>603.93082539630086</v>
      </c>
      <c r="AG280" s="6">
        <f>$O$280*$AA$280</f>
        <v>198.66833811951034</v>
      </c>
    </row>
    <row r="281" spans="1:33" ht="11.25" customHeight="1" x14ac:dyDescent="0.25">
      <c r="A281" s="4" t="s">
        <v>21</v>
      </c>
      <c r="B281" s="4" t="s">
        <v>32</v>
      </c>
      <c r="C281" s="4" t="s">
        <v>38</v>
      </c>
      <c r="D281" s="4" t="s">
        <v>43</v>
      </c>
      <c r="E281" s="4" t="s">
        <v>25</v>
      </c>
      <c r="F281" s="4" t="s">
        <v>25</v>
      </c>
      <c r="G281" s="4" t="s">
        <v>25</v>
      </c>
      <c r="H281" s="4" t="s">
        <v>36</v>
      </c>
      <c r="I281" s="5">
        <v>44682</v>
      </c>
      <c r="J281" s="6">
        <v>0</v>
      </c>
      <c r="K281" s="6">
        <v>0</v>
      </c>
      <c r="L281" s="6">
        <v>0.29899999999999999</v>
      </c>
      <c r="M281" s="6">
        <v>0.29899999999999999</v>
      </c>
      <c r="N281" s="6">
        <v>0.29899999999999999</v>
      </c>
      <c r="O281" s="6">
        <v>0.29899999999999999</v>
      </c>
      <c r="P281" s="6">
        <v>0</v>
      </c>
      <c r="Q281" s="4" t="s">
        <v>26</v>
      </c>
      <c r="R281" s="4">
        <v>0</v>
      </c>
      <c r="S281" s="6">
        <v>0</v>
      </c>
      <c r="T281" s="6">
        <v>43</v>
      </c>
      <c r="U281" s="6">
        <v>81</v>
      </c>
      <c r="V281" s="6">
        <f>IF(ISERROR(VLOOKUP($S$281,'TAR FIN'!$A$1:$O$88,15,0)),0,VLOOKUP($S$281,'TAR FIN'!$A$1:$O$88,15,0))</f>
        <v>0</v>
      </c>
      <c r="W281" s="6">
        <f>IF(ISERROR(VLOOKUP($T$281,'TAR FIN'!$A$1:$O$88,15,0)),0,VLOOKUP($T$281,'TAR FIN'!$A$1:$O$88,15,0))</f>
        <v>0</v>
      </c>
      <c r="X281" s="6">
        <f>IF(ISERROR(VLOOKUP($U$281,'TAR FIN'!$A$1:$O$88,15,0)),0,VLOOKUP($U$281,'TAR FIN'!$A$1:$O$88,15,0))</f>
        <v>0</v>
      </c>
      <c r="Y281" s="6"/>
      <c r="Z281" s="6">
        <f ca="1">('TUSD BE'!$AM$45+'TUSD BF'!$AM$45+'TUSD CVA'!$AM$45)*1</f>
        <v>1427.7324477453922</v>
      </c>
      <c r="AA281" s="6">
        <f>('TE BE'!$AB$36+'TE BF'!$AB$36+'TE CVA'!$AB$36)*1</f>
        <v>469.66510193737668</v>
      </c>
      <c r="AB281" s="6">
        <f>$K$281*$V$281</f>
        <v>0</v>
      </c>
      <c r="AC281" s="6">
        <f>$M$281*$W$281</f>
        <v>0</v>
      </c>
      <c r="AD281" s="6">
        <f>$O$281*$X$281</f>
        <v>0</v>
      </c>
      <c r="AE281" s="6">
        <f>$K$281*$Y$281</f>
        <v>0</v>
      </c>
      <c r="AF281" s="6">
        <f ca="1">$M$281*$Z$281</f>
        <v>426.89200187587227</v>
      </c>
      <c r="AG281" s="6">
        <f>$O$281*$AA$281</f>
        <v>140.42986547927563</v>
      </c>
    </row>
    <row r="282" spans="1:33" ht="11.25" customHeight="1" x14ac:dyDescent="0.25">
      <c r="A282" s="4" t="s">
        <v>21</v>
      </c>
      <c r="B282" s="4" t="s">
        <v>32</v>
      </c>
      <c r="C282" s="4" t="s">
        <v>38</v>
      </c>
      <c r="D282" s="4" t="s">
        <v>43</v>
      </c>
      <c r="E282" s="4" t="s">
        <v>25</v>
      </c>
      <c r="F282" s="4" t="s">
        <v>25</v>
      </c>
      <c r="G282" s="4" t="s">
        <v>25</v>
      </c>
      <c r="H282" s="4" t="s">
        <v>36</v>
      </c>
      <c r="I282" s="5">
        <v>44713</v>
      </c>
      <c r="J282" s="6">
        <v>0</v>
      </c>
      <c r="K282" s="6">
        <v>0</v>
      </c>
      <c r="L282" s="6">
        <v>0.29499999999999998</v>
      </c>
      <c r="M282" s="6">
        <v>0.29499999999999998</v>
      </c>
      <c r="N282" s="6">
        <v>0.29499999999999998</v>
      </c>
      <c r="O282" s="6">
        <v>0.29499999999999998</v>
      </c>
      <c r="P282" s="6">
        <v>0</v>
      </c>
      <c r="Q282" s="4" t="s">
        <v>26</v>
      </c>
      <c r="R282" s="4">
        <v>0</v>
      </c>
      <c r="S282" s="6">
        <v>0</v>
      </c>
      <c r="T282" s="6">
        <v>43</v>
      </c>
      <c r="U282" s="6">
        <v>81</v>
      </c>
      <c r="V282" s="6">
        <f>IF(ISERROR(VLOOKUP($S$282,'TAR FIN'!$A$1:$O$88,15,0)),0,VLOOKUP($S$282,'TAR FIN'!$A$1:$O$88,15,0))</f>
        <v>0</v>
      </c>
      <c r="W282" s="6">
        <f>IF(ISERROR(VLOOKUP($T$282,'TAR FIN'!$A$1:$O$88,15,0)),0,VLOOKUP($T$282,'TAR FIN'!$A$1:$O$88,15,0))</f>
        <v>0</v>
      </c>
      <c r="X282" s="6">
        <f>IF(ISERROR(VLOOKUP($U$282,'TAR FIN'!$A$1:$O$88,15,0)),0,VLOOKUP($U$282,'TAR FIN'!$A$1:$O$88,15,0))</f>
        <v>0</v>
      </c>
      <c r="Y282" s="6"/>
      <c r="Z282" s="6">
        <f ca="1">('TUSD BE'!$AM$45+'TUSD BF'!$AM$45+'TUSD CVA'!$AM$45)*1</f>
        <v>1427.7324477453922</v>
      </c>
      <c r="AA282" s="6">
        <f>('TE BE'!$AB$36+'TE BF'!$AB$36+'TE CVA'!$AB$36)*1</f>
        <v>469.66510193737668</v>
      </c>
      <c r="AB282" s="6">
        <f>$K$282*$V$282</f>
        <v>0</v>
      </c>
      <c r="AC282" s="6">
        <f>$M$282*$W$282</f>
        <v>0</v>
      </c>
      <c r="AD282" s="6">
        <f>$O$282*$X$282</f>
        <v>0</v>
      </c>
      <c r="AE282" s="6">
        <f>$K$282*$Y$282</f>
        <v>0</v>
      </c>
      <c r="AF282" s="6">
        <f ca="1">$M$282*$Z$282</f>
        <v>421.18107208489067</v>
      </c>
      <c r="AG282" s="6">
        <f>$O$282*$AA$282</f>
        <v>138.55120507152611</v>
      </c>
    </row>
    <row r="283" spans="1:33" ht="11.25" customHeight="1" x14ac:dyDescent="0.25">
      <c r="A283" s="4" t="s">
        <v>21</v>
      </c>
      <c r="B283" s="4" t="s">
        <v>32</v>
      </c>
      <c r="C283" s="4" t="s">
        <v>38</v>
      </c>
      <c r="D283" s="4" t="s">
        <v>43</v>
      </c>
      <c r="E283" s="4" t="s">
        <v>25</v>
      </c>
      <c r="F283" s="4" t="s">
        <v>25</v>
      </c>
      <c r="G283" s="4" t="s">
        <v>25</v>
      </c>
      <c r="H283" s="4" t="s">
        <v>36</v>
      </c>
      <c r="I283" s="5">
        <v>44743</v>
      </c>
      <c r="J283" s="6">
        <v>0</v>
      </c>
      <c r="K283" s="6">
        <v>0</v>
      </c>
      <c r="L283" s="6">
        <v>0.30599999999999999</v>
      </c>
      <c r="M283" s="6">
        <v>0.30599999999999999</v>
      </c>
      <c r="N283" s="6">
        <v>0.30599999999999999</v>
      </c>
      <c r="O283" s="6">
        <v>0.30599999999999999</v>
      </c>
      <c r="P283" s="6">
        <v>0</v>
      </c>
      <c r="Q283" s="4" t="s">
        <v>26</v>
      </c>
      <c r="R283" s="4">
        <v>0</v>
      </c>
      <c r="S283" s="6">
        <v>0</v>
      </c>
      <c r="T283" s="6">
        <v>43</v>
      </c>
      <c r="U283" s="6">
        <v>81</v>
      </c>
      <c r="V283" s="6">
        <f>IF(ISERROR(VLOOKUP($S$283,'TAR FIN'!$A$1:$O$88,15,0)),0,VLOOKUP($S$283,'TAR FIN'!$A$1:$O$88,15,0))</f>
        <v>0</v>
      </c>
      <c r="W283" s="6">
        <f>IF(ISERROR(VLOOKUP($T$283,'TAR FIN'!$A$1:$O$88,15,0)),0,VLOOKUP($T$283,'TAR FIN'!$A$1:$O$88,15,0))</f>
        <v>0</v>
      </c>
      <c r="X283" s="6">
        <f>IF(ISERROR(VLOOKUP($U$283,'TAR FIN'!$A$1:$O$88,15,0)),0,VLOOKUP($U$283,'TAR FIN'!$A$1:$O$88,15,0))</f>
        <v>0</v>
      </c>
      <c r="Y283" s="6"/>
      <c r="Z283" s="6">
        <f ca="1">('TUSD BE'!$AM$45+'TUSD BF'!$AM$45+'TUSD CVA'!$AM$45)*1</f>
        <v>1427.7324477453922</v>
      </c>
      <c r="AA283" s="6">
        <f>('TE BE'!$AB$36+'TE BF'!$AB$36+'TE CVA'!$AB$36)*1</f>
        <v>469.66510193737668</v>
      </c>
      <c r="AB283" s="6">
        <f>$K$283*$V$283</f>
        <v>0</v>
      </c>
      <c r="AC283" s="6">
        <f>$M$283*$W$283</f>
        <v>0</v>
      </c>
      <c r="AD283" s="6">
        <f>$O$283*$X$283</f>
        <v>0</v>
      </c>
      <c r="AE283" s="6">
        <f>$K$283*$Y$283</f>
        <v>0</v>
      </c>
      <c r="AF283" s="6">
        <f ca="1">$M$283*$Z$283</f>
        <v>436.88612901008997</v>
      </c>
      <c r="AG283" s="6">
        <f>$O$283*$AA$283</f>
        <v>143.71752119283727</v>
      </c>
    </row>
    <row r="284" spans="1:33" ht="11.25" customHeight="1" x14ac:dyDescent="0.25">
      <c r="A284" s="4" t="s">
        <v>21</v>
      </c>
      <c r="B284" s="4" t="s">
        <v>32</v>
      </c>
      <c r="C284" s="4" t="s">
        <v>23</v>
      </c>
      <c r="D284" s="4" t="s">
        <v>40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44409</v>
      </c>
      <c r="J284" s="6">
        <v>0</v>
      </c>
      <c r="K284" s="6">
        <v>0</v>
      </c>
      <c r="L284" s="6">
        <v>211.33699999999999</v>
      </c>
      <c r="M284" s="6">
        <v>211.33699999999999</v>
      </c>
      <c r="N284" s="6">
        <v>211.33699999999999</v>
      </c>
      <c r="O284" s="6">
        <v>211.33699999999999</v>
      </c>
      <c r="P284" s="6">
        <v>385</v>
      </c>
      <c r="Q284" s="4" t="s">
        <v>26</v>
      </c>
      <c r="R284" s="4">
        <v>0</v>
      </c>
      <c r="S284" s="6">
        <v>0</v>
      </c>
      <c r="T284" s="6">
        <v>46</v>
      </c>
      <c r="U284" s="6">
        <v>84</v>
      </c>
      <c r="V284" s="6">
        <f>IF(ISERROR(VLOOKUP($S$284,'TAR FIN'!$A$1:$O$88,15,0)),0,VLOOKUP($S$284,'TAR FIN'!$A$1:$O$88,15,0))</f>
        <v>0</v>
      </c>
      <c r="W284" s="6">
        <f>IF(ISERROR(VLOOKUP($T$284,'TAR FIN'!$A$1:$O$88,15,0)),0,VLOOKUP($T$284,'TAR FIN'!$A$1:$O$88,15,0))</f>
        <v>0</v>
      </c>
      <c r="X284" s="6">
        <f>IF(ISERROR(VLOOKUP($U$284,'TAR FIN'!$A$1:$O$88,15,0)),0,VLOOKUP($U$284,'TAR FIN'!$A$1:$O$88,15,0))</f>
        <v>0</v>
      </c>
      <c r="Y284" s="6"/>
      <c r="Z284" s="6">
        <f ca="1">('TUSD BE'!$AM$48+'TUSD BF'!$AM$48+'TUSD CVA'!$AM$48)*1</f>
        <v>493.10070772969505</v>
      </c>
      <c r="AA284" s="6">
        <f>('TE BE'!$AB$39+'TE BF'!$AB$39+'TE CVA'!$AB$39)*1</f>
        <v>290.52986273778561</v>
      </c>
      <c r="AB284" s="6">
        <f>$K$284*$V$284</f>
        <v>0</v>
      </c>
      <c r="AC284" s="6">
        <f>$M$284*$W$284</f>
        <v>0</v>
      </c>
      <c r="AD284" s="6">
        <f>$O$284*$X$284</f>
        <v>0</v>
      </c>
      <c r="AE284" s="6">
        <f>$K$284*$Y$284</f>
        <v>0</v>
      </c>
      <c r="AF284" s="6">
        <f ca="1">$M$284*$Z$284</f>
        <v>104210.42426947056</v>
      </c>
      <c r="AG284" s="6">
        <f>$O$284*$AA$284</f>
        <v>61399.709601415394</v>
      </c>
    </row>
    <row r="285" spans="1:33" ht="11.25" customHeight="1" x14ac:dyDescent="0.25">
      <c r="A285" s="4" t="s">
        <v>27</v>
      </c>
      <c r="B285" s="4" t="s">
        <v>32</v>
      </c>
      <c r="C285" s="4" t="s">
        <v>23</v>
      </c>
      <c r="D285" s="4" t="s">
        <v>40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44409</v>
      </c>
      <c r="J285" s="6">
        <v>0</v>
      </c>
      <c r="K285" s="6">
        <v>0</v>
      </c>
      <c r="L285" s="6">
        <v>2.0169999999999999</v>
      </c>
      <c r="M285" s="6">
        <v>2.0169999999999999</v>
      </c>
      <c r="N285" s="6">
        <v>2.0169999999999999</v>
      </c>
      <c r="O285" s="6">
        <v>2.0169999999999999</v>
      </c>
      <c r="P285" s="6">
        <v>8</v>
      </c>
      <c r="Q285" s="4" t="s">
        <v>26</v>
      </c>
      <c r="R285" s="4">
        <v>0</v>
      </c>
      <c r="S285" s="6">
        <v>0</v>
      </c>
      <c r="T285" s="6">
        <v>46</v>
      </c>
      <c r="U285" s="6">
        <v>84</v>
      </c>
      <c r="V285" s="6">
        <f>IF(ISERROR(VLOOKUP($S$285,'TAR FIN'!$A$1:$O$88,15,0)),0,VLOOKUP($S$285,'TAR FIN'!$A$1:$O$88,15,0))</f>
        <v>0</v>
      </c>
      <c r="W285" s="6">
        <f>IF(ISERROR(VLOOKUP($T$285,'TAR FIN'!$A$1:$O$88,15,0)),0,VLOOKUP($T$285,'TAR FIN'!$A$1:$O$88,15,0))</f>
        <v>0</v>
      </c>
      <c r="X285" s="6">
        <f>IF(ISERROR(VLOOKUP($U$285,'TAR FIN'!$A$1:$O$88,15,0)),0,VLOOKUP($U$285,'TAR FIN'!$A$1:$O$88,15,0))</f>
        <v>0</v>
      </c>
      <c r="Y285" s="6"/>
      <c r="Z285" s="6">
        <f ca="1">('TUSD BE'!$AM$48+'TUSD BF'!$AM$48+'TUSD CVA'!$AM$48)*1</f>
        <v>493.10070772969505</v>
      </c>
      <c r="AA285" s="6">
        <f>('TE BE'!$AB$39+'TE BF'!$AB$39+'TE CVA'!$AB$39)*1</f>
        <v>290.52986273778561</v>
      </c>
      <c r="AB285" s="6">
        <f>$K$285*$V$285</f>
        <v>0</v>
      </c>
      <c r="AC285" s="6">
        <f>$M$285*$W$285</f>
        <v>0</v>
      </c>
      <c r="AD285" s="6">
        <f>$O$285*$X$285</f>
        <v>0</v>
      </c>
      <c r="AE285" s="6">
        <f>$K$285*$Y$285</f>
        <v>0</v>
      </c>
      <c r="AF285" s="6">
        <f ca="1">$M$285*$Z$285</f>
        <v>994.58412749079491</v>
      </c>
      <c r="AG285" s="6">
        <f>$O$285*$AA$285</f>
        <v>585.99873314211357</v>
      </c>
    </row>
    <row r="286" spans="1:33" ht="11.25" customHeight="1" x14ac:dyDescent="0.25">
      <c r="A286" s="4" t="s">
        <v>21</v>
      </c>
      <c r="B286" s="4" t="s">
        <v>32</v>
      </c>
      <c r="C286" s="4" t="s">
        <v>23</v>
      </c>
      <c r="D286" s="4" t="s">
        <v>40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202.76599999999999</v>
      </c>
      <c r="M286" s="6">
        <v>202.76599999999999</v>
      </c>
      <c r="N286" s="6">
        <v>202.76599999999999</v>
      </c>
      <c r="O286" s="6">
        <v>202.76599999999999</v>
      </c>
      <c r="P286" s="6">
        <v>390</v>
      </c>
      <c r="Q286" s="4" t="s">
        <v>26</v>
      </c>
      <c r="R286" s="4">
        <v>0</v>
      </c>
      <c r="S286" s="6">
        <v>0</v>
      </c>
      <c r="T286" s="6">
        <v>46</v>
      </c>
      <c r="U286" s="6">
        <v>84</v>
      </c>
      <c r="V286" s="6">
        <f>IF(ISERROR(VLOOKUP($S$286,'TAR FIN'!$A$1:$O$88,15,0)),0,VLOOKUP($S$286,'TAR FIN'!$A$1:$O$88,15,0))</f>
        <v>0</v>
      </c>
      <c r="W286" s="6">
        <f>IF(ISERROR(VLOOKUP($T$286,'TAR FIN'!$A$1:$O$88,15,0)),0,VLOOKUP($T$286,'TAR FIN'!$A$1:$O$88,15,0))</f>
        <v>0</v>
      </c>
      <c r="X286" s="6">
        <f>IF(ISERROR(VLOOKUP($U$286,'TAR FIN'!$A$1:$O$88,15,0)),0,VLOOKUP($U$286,'TAR FIN'!$A$1:$O$88,15,0))</f>
        <v>0</v>
      </c>
      <c r="Y286" s="6"/>
      <c r="Z286" s="6">
        <f ca="1">('TUSD BE'!$AM$48+'TUSD BF'!$AM$48+'TUSD CVA'!$AM$48)*1</f>
        <v>493.10070772969505</v>
      </c>
      <c r="AA286" s="6">
        <f>('TE BE'!$AB$39+'TE BF'!$AB$39+'TE CVA'!$AB$39)*1</f>
        <v>290.52986273778561</v>
      </c>
      <c r="AB286" s="6">
        <f>$K$286*$V$286</f>
        <v>0</v>
      </c>
      <c r="AC286" s="6">
        <f>$M$286*$W$286</f>
        <v>0</v>
      </c>
      <c r="AD286" s="6">
        <f>$O$286*$X$286</f>
        <v>0</v>
      </c>
      <c r="AE286" s="6">
        <f>$K$286*$Y$286</f>
        <v>0</v>
      </c>
      <c r="AF286" s="6">
        <f ca="1">$M$286*$Z$286</f>
        <v>99984.058103519346</v>
      </c>
      <c r="AG286" s="6">
        <f>$O$286*$AA$286</f>
        <v>58909.578147889835</v>
      </c>
    </row>
    <row r="287" spans="1:33" ht="11.25" customHeight="1" x14ac:dyDescent="0.25">
      <c r="A287" s="4" t="s">
        <v>27</v>
      </c>
      <c r="B287" s="4" t="s">
        <v>32</v>
      </c>
      <c r="C287" s="4" t="s">
        <v>23</v>
      </c>
      <c r="D287" s="4" t="s">
        <v>40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2.1030000000000002</v>
      </c>
      <c r="M287" s="6">
        <v>2.1030000000000002</v>
      </c>
      <c r="N287" s="6">
        <v>2.1030000000000002</v>
      </c>
      <c r="O287" s="6">
        <v>2.1030000000000002</v>
      </c>
      <c r="P287" s="6">
        <v>8</v>
      </c>
      <c r="Q287" s="4" t="s">
        <v>26</v>
      </c>
      <c r="R287" s="4">
        <v>0</v>
      </c>
      <c r="S287" s="6">
        <v>0</v>
      </c>
      <c r="T287" s="6">
        <v>46</v>
      </c>
      <c r="U287" s="6">
        <v>84</v>
      </c>
      <c r="V287" s="6">
        <f>IF(ISERROR(VLOOKUP($S$287,'TAR FIN'!$A$1:$O$88,15,0)),0,VLOOKUP($S$287,'TAR FIN'!$A$1:$O$88,15,0))</f>
        <v>0</v>
      </c>
      <c r="W287" s="6">
        <f>IF(ISERROR(VLOOKUP($T$287,'TAR FIN'!$A$1:$O$88,15,0)),0,VLOOKUP($T$287,'TAR FIN'!$A$1:$O$88,15,0))</f>
        <v>0</v>
      </c>
      <c r="X287" s="6">
        <f>IF(ISERROR(VLOOKUP($U$287,'TAR FIN'!$A$1:$O$88,15,0)),0,VLOOKUP($U$287,'TAR FIN'!$A$1:$O$88,15,0))</f>
        <v>0</v>
      </c>
      <c r="Y287" s="6"/>
      <c r="Z287" s="6">
        <f ca="1">('TUSD BE'!$AM$48+'TUSD BF'!$AM$48+'TUSD CVA'!$AM$48)*1</f>
        <v>493.10070772969505</v>
      </c>
      <c r="AA287" s="6">
        <f>('TE BE'!$AB$39+'TE BF'!$AB$39+'TE CVA'!$AB$39)*1</f>
        <v>290.52986273778561</v>
      </c>
      <c r="AB287" s="6">
        <f>$K$287*$V$287</f>
        <v>0</v>
      </c>
      <c r="AC287" s="6">
        <f>$M$287*$W$287</f>
        <v>0</v>
      </c>
      <c r="AD287" s="6">
        <f>$O$287*$X$287</f>
        <v>0</v>
      </c>
      <c r="AE287" s="6">
        <f>$K$287*$Y$287</f>
        <v>0</v>
      </c>
      <c r="AF287" s="6">
        <f ca="1">$M$287*$Z$287</f>
        <v>1036.9907883555488</v>
      </c>
      <c r="AG287" s="6">
        <f>$O$287*$AA$287</f>
        <v>610.98430133756324</v>
      </c>
    </row>
    <row r="288" spans="1:33" ht="11.25" customHeight="1" x14ac:dyDescent="0.25">
      <c r="A288" s="4" t="s">
        <v>21</v>
      </c>
      <c r="B288" s="4" t="s">
        <v>32</v>
      </c>
      <c r="C288" s="4" t="s">
        <v>23</v>
      </c>
      <c r="D288" s="4" t="s">
        <v>40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44470</v>
      </c>
      <c r="J288" s="6">
        <v>0</v>
      </c>
      <c r="K288" s="6">
        <v>0</v>
      </c>
      <c r="L288" s="6">
        <v>242.50399999999999</v>
      </c>
      <c r="M288" s="6">
        <v>242.50399999999999</v>
      </c>
      <c r="N288" s="6">
        <v>242.50399999999999</v>
      </c>
      <c r="O288" s="6">
        <v>242.50399999999999</v>
      </c>
      <c r="P288" s="6">
        <v>391</v>
      </c>
      <c r="Q288" s="4" t="s">
        <v>26</v>
      </c>
      <c r="R288" s="4">
        <v>0</v>
      </c>
      <c r="S288" s="6">
        <v>0</v>
      </c>
      <c r="T288" s="6">
        <v>46</v>
      </c>
      <c r="U288" s="6">
        <v>84</v>
      </c>
      <c r="V288" s="6">
        <f>IF(ISERROR(VLOOKUP($S$288,'TAR FIN'!$A$1:$O$88,15,0)),0,VLOOKUP($S$288,'TAR FIN'!$A$1:$O$88,15,0))</f>
        <v>0</v>
      </c>
      <c r="W288" s="6">
        <f>IF(ISERROR(VLOOKUP($T$288,'TAR FIN'!$A$1:$O$88,15,0)),0,VLOOKUP($T$288,'TAR FIN'!$A$1:$O$88,15,0))</f>
        <v>0</v>
      </c>
      <c r="X288" s="6">
        <f>IF(ISERROR(VLOOKUP($U$288,'TAR FIN'!$A$1:$O$88,15,0)),0,VLOOKUP($U$288,'TAR FIN'!$A$1:$O$88,15,0))</f>
        <v>0</v>
      </c>
      <c r="Y288" s="6"/>
      <c r="Z288" s="6">
        <f ca="1">('TUSD BE'!$AM$48+'TUSD BF'!$AM$48+'TUSD CVA'!$AM$48)*1</f>
        <v>493.10070772969505</v>
      </c>
      <c r="AA288" s="6">
        <f>('TE BE'!$AB$39+'TE BF'!$AB$39+'TE CVA'!$AB$39)*1</f>
        <v>290.52986273778561</v>
      </c>
      <c r="AB288" s="6">
        <f>$K$288*$V$288</f>
        <v>0</v>
      </c>
      <c r="AC288" s="6">
        <f>$M$288*$W$288</f>
        <v>0</v>
      </c>
      <c r="AD288" s="6">
        <f>$O$288*$X$288</f>
        <v>0</v>
      </c>
      <c r="AE288" s="6">
        <f>$K$288*$Y$288</f>
        <v>0</v>
      </c>
      <c r="AF288" s="6">
        <f ca="1">$M$288*$Z$288</f>
        <v>119578.89402728196</v>
      </c>
      <c r="AG288" s="6">
        <f>$O$288*$AA$288</f>
        <v>70454.653833363962</v>
      </c>
    </row>
    <row r="289" spans="1:33" ht="11.25" customHeight="1" x14ac:dyDescent="0.25">
      <c r="A289" s="4" t="s">
        <v>27</v>
      </c>
      <c r="B289" s="4" t="s">
        <v>32</v>
      </c>
      <c r="C289" s="4" t="s">
        <v>23</v>
      </c>
      <c r="D289" s="4" t="s">
        <v>40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6.4560000000000004</v>
      </c>
      <c r="M289" s="6">
        <v>6.4560000000000004</v>
      </c>
      <c r="N289" s="6">
        <v>6.4560000000000004</v>
      </c>
      <c r="O289" s="6">
        <v>6.4560000000000004</v>
      </c>
      <c r="P289" s="6">
        <v>9</v>
      </c>
      <c r="Q289" s="4" t="s">
        <v>26</v>
      </c>
      <c r="R289" s="4">
        <v>0</v>
      </c>
      <c r="S289" s="6">
        <v>0</v>
      </c>
      <c r="T289" s="6">
        <v>46</v>
      </c>
      <c r="U289" s="6">
        <v>84</v>
      </c>
      <c r="V289" s="6">
        <f>IF(ISERROR(VLOOKUP($S$289,'TAR FIN'!$A$1:$O$88,15,0)),0,VLOOKUP($S$289,'TAR FIN'!$A$1:$O$88,15,0))</f>
        <v>0</v>
      </c>
      <c r="W289" s="6">
        <f>IF(ISERROR(VLOOKUP($T$289,'TAR FIN'!$A$1:$O$88,15,0)),0,VLOOKUP($T$289,'TAR FIN'!$A$1:$O$88,15,0))</f>
        <v>0</v>
      </c>
      <c r="X289" s="6">
        <f>IF(ISERROR(VLOOKUP($U$289,'TAR FIN'!$A$1:$O$88,15,0)),0,VLOOKUP($U$289,'TAR FIN'!$A$1:$O$88,15,0))</f>
        <v>0</v>
      </c>
      <c r="Y289" s="6"/>
      <c r="Z289" s="6">
        <f ca="1">('TUSD BE'!$AM$48+'TUSD BF'!$AM$48+'TUSD CVA'!$AM$48)*1</f>
        <v>493.10070772969505</v>
      </c>
      <c r="AA289" s="6">
        <f>('TE BE'!$AB$39+'TE BF'!$AB$39+'TE CVA'!$AB$39)*1</f>
        <v>290.52986273778561</v>
      </c>
      <c r="AB289" s="6">
        <f>$K$289*$V$289</f>
        <v>0</v>
      </c>
      <c r="AC289" s="6">
        <f>$M$289*$W$289</f>
        <v>0</v>
      </c>
      <c r="AD289" s="6">
        <f>$O$289*$X$289</f>
        <v>0</v>
      </c>
      <c r="AE289" s="6">
        <f>$K$289*$Y$289</f>
        <v>0</v>
      </c>
      <c r="AF289" s="6">
        <f ca="1">$M$289*$Z$289</f>
        <v>3183.4581691029116</v>
      </c>
      <c r="AG289" s="6">
        <f>$O$289*$AA$289</f>
        <v>1875.660793835144</v>
      </c>
    </row>
    <row r="290" spans="1:33" ht="11.25" customHeight="1" x14ac:dyDescent="0.25">
      <c r="A290" s="4" t="s">
        <v>21</v>
      </c>
      <c r="B290" s="4" t="s">
        <v>32</v>
      </c>
      <c r="C290" s="4" t="s">
        <v>23</v>
      </c>
      <c r="D290" s="4" t="s">
        <v>40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44501</v>
      </c>
      <c r="J290" s="6">
        <v>0</v>
      </c>
      <c r="K290" s="6">
        <v>0</v>
      </c>
      <c r="L290" s="6">
        <v>210.94</v>
      </c>
      <c r="M290" s="6">
        <v>210.94</v>
      </c>
      <c r="N290" s="6">
        <v>210.94</v>
      </c>
      <c r="O290" s="6">
        <v>210.94</v>
      </c>
      <c r="P290" s="6">
        <v>393</v>
      </c>
      <c r="Q290" s="4" t="s">
        <v>26</v>
      </c>
      <c r="R290" s="4">
        <v>0</v>
      </c>
      <c r="S290" s="6">
        <v>0</v>
      </c>
      <c r="T290" s="6">
        <v>46</v>
      </c>
      <c r="U290" s="6">
        <v>84</v>
      </c>
      <c r="V290" s="6">
        <f>IF(ISERROR(VLOOKUP($S$290,'TAR FIN'!$A$1:$O$88,15,0)),0,VLOOKUP($S$290,'TAR FIN'!$A$1:$O$88,15,0))</f>
        <v>0</v>
      </c>
      <c r="W290" s="6">
        <f>IF(ISERROR(VLOOKUP($T$290,'TAR FIN'!$A$1:$O$88,15,0)),0,VLOOKUP($T$290,'TAR FIN'!$A$1:$O$88,15,0))</f>
        <v>0</v>
      </c>
      <c r="X290" s="6">
        <f>IF(ISERROR(VLOOKUP($U$290,'TAR FIN'!$A$1:$O$88,15,0)),0,VLOOKUP($U$290,'TAR FIN'!$A$1:$O$88,15,0))</f>
        <v>0</v>
      </c>
      <c r="Y290" s="6"/>
      <c r="Z290" s="6">
        <f ca="1">('TUSD BE'!$AM$48+'TUSD BF'!$AM$48+'TUSD CVA'!$AM$48)*1</f>
        <v>493.10070772969505</v>
      </c>
      <c r="AA290" s="6">
        <f>('TE BE'!$AB$39+'TE BF'!$AB$39+'TE CVA'!$AB$39)*1</f>
        <v>290.52986273778561</v>
      </c>
      <c r="AB290" s="6">
        <f>$K$290*$V$290</f>
        <v>0</v>
      </c>
      <c r="AC290" s="6">
        <f>$M$290*$W$290</f>
        <v>0</v>
      </c>
      <c r="AD290" s="6">
        <f>$O$290*$X$290</f>
        <v>0</v>
      </c>
      <c r="AE290" s="6">
        <f>$K$290*$Y$290</f>
        <v>0</v>
      </c>
      <c r="AF290" s="6">
        <f ca="1">$M$290*$Z$290</f>
        <v>104014.66328850188</v>
      </c>
      <c r="AG290" s="6">
        <f>$O$290*$AA$290</f>
        <v>61284.369245908492</v>
      </c>
    </row>
    <row r="291" spans="1:33" ht="11.25" customHeight="1" x14ac:dyDescent="0.25">
      <c r="A291" s="4" t="s">
        <v>27</v>
      </c>
      <c r="B291" s="4" t="s">
        <v>32</v>
      </c>
      <c r="C291" s="4" t="s">
        <v>23</v>
      </c>
      <c r="D291" s="4" t="s">
        <v>40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1.2330000000000001</v>
      </c>
      <c r="M291" s="6">
        <v>1.2330000000000001</v>
      </c>
      <c r="N291" s="6">
        <v>1.2330000000000001</v>
      </c>
      <c r="O291" s="6">
        <v>1.2330000000000001</v>
      </c>
      <c r="P291" s="6">
        <v>9</v>
      </c>
      <c r="Q291" s="4" t="s">
        <v>26</v>
      </c>
      <c r="R291" s="4">
        <v>0</v>
      </c>
      <c r="S291" s="6">
        <v>0</v>
      </c>
      <c r="T291" s="6">
        <v>46</v>
      </c>
      <c r="U291" s="6">
        <v>84</v>
      </c>
      <c r="V291" s="6">
        <f>IF(ISERROR(VLOOKUP($S$291,'TAR FIN'!$A$1:$O$88,15,0)),0,VLOOKUP($S$291,'TAR FIN'!$A$1:$O$88,15,0))</f>
        <v>0</v>
      </c>
      <c r="W291" s="6">
        <f>IF(ISERROR(VLOOKUP($T$291,'TAR FIN'!$A$1:$O$88,15,0)),0,VLOOKUP($T$291,'TAR FIN'!$A$1:$O$88,15,0))</f>
        <v>0</v>
      </c>
      <c r="X291" s="6">
        <f>IF(ISERROR(VLOOKUP($U$291,'TAR FIN'!$A$1:$O$88,15,0)),0,VLOOKUP($U$291,'TAR FIN'!$A$1:$O$88,15,0))</f>
        <v>0</v>
      </c>
      <c r="Y291" s="6"/>
      <c r="Z291" s="6">
        <f ca="1">('TUSD BE'!$AM$48+'TUSD BF'!$AM$48+'TUSD CVA'!$AM$48)*1</f>
        <v>493.10070772969505</v>
      </c>
      <c r="AA291" s="6">
        <f>('TE BE'!$AB$39+'TE BF'!$AB$39+'TE CVA'!$AB$39)*1</f>
        <v>290.52986273778561</v>
      </c>
      <c r="AB291" s="6">
        <f>$K$291*$V$291</f>
        <v>0</v>
      </c>
      <c r="AC291" s="6">
        <f>$M$291*$W$291</f>
        <v>0</v>
      </c>
      <c r="AD291" s="6">
        <f>$O$291*$X$291</f>
        <v>0</v>
      </c>
      <c r="AE291" s="6">
        <f>$K$291*$Y$291</f>
        <v>0</v>
      </c>
      <c r="AF291" s="6">
        <f ca="1">$M$291*$Z$291</f>
        <v>607.99317263071407</v>
      </c>
      <c r="AG291" s="6">
        <f>$O$291*$AA$291</f>
        <v>358.22332075568966</v>
      </c>
    </row>
    <row r="292" spans="1:33" ht="11.25" customHeight="1" x14ac:dyDescent="0.25">
      <c r="A292" s="4" t="s">
        <v>21</v>
      </c>
      <c r="B292" s="4" t="s">
        <v>32</v>
      </c>
      <c r="C292" s="4" t="s">
        <v>23</v>
      </c>
      <c r="D292" s="4" t="s">
        <v>40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44531</v>
      </c>
      <c r="J292" s="6">
        <v>0</v>
      </c>
      <c r="K292" s="6">
        <v>0</v>
      </c>
      <c r="L292" s="6">
        <v>248</v>
      </c>
      <c r="M292" s="6">
        <v>248</v>
      </c>
      <c r="N292" s="6">
        <v>248</v>
      </c>
      <c r="O292" s="6">
        <v>248</v>
      </c>
      <c r="P292" s="6">
        <v>393</v>
      </c>
      <c r="Q292" s="4" t="s">
        <v>26</v>
      </c>
      <c r="R292" s="4">
        <v>0</v>
      </c>
      <c r="S292" s="6">
        <v>0</v>
      </c>
      <c r="T292" s="6">
        <v>46</v>
      </c>
      <c r="U292" s="6">
        <v>84</v>
      </c>
      <c r="V292" s="6">
        <f>IF(ISERROR(VLOOKUP($S$292,'TAR FIN'!$A$1:$O$88,15,0)),0,VLOOKUP($S$292,'TAR FIN'!$A$1:$O$88,15,0))</f>
        <v>0</v>
      </c>
      <c r="W292" s="6">
        <f>IF(ISERROR(VLOOKUP($T$292,'TAR FIN'!$A$1:$O$88,15,0)),0,VLOOKUP($T$292,'TAR FIN'!$A$1:$O$88,15,0))</f>
        <v>0</v>
      </c>
      <c r="X292" s="6">
        <f>IF(ISERROR(VLOOKUP($U$292,'TAR FIN'!$A$1:$O$88,15,0)),0,VLOOKUP($U$292,'TAR FIN'!$A$1:$O$88,15,0))</f>
        <v>0</v>
      </c>
      <c r="Y292" s="6"/>
      <c r="Z292" s="6">
        <f ca="1">('TUSD BE'!$AM$48+'TUSD BF'!$AM$48+'TUSD CVA'!$AM$48)*1</f>
        <v>493.10070772969505</v>
      </c>
      <c r="AA292" s="6">
        <f>('TE BE'!$AB$39+'TE BF'!$AB$39+'TE CVA'!$AB$39)*1</f>
        <v>290.52986273778561</v>
      </c>
      <c r="AB292" s="6">
        <f>$K$292*$V$292</f>
        <v>0</v>
      </c>
      <c r="AC292" s="6">
        <f>$M$292*$W$292</f>
        <v>0</v>
      </c>
      <c r="AD292" s="6">
        <f>$O$292*$X$292</f>
        <v>0</v>
      </c>
      <c r="AE292" s="6">
        <f>$K$292*$Y$292</f>
        <v>0</v>
      </c>
      <c r="AF292" s="6">
        <f ca="1">$M$292*$Z$292</f>
        <v>122288.97551696438</v>
      </c>
      <c r="AG292" s="6">
        <f>$O$292*$AA$292</f>
        <v>72051.405958970834</v>
      </c>
    </row>
    <row r="293" spans="1:33" ht="11.25" customHeight="1" x14ac:dyDescent="0.25">
      <c r="A293" s="4" t="s">
        <v>27</v>
      </c>
      <c r="B293" s="4" t="s">
        <v>32</v>
      </c>
      <c r="C293" s="4" t="s">
        <v>23</v>
      </c>
      <c r="D293" s="4" t="s">
        <v>40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1.462</v>
      </c>
      <c r="M293" s="6">
        <v>1.462</v>
      </c>
      <c r="N293" s="6">
        <v>1.462</v>
      </c>
      <c r="O293" s="6">
        <v>1.462</v>
      </c>
      <c r="P293" s="6">
        <v>10</v>
      </c>
      <c r="Q293" s="4" t="s">
        <v>26</v>
      </c>
      <c r="R293" s="4">
        <v>0</v>
      </c>
      <c r="S293" s="6">
        <v>0</v>
      </c>
      <c r="T293" s="6">
        <v>46</v>
      </c>
      <c r="U293" s="6">
        <v>84</v>
      </c>
      <c r="V293" s="6">
        <f>IF(ISERROR(VLOOKUP($S$293,'TAR FIN'!$A$1:$O$88,15,0)),0,VLOOKUP($S$293,'TAR FIN'!$A$1:$O$88,15,0))</f>
        <v>0</v>
      </c>
      <c r="W293" s="6">
        <f>IF(ISERROR(VLOOKUP($T$293,'TAR FIN'!$A$1:$O$88,15,0)),0,VLOOKUP($T$293,'TAR FIN'!$A$1:$O$88,15,0))</f>
        <v>0</v>
      </c>
      <c r="X293" s="6">
        <f>IF(ISERROR(VLOOKUP($U$293,'TAR FIN'!$A$1:$O$88,15,0)),0,VLOOKUP($U$293,'TAR FIN'!$A$1:$O$88,15,0))</f>
        <v>0</v>
      </c>
      <c r="Y293" s="6"/>
      <c r="Z293" s="6">
        <f ca="1">('TUSD BE'!$AM$48+'TUSD BF'!$AM$48+'TUSD CVA'!$AM$48)*1</f>
        <v>493.10070772969505</v>
      </c>
      <c r="AA293" s="6">
        <f>('TE BE'!$AB$39+'TE BF'!$AB$39+'TE CVA'!$AB$39)*1</f>
        <v>290.52986273778561</v>
      </c>
      <c r="AB293" s="6">
        <f>$K$293*$V$293</f>
        <v>0</v>
      </c>
      <c r="AC293" s="6">
        <f>$M$293*$W$293</f>
        <v>0</v>
      </c>
      <c r="AD293" s="6">
        <f>$O$293*$X$293</f>
        <v>0</v>
      </c>
      <c r="AE293" s="6">
        <f>$K$293*$Y$293</f>
        <v>0</v>
      </c>
      <c r="AF293" s="6">
        <f ca="1">$M$293*$Z$293</f>
        <v>720.91323470081409</v>
      </c>
      <c r="AG293" s="6">
        <f>$O$293*$AA$293</f>
        <v>424.75465932264257</v>
      </c>
    </row>
    <row r="294" spans="1:33" ht="11.25" customHeight="1" x14ac:dyDescent="0.25">
      <c r="A294" s="4" t="s">
        <v>21</v>
      </c>
      <c r="B294" s="4" t="s">
        <v>32</v>
      </c>
      <c r="C294" s="4" t="s">
        <v>23</v>
      </c>
      <c r="D294" s="4" t="s">
        <v>40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44562</v>
      </c>
      <c r="J294" s="6">
        <v>0</v>
      </c>
      <c r="K294" s="6">
        <v>0</v>
      </c>
      <c r="L294" s="6">
        <v>247.34299999999999</v>
      </c>
      <c r="M294" s="6">
        <v>247.34299999999999</v>
      </c>
      <c r="N294" s="6">
        <v>247.34299999999999</v>
      </c>
      <c r="O294" s="6">
        <v>247.34299999999999</v>
      </c>
      <c r="P294" s="6">
        <v>402</v>
      </c>
      <c r="Q294" s="4" t="s">
        <v>26</v>
      </c>
      <c r="R294" s="4">
        <v>0</v>
      </c>
      <c r="S294" s="6">
        <v>0</v>
      </c>
      <c r="T294" s="6">
        <v>46</v>
      </c>
      <c r="U294" s="6">
        <v>84</v>
      </c>
      <c r="V294" s="6">
        <f>IF(ISERROR(VLOOKUP($S$294,'TAR FIN'!$A$1:$O$88,15,0)),0,VLOOKUP($S$294,'TAR FIN'!$A$1:$O$88,15,0))</f>
        <v>0</v>
      </c>
      <c r="W294" s="6">
        <f>IF(ISERROR(VLOOKUP($T$294,'TAR FIN'!$A$1:$O$88,15,0)),0,VLOOKUP($T$294,'TAR FIN'!$A$1:$O$88,15,0))</f>
        <v>0</v>
      </c>
      <c r="X294" s="6">
        <f>IF(ISERROR(VLOOKUP($U$294,'TAR FIN'!$A$1:$O$88,15,0)),0,VLOOKUP($U$294,'TAR FIN'!$A$1:$O$88,15,0))</f>
        <v>0</v>
      </c>
      <c r="Y294" s="6"/>
      <c r="Z294" s="6">
        <f ca="1">('TUSD BE'!$AM$48+'TUSD BF'!$AM$48+'TUSD CVA'!$AM$48)*1</f>
        <v>493.10070772969505</v>
      </c>
      <c r="AA294" s="6">
        <f>('TE BE'!$AB$39+'TE BF'!$AB$39+'TE CVA'!$AB$39)*1</f>
        <v>290.52986273778561</v>
      </c>
      <c r="AB294" s="6">
        <f>$K$294*$V$294</f>
        <v>0</v>
      </c>
      <c r="AC294" s="6">
        <f>$M$294*$W$294</f>
        <v>0</v>
      </c>
      <c r="AD294" s="6">
        <f>$O$294*$X$294</f>
        <v>0</v>
      </c>
      <c r="AE294" s="6">
        <f>$K$294*$Y$294</f>
        <v>0</v>
      </c>
      <c r="AF294" s="6">
        <f ca="1">$M$294*$Z$294</f>
        <v>121965.00835198596</v>
      </c>
      <c r="AG294" s="6">
        <f>$O$294*$AA$294</f>
        <v>71860.527839152099</v>
      </c>
    </row>
    <row r="295" spans="1:33" ht="11.25" customHeight="1" x14ac:dyDescent="0.25">
      <c r="A295" s="4" t="s">
        <v>27</v>
      </c>
      <c r="B295" s="4" t="s">
        <v>32</v>
      </c>
      <c r="C295" s="4" t="s">
        <v>23</v>
      </c>
      <c r="D295" s="4" t="s">
        <v>40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44562</v>
      </c>
      <c r="J295" s="6">
        <v>0</v>
      </c>
      <c r="K295" s="6">
        <v>0</v>
      </c>
      <c r="L295" s="6">
        <v>1.47</v>
      </c>
      <c r="M295" s="6">
        <v>1.47</v>
      </c>
      <c r="N295" s="6">
        <v>1.47</v>
      </c>
      <c r="O295" s="6">
        <v>1.47</v>
      </c>
      <c r="P295" s="6">
        <v>10</v>
      </c>
      <c r="Q295" s="4" t="s">
        <v>26</v>
      </c>
      <c r="R295" s="4">
        <v>0</v>
      </c>
      <c r="S295" s="6">
        <v>0</v>
      </c>
      <c r="T295" s="6">
        <v>46</v>
      </c>
      <c r="U295" s="6">
        <v>84</v>
      </c>
      <c r="V295" s="6">
        <f>IF(ISERROR(VLOOKUP($S$295,'TAR FIN'!$A$1:$O$88,15,0)),0,VLOOKUP($S$295,'TAR FIN'!$A$1:$O$88,15,0))</f>
        <v>0</v>
      </c>
      <c r="W295" s="6">
        <f>IF(ISERROR(VLOOKUP($T$295,'TAR FIN'!$A$1:$O$88,15,0)),0,VLOOKUP($T$295,'TAR FIN'!$A$1:$O$88,15,0))</f>
        <v>0</v>
      </c>
      <c r="X295" s="6">
        <f>IF(ISERROR(VLOOKUP($U$295,'TAR FIN'!$A$1:$O$88,15,0)),0,VLOOKUP($U$295,'TAR FIN'!$A$1:$O$88,15,0))</f>
        <v>0</v>
      </c>
      <c r="Y295" s="6"/>
      <c r="Z295" s="6">
        <f ca="1">('TUSD BE'!$AM$48+'TUSD BF'!$AM$48+'TUSD CVA'!$AM$48)*1</f>
        <v>493.10070772969505</v>
      </c>
      <c r="AA295" s="6">
        <f>('TE BE'!$AB$39+'TE BF'!$AB$39+'TE CVA'!$AB$39)*1</f>
        <v>290.52986273778561</v>
      </c>
      <c r="AB295" s="6">
        <f>$K$295*$V$295</f>
        <v>0</v>
      </c>
      <c r="AC295" s="6">
        <f>$M$295*$W$295</f>
        <v>0</v>
      </c>
      <c r="AD295" s="6">
        <f>$O$295*$X$295</f>
        <v>0</v>
      </c>
      <c r="AE295" s="6">
        <f>$K$295*$Y$295</f>
        <v>0</v>
      </c>
      <c r="AF295" s="6">
        <f ca="1">$M$295*$Z$295</f>
        <v>724.85804036265165</v>
      </c>
      <c r="AG295" s="6">
        <f>$O$295*$AA$295</f>
        <v>427.07889822454484</v>
      </c>
    </row>
    <row r="296" spans="1:33" ht="11.25" customHeight="1" x14ac:dyDescent="0.25">
      <c r="A296" s="4" t="s">
        <v>21</v>
      </c>
      <c r="B296" s="4" t="s">
        <v>32</v>
      </c>
      <c r="C296" s="4" t="s">
        <v>23</v>
      </c>
      <c r="D296" s="4" t="s">
        <v>40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44593</v>
      </c>
      <c r="J296" s="6">
        <v>0</v>
      </c>
      <c r="K296" s="6">
        <v>0</v>
      </c>
      <c r="L296" s="6">
        <v>309.64100000000002</v>
      </c>
      <c r="M296" s="6">
        <v>309.64100000000002</v>
      </c>
      <c r="N296" s="6">
        <v>309.64100000000002</v>
      </c>
      <c r="O296" s="6">
        <v>309.64100000000002</v>
      </c>
      <c r="P296" s="6">
        <v>400</v>
      </c>
      <c r="Q296" s="4" t="s">
        <v>26</v>
      </c>
      <c r="R296" s="4">
        <v>0</v>
      </c>
      <c r="S296" s="6">
        <v>0</v>
      </c>
      <c r="T296" s="6">
        <v>46</v>
      </c>
      <c r="U296" s="6">
        <v>84</v>
      </c>
      <c r="V296" s="6">
        <f>IF(ISERROR(VLOOKUP($S$296,'TAR FIN'!$A$1:$O$88,15,0)),0,VLOOKUP($S$296,'TAR FIN'!$A$1:$O$88,15,0))</f>
        <v>0</v>
      </c>
      <c r="W296" s="6">
        <f>IF(ISERROR(VLOOKUP($T$296,'TAR FIN'!$A$1:$O$88,15,0)),0,VLOOKUP($T$296,'TAR FIN'!$A$1:$O$88,15,0))</f>
        <v>0</v>
      </c>
      <c r="X296" s="6">
        <f>IF(ISERROR(VLOOKUP($U$296,'TAR FIN'!$A$1:$O$88,15,0)),0,VLOOKUP($U$296,'TAR FIN'!$A$1:$O$88,15,0))</f>
        <v>0</v>
      </c>
      <c r="Y296" s="6"/>
      <c r="Z296" s="6">
        <f ca="1">('TUSD BE'!$AM$48+'TUSD BF'!$AM$48+'TUSD CVA'!$AM$48)*1</f>
        <v>493.10070772969505</v>
      </c>
      <c r="AA296" s="6">
        <f>('TE BE'!$AB$39+'TE BF'!$AB$39+'TE CVA'!$AB$39)*1</f>
        <v>290.52986273778561</v>
      </c>
      <c r="AB296" s="6">
        <f>$K$296*$V$296</f>
        <v>0</v>
      </c>
      <c r="AC296" s="6">
        <f>$M$296*$W$296</f>
        <v>0</v>
      </c>
      <c r="AD296" s="6">
        <f>$O$296*$X$296</f>
        <v>0</v>
      </c>
      <c r="AE296" s="6">
        <f>$K$296*$Y$296</f>
        <v>0</v>
      </c>
      <c r="AF296" s="6">
        <f ca="1">$M$296*$Z$296</f>
        <v>152684.19624213051</v>
      </c>
      <c r="AG296" s="6">
        <f>$O$296*$AA$296</f>
        <v>89959.957227990672</v>
      </c>
    </row>
    <row r="297" spans="1:33" ht="11.25" customHeight="1" x14ac:dyDescent="0.25">
      <c r="A297" s="4" t="s">
        <v>27</v>
      </c>
      <c r="B297" s="4" t="s">
        <v>32</v>
      </c>
      <c r="C297" s="4" t="s">
        <v>23</v>
      </c>
      <c r="D297" s="4" t="s">
        <v>40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44593</v>
      </c>
      <c r="J297" s="6">
        <v>0</v>
      </c>
      <c r="K297" s="6">
        <v>0</v>
      </c>
      <c r="L297" s="6">
        <v>3.29</v>
      </c>
      <c r="M297" s="6">
        <v>3.29</v>
      </c>
      <c r="N297" s="6">
        <v>3.29</v>
      </c>
      <c r="O297" s="6">
        <v>3.29</v>
      </c>
      <c r="P297" s="6">
        <v>10</v>
      </c>
      <c r="Q297" s="4" t="s">
        <v>26</v>
      </c>
      <c r="R297" s="4">
        <v>0</v>
      </c>
      <c r="S297" s="6">
        <v>0</v>
      </c>
      <c r="T297" s="6">
        <v>46</v>
      </c>
      <c r="U297" s="6">
        <v>84</v>
      </c>
      <c r="V297" s="6">
        <f>IF(ISERROR(VLOOKUP($S$297,'TAR FIN'!$A$1:$O$88,15,0)),0,VLOOKUP($S$297,'TAR FIN'!$A$1:$O$88,15,0))</f>
        <v>0</v>
      </c>
      <c r="W297" s="6">
        <f>IF(ISERROR(VLOOKUP($T$297,'TAR FIN'!$A$1:$O$88,15,0)),0,VLOOKUP($T$297,'TAR FIN'!$A$1:$O$88,15,0))</f>
        <v>0</v>
      </c>
      <c r="X297" s="6">
        <f>IF(ISERROR(VLOOKUP($U$297,'TAR FIN'!$A$1:$O$88,15,0)),0,VLOOKUP($U$297,'TAR FIN'!$A$1:$O$88,15,0))</f>
        <v>0</v>
      </c>
      <c r="Y297" s="6"/>
      <c r="Z297" s="6">
        <f ca="1">('TUSD BE'!$AM$48+'TUSD BF'!$AM$48+'TUSD CVA'!$AM$48)*1</f>
        <v>493.10070772969505</v>
      </c>
      <c r="AA297" s="6">
        <f>('TE BE'!$AB$39+'TE BF'!$AB$39+'TE CVA'!$AB$39)*1</f>
        <v>290.52986273778561</v>
      </c>
      <c r="AB297" s="6">
        <f>$K$297*$V$297</f>
        <v>0</v>
      </c>
      <c r="AC297" s="6">
        <f>$M$297*$W$297</f>
        <v>0</v>
      </c>
      <c r="AD297" s="6">
        <f>$O$297*$X$297</f>
        <v>0</v>
      </c>
      <c r="AE297" s="6">
        <f>$K$297*$Y$297</f>
        <v>0</v>
      </c>
      <c r="AF297" s="6">
        <f ca="1">$M$297*$Z$297</f>
        <v>1622.3013284306967</v>
      </c>
      <c r="AG297" s="6">
        <f>$O$297*$AA$297</f>
        <v>955.8432484073146</v>
      </c>
    </row>
    <row r="298" spans="1:33" ht="11.25" customHeight="1" x14ac:dyDescent="0.25">
      <c r="A298" s="4" t="s">
        <v>21</v>
      </c>
      <c r="B298" s="4" t="s">
        <v>32</v>
      </c>
      <c r="C298" s="4" t="s">
        <v>23</v>
      </c>
      <c r="D298" s="4" t="s">
        <v>40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44621</v>
      </c>
      <c r="J298" s="6">
        <v>0</v>
      </c>
      <c r="K298" s="6">
        <v>0</v>
      </c>
      <c r="L298" s="6">
        <v>276.42200000000003</v>
      </c>
      <c r="M298" s="6">
        <v>276.42200000000003</v>
      </c>
      <c r="N298" s="6">
        <v>276.42200000000003</v>
      </c>
      <c r="O298" s="6">
        <v>276.42200000000003</v>
      </c>
      <c r="P298" s="6">
        <v>396</v>
      </c>
      <c r="Q298" s="4" t="s">
        <v>26</v>
      </c>
      <c r="R298" s="4">
        <v>0</v>
      </c>
      <c r="S298" s="6">
        <v>0</v>
      </c>
      <c r="T298" s="6">
        <v>46</v>
      </c>
      <c r="U298" s="6">
        <v>84</v>
      </c>
      <c r="V298" s="6">
        <f>IF(ISERROR(VLOOKUP($S$298,'TAR FIN'!$A$1:$O$88,15,0)),0,VLOOKUP($S$298,'TAR FIN'!$A$1:$O$88,15,0))</f>
        <v>0</v>
      </c>
      <c r="W298" s="6">
        <f>IF(ISERROR(VLOOKUP($T$298,'TAR FIN'!$A$1:$O$88,15,0)),0,VLOOKUP($T$298,'TAR FIN'!$A$1:$O$88,15,0))</f>
        <v>0</v>
      </c>
      <c r="X298" s="6">
        <f>IF(ISERROR(VLOOKUP($U$298,'TAR FIN'!$A$1:$O$88,15,0)),0,VLOOKUP($U$298,'TAR FIN'!$A$1:$O$88,15,0))</f>
        <v>0</v>
      </c>
      <c r="Y298" s="6"/>
      <c r="Z298" s="6">
        <f ca="1">('TUSD BE'!$AM$48+'TUSD BF'!$AM$48+'TUSD CVA'!$AM$48)*1</f>
        <v>493.10070772969505</v>
      </c>
      <c r="AA298" s="6">
        <f>('TE BE'!$AB$39+'TE BF'!$AB$39+'TE CVA'!$AB$39)*1</f>
        <v>290.52986273778561</v>
      </c>
      <c r="AB298" s="6">
        <f>$K$298*$V$298</f>
        <v>0</v>
      </c>
      <c r="AC298" s="6">
        <f>$M$298*$W$298</f>
        <v>0</v>
      </c>
      <c r="AD298" s="6">
        <f>$O$298*$X$298</f>
        <v>0</v>
      </c>
      <c r="AE298" s="6">
        <f>$K$298*$Y$298</f>
        <v>0</v>
      </c>
      <c r="AF298" s="6">
        <f ca="1">$M$298*$Z$298</f>
        <v>136303.88383205776</v>
      </c>
      <c r="AG298" s="6">
        <f>$O$298*$AA$298</f>
        <v>80308.845717704186</v>
      </c>
    </row>
    <row r="299" spans="1:33" ht="11.25" customHeight="1" x14ac:dyDescent="0.25">
      <c r="A299" s="4" t="s">
        <v>27</v>
      </c>
      <c r="B299" s="4" t="s">
        <v>32</v>
      </c>
      <c r="C299" s="4" t="s">
        <v>23</v>
      </c>
      <c r="D299" s="4" t="s">
        <v>40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44621</v>
      </c>
      <c r="J299" s="6">
        <v>0</v>
      </c>
      <c r="K299" s="6">
        <v>0</v>
      </c>
      <c r="L299" s="6">
        <v>2.8769999999999998</v>
      </c>
      <c r="M299" s="6">
        <v>2.8769999999999998</v>
      </c>
      <c r="N299" s="6">
        <v>2.8769999999999998</v>
      </c>
      <c r="O299" s="6">
        <v>2.8769999999999998</v>
      </c>
      <c r="P299" s="6">
        <v>10</v>
      </c>
      <c r="Q299" s="4" t="s">
        <v>26</v>
      </c>
      <c r="R299" s="4">
        <v>0</v>
      </c>
      <c r="S299" s="6">
        <v>0</v>
      </c>
      <c r="T299" s="6">
        <v>46</v>
      </c>
      <c r="U299" s="6">
        <v>84</v>
      </c>
      <c r="V299" s="6">
        <f>IF(ISERROR(VLOOKUP($S$299,'TAR FIN'!$A$1:$O$88,15,0)),0,VLOOKUP($S$299,'TAR FIN'!$A$1:$O$88,15,0))</f>
        <v>0</v>
      </c>
      <c r="W299" s="6">
        <f>IF(ISERROR(VLOOKUP($T$299,'TAR FIN'!$A$1:$O$88,15,0)),0,VLOOKUP($T$299,'TAR FIN'!$A$1:$O$88,15,0))</f>
        <v>0</v>
      </c>
      <c r="X299" s="6">
        <f>IF(ISERROR(VLOOKUP($U$299,'TAR FIN'!$A$1:$O$88,15,0)),0,VLOOKUP($U$299,'TAR FIN'!$A$1:$O$88,15,0))</f>
        <v>0</v>
      </c>
      <c r="Y299" s="6"/>
      <c r="Z299" s="6">
        <f ca="1">('TUSD BE'!$AM$48+'TUSD BF'!$AM$48+'TUSD CVA'!$AM$48)*1</f>
        <v>493.10070772969505</v>
      </c>
      <c r="AA299" s="6">
        <f>('TE BE'!$AB$39+'TE BF'!$AB$39+'TE CVA'!$AB$39)*1</f>
        <v>290.52986273778561</v>
      </c>
      <c r="AB299" s="6">
        <f>$K$299*$V$299</f>
        <v>0</v>
      </c>
      <c r="AC299" s="6">
        <f>$M$299*$W$299</f>
        <v>0</v>
      </c>
      <c r="AD299" s="6">
        <f>$O$299*$X$299</f>
        <v>0</v>
      </c>
      <c r="AE299" s="6">
        <f>$K$299*$Y$299</f>
        <v>0</v>
      </c>
      <c r="AF299" s="6">
        <f ca="1">$M$299*$Z$299</f>
        <v>1418.6507361383326</v>
      </c>
      <c r="AG299" s="6">
        <f>$O$299*$AA$299</f>
        <v>835.85441509660916</v>
      </c>
    </row>
    <row r="300" spans="1:33" ht="11.25" customHeight="1" x14ac:dyDescent="0.25">
      <c r="A300" s="4" t="s">
        <v>21</v>
      </c>
      <c r="B300" s="4" t="s">
        <v>32</v>
      </c>
      <c r="C300" s="4" t="s">
        <v>23</v>
      </c>
      <c r="D300" s="4" t="s">
        <v>40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44652</v>
      </c>
      <c r="J300" s="6">
        <v>0</v>
      </c>
      <c r="K300" s="6">
        <v>0</v>
      </c>
      <c r="L300" s="6">
        <v>281.46800000000002</v>
      </c>
      <c r="M300" s="6">
        <v>281.46800000000002</v>
      </c>
      <c r="N300" s="6">
        <v>281.46800000000002</v>
      </c>
      <c r="O300" s="6">
        <v>281.46800000000002</v>
      </c>
      <c r="P300" s="6">
        <v>398</v>
      </c>
      <c r="Q300" s="4" t="s">
        <v>26</v>
      </c>
      <c r="R300" s="4">
        <v>0</v>
      </c>
      <c r="S300" s="6">
        <v>0</v>
      </c>
      <c r="T300" s="6">
        <v>46</v>
      </c>
      <c r="U300" s="6">
        <v>84</v>
      </c>
      <c r="V300" s="6">
        <f>IF(ISERROR(VLOOKUP($S$300,'TAR FIN'!$A$1:$O$88,15,0)),0,VLOOKUP($S$300,'TAR FIN'!$A$1:$O$88,15,0))</f>
        <v>0</v>
      </c>
      <c r="W300" s="6">
        <f>IF(ISERROR(VLOOKUP($T$300,'TAR FIN'!$A$1:$O$88,15,0)),0,VLOOKUP($T$300,'TAR FIN'!$A$1:$O$88,15,0))</f>
        <v>0</v>
      </c>
      <c r="X300" s="6">
        <f>IF(ISERROR(VLOOKUP($U$300,'TAR FIN'!$A$1:$O$88,15,0)),0,VLOOKUP($U$300,'TAR FIN'!$A$1:$O$88,15,0))</f>
        <v>0</v>
      </c>
      <c r="Y300" s="6"/>
      <c r="Z300" s="6">
        <f ca="1">('TUSD BE'!$AM$48+'TUSD BF'!$AM$48+'TUSD CVA'!$AM$48)*1</f>
        <v>493.10070772969505</v>
      </c>
      <c r="AA300" s="6">
        <f>('TE BE'!$AB$39+'TE BF'!$AB$39+'TE CVA'!$AB$39)*1</f>
        <v>290.52986273778561</v>
      </c>
      <c r="AB300" s="6">
        <f>$K$300*$V$300</f>
        <v>0</v>
      </c>
      <c r="AC300" s="6">
        <f>$M$300*$W$300</f>
        <v>0</v>
      </c>
      <c r="AD300" s="6">
        <f>$O$300*$X$300</f>
        <v>0</v>
      </c>
      <c r="AE300" s="6">
        <f>$K$300*$Y$300</f>
        <v>0</v>
      </c>
      <c r="AF300" s="6">
        <f ca="1">$M$300*$Z$300</f>
        <v>138792.07000326182</v>
      </c>
      <c r="AG300" s="6">
        <f>$O$300*$AA$300</f>
        <v>81774.859405079042</v>
      </c>
    </row>
    <row r="301" spans="1:33" ht="11.25" customHeight="1" x14ac:dyDescent="0.25">
      <c r="A301" s="4" t="s">
        <v>27</v>
      </c>
      <c r="B301" s="4" t="s">
        <v>32</v>
      </c>
      <c r="C301" s="4" t="s">
        <v>23</v>
      </c>
      <c r="D301" s="4" t="s">
        <v>40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44652</v>
      </c>
      <c r="J301" s="6">
        <v>0</v>
      </c>
      <c r="K301" s="6">
        <v>0</v>
      </c>
      <c r="L301" s="6">
        <v>7.234</v>
      </c>
      <c r="M301" s="6">
        <v>7.234</v>
      </c>
      <c r="N301" s="6">
        <v>7.234</v>
      </c>
      <c r="O301" s="6">
        <v>7.234</v>
      </c>
      <c r="P301" s="6">
        <v>13</v>
      </c>
      <c r="Q301" s="4" t="s">
        <v>26</v>
      </c>
      <c r="R301" s="4">
        <v>0</v>
      </c>
      <c r="S301" s="6">
        <v>0</v>
      </c>
      <c r="T301" s="6">
        <v>46</v>
      </c>
      <c r="U301" s="6">
        <v>84</v>
      </c>
      <c r="V301" s="6">
        <f>IF(ISERROR(VLOOKUP($S$301,'TAR FIN'!$A$1:$O$88,15,0)),0,VLOOKUP($S$301,'TAR FIN'!$A$1:$O$88,15,0))</f>
        <v>0</v>
      </c>
      <c r="W301" s="6">
        <f>IF(ISERROR(VLOOKUP($T$301,'TAR FIN'!$A$1:$O$88,15,0)),0,VLOOKUP($T$301,'TAR FIN'!$A$1:$O$88,15,0))</f>
        <v>0</v>
      </c>
      <c r="X301" s="6">
        <f>IF(ISERROR(VLOOKUP($U$301,'TAR FIN'!$A$1:$O$88,15,0)),0,VLOOKUP($U$301,'TAR FIN'!$A$1:$O$88,15,0))</f>
        <v>0</v>
      </c>
      <c r="Y301" s="6"/>
      <c r="Z301" s="6">
        <f ca="1">('TUSD BE'!$AM$48+'TUSD BF'!$AM$48+'TUSD CVA'!$AM$48)*1</f>
        <v>493.10070772969505</v>
      </c>
      <c r="AA301" s="6">
        <f>('TE BE'!$AB$39+'TE BF'!$AB$39+'TE CVA'!$AB$39)*1</f>
        <v>290.52986273778561</v>
      </c>
      <c r="AB301" s="6">
        <f>$K$301*$V$301</f>
        <v>0</v>
      </c>
      <c r="AC301" s="6">
        <f>$M$301*$W$301</f>
        <v>0</v>
      </c>
      <c r="AD301" s="6">
        <f>$O$301*$X$301</f>
        <v>0</v>
      </c>
      <c r="AE301" s="6">
        <f>$K$301*$Y$301</f>
        <v>0</v>
      </c>
      <c r="AF301" s="6">
        <f ca="1">$M$301*$Z$301</f>
        <v>3567.0905197166139</v>
      </c>
      <c r="AG301" s="6">
        <f>$O$301*$AA$301</f>
        <v>2101.6930270451412</v>
      </c>
    </row>
    <row r="302" spans="1:33" ht="11.25" customHeight="1" x14ac:dyDescent="0.25">
      <c r="A302" s="4" t="s">
        <v>21</v>
      </c>
      <c r="B302" s="4" t="s">
        <v>32</v>
      </c>
      <c r="C302" s="4" t="s">
        <v>23</v>
      </c>
      <c r="D302" s="4" t="s">
        <v>40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44682</v>
      </c>
      <c r="J302" s="6">
        <v>0</v>
      </c>
      <c r="K302" s="6">
        <v>0</v>
      </c>
      <c r="L302" s="6">
        <v>242.637</v>
      </c>
      <c r="M302" s="6">
        <v>242.637</v>
      </c>
      <c r="N302" s="6">
        <v>242.637</v>
      </c>
      <c r="O302" s="6">
        <v>242.637</v>
      </c>
      <c r="P302" s="6">
        <v>398</v>
      </c>
      <c r="Q302" s="4" t="s">
        <v>26</v>
      </c>
      <c r="R302" s="4">
        <v>0</v>
      </c>
      <c r="S302" s="6">
        <v>0</v>
      </c>
      <c r="T302" s="6">
        <v>46</v>
      </c>
      <c r="U302" s="6">
        <v>84</v>
      </c>
      <c r="V302" s="6">
        <f>IF(ISERROR(VLOOKUP($S$302,'TAR FIN'!$A$1:$O$88,15,0)),0,VLOOKUP($S$302,'TAR FIN'!$A$1:$O$88,15,0))</f>
        <v>0</v>
      </c>
      <c r="W302" s="6">
        <f>IF(ISERROR(VLOOKUP($T$302,'TAR FIN'!$A$1:$O$88,15,0)),0,VLOOKUP($T$302,'TAR FIN'!$A$1:$O$88,15,0))</f>
        <v>0</v>
      </c>
      <c r="X302" s="6">
        <f>IF(ISERROR(VLOOKUP($U$302,'TAR FIN'!$A$1:$O$88,15,0)),0,VLOOKUP($U$302,'TAR FIN'!$A$1:$O$88,15,0))</f>
        <v>0</v>
      </c>
      <c r="Y302" s="6"/>
      <c r="Z302" s="6">
        <f ca="1">('TUSD BE'!$AM$48+'TUSD BF'!$AM$48+'TUSD CVA'!$AM$48)*1</f>
        <v>493.10070772969505</v>
      </c>
      <c r="AA302" s="6">
        <f>('TE BE'!$AB$39+'TE BF'!$AB$39+'TE CVA'!$AB$39)*1</f>
        <v>290.52986273778561</v>
      </c>
      <c r="AB302" s="6">
        <f>$K$302*$V$302</f>
        <v>0</v>
      </c>
      <c r="AC302" s="6">
        <f>$M$302*$W$302</f>
        <v>0</v>
      </c>
      <c r="AD302" s="6">
        <f>$O$302*$X$302</f>
        <v>0</v>
      </c>
      <c r="AE302" s="6">
        <f>$K$302*$Y$302</f>
        <v>0</v>
      </c>
      <c r="AF302" s="6">
        <f ca="1">$M$302*$Z$302</f>
        <v>119644.47642141001</v>
      </c>
      <c r="AG302" s="6">
        <f>$O$302*$AA$302</f>
        <v>70493.29430510808</v>
      </c>
    </row>
    <row r="303" spans="1:33" ht="11.25" customHeight="1" x14ac:dyDescent="0.25">
      <c r="A303" s="4" t="s">
        <v>27</v>
      </c>
      <c r="B303" s="4" t="s">
        <v>32</v>
      </c>
      <c r="C303" s="4" t="s">
        <v>23</v>
      </c>
      <c r="D303" s="4" t="s">
        <v>40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44682</v>
      </c>
      <c r="J303" s="6">
        <v>0</v>
      </c>
      <c r="K303" s="6">
        <v>0</v>
      </c>
      <c r="L303" s="6">
        <v>5.7510000000000003</v>
      </c>
      <c r="M303" s="6">
        <v>5.7510000000000003</v>
      </c>
      <c r="N303" s="6">
        <v>5.7510000000000003</v>
      </c>
      <c r="O303" s="6">
        <v>5.7510000000000003</v>
      </c>
      <c r="P303" s="6">
        <v>15</v>
      </c>
      <c r="Q303" s="4" t="s">
        <v>26</v>
      </c>
      <c r="R303" s="4">
        <v>0</v>
      </c>
      <c r="S303" s="6">
        <v>0</v>
      </c>
      <c r="T303" s="6">
        <v>46</v>
      </c>
      <c r="U303" s="6">
        <v>84</v>
      </c>
      <c r="V303" s="6">
        <f>IF(ISERROR(VLOOKUP($S$303,'TAR FIN'!$A$1:$O$88,15,0)),0,VLOOKUP($S$303,'TAR FIN'!$A$1:$O$88,15,0))</f>
        <v>0</v>
      </c>
      <c r="W303" s="6">
        <f>IF(ISERROR(VLOOKUP($T$303,'TAR FIN'!$A$1:$O$88,15,0)),0,VLOOKUP($T$303,'TAR FIN'!$A$1:$O$88,15,0))</f>
        <v>0</v>
      </c>
      <c r="X303" s="6">
        <f>IF(ISERROR(VLOOKUP($U$303,'TAR FIN'!$A$1:$O$88,15,0)),0,VLOOKUP($U$303,'TAR FIN'!$A$1:$O$88,15,0))</f>
        <v>0</v>
      </c>
      <c r="Y303" s="6"/>
      <c r="Z303" s="6">
        <f ca="1">('TUSD BE'!$AM$48+'TUSD BF'!$AM$48+'TUSD CVA'!$AM$48)*1</f>
        <v>493.10070772969505</v>
      </c>
      <c r="AA303" s="6">
        <f>('TE BE'!$AB$39+'TE BF'!$AB$39+'TE CVA'!$AB$39)*1</f>
        <v>290.52986273778561</v>
      </c>
      <c r="AB303" s="6">
        <f>$K$303*$V$303</f>
        <v>0</v>
      </c>
      <c r="AC303" s="6">
        <f>$M$303*$W$303</f>
        <v>0</v>
      </c>
      <c r="AD303" s="6">
        <f>$O$303*$X$303</f>
        <v>0</v>
      </c>
      <c r="AE303" s="6">
        <f>$K$303*$Y$303</f>
        <v>0</v>
      </c>
      <c r="AF303" s="6">
        <f ca="1">$M$303*$Z$303</f>
        <v>2835.8221701534762</v>
      </c>
      <c r="AG303" s="6">
        <f>$O$303*$AA$303</f>
        <v>1670.837240605005</v>
      </c>
    </row>
    <row r="304" spans="1:33" ht="11.25" customHeight="1" x14ac:dyDescent="0.25">
      <c r="A304" s="4" t="s">
        <v>21</v>
      </c>
      <c r="B304" s="4" t="s">
        <v>32</v>
      </c>
      <c r="C304" s="4" t="s">
        <v>23</v>
      </c>
      <c r="D304" s="4" t="s">
        <v>40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44713</v>
      </c>
      <c r="J304" s="6">
        <v>0</v>
      </c>
      <c r="K304" s="6">
        <v>0</v>
      </c>
      <c r="L304" s="6">
        <v>223.96899999999999</v>
      </c>
      <c r="M304" s="6">
        <v>223.96899999999999</v>
      </c>
      <c r="N304" s="6">
        <v>223.96899999999999</v>
      </c>
      <c r="O304" s="6">
        <v>223.96899999999999</v>
      </c>
      <c r="P304" s="6">
        <v>400</v>
      </c>
      <c r="Q304" s="4" t="s">
        <v>26</v>
      </c>
      <c r="R304" s="4">
        <v>0</v>
      </c>
      <c r="S304" s="6">
        <v>0</v>
      </c>
      <c r="T304" s="6">
        <v>46</v>
      </c>
      <c r="U304" s="6">
        <v>84</v>
      </c>
      <c r="V304" s="6">
        <f>IF(ISERROR(VLOOKUP($S$304,'TAR FIN'!$A$1:$O$88,15,0)),0,VLOOKUP($S$304,'TAR FIN'!$A$1:$O$88,15,0))</f>
        <v>0</v>
      </c>
      <c r="W304" s="6">
        <f>IF(ISERROR(VLOOKUP($T$304,'TAR FIN'!$A$1:$O$88,15,0)),0,VLOOKUP($T$304,'TAR FIN'!$A$1:$O$88,15,0))</f>
        <v>0</v>
      </c>
      <c r="X304" s="6">
        <f>IF(ISERROR(VLOOKUP($U$304,'TAR FIN'!$A$1:$O$88,15,0)),0,VLOOKUP($U$304,'TAR FIN'!$A$1:$O$88,15,0))</f>
        <v>0</v>
      </c>
      <c r="Y304" s="6"/>
      <c r="Z304" s="6">
        <f ca="1">('TUSD BE'!$AM$48+'TUSD BF'!$AM$48+'TUSD CVA'!$AM$48)*1</f>
        <v>493.10070772969505</v>
      </c>
      <c r="AA304" s="6">
        <f>('TE BE'!$AB$39+'TE BF'!$AB$39+'TE CVA'!$AB$39)*1</f>
        <v>290.52986273778561</v>
      </c>
      <c r="AB304" s="6">
        <f>$K$304*$V$304</f>
        <v>0</v>
      </c>
      <c r="AC304" s="6">
        <f>$M$304*$W$304</f>
        <v>0</v>
      </c>
      <c r="AD304" s="6">
        <f>$O$304*$X$304</f>
        <v>0</v>
      </c>
      <c r="AE304" s="6">
        <f>$K$304*$Y$304</f>
        <v>0</v>
      </c>
      <c r="AF304" s="6">
        <f ca="1">$M$304*$Z$304</f>
        <v>110439.27240951206</v>
      </c>
      <c r="AG304" s="6">
        <f>$O$304*$AA$304</f>
        <v>65069.6828275191</v>
      </c>
    </row>
    <row r="305" spans="1:33" ht="11.25" customHeight="1" x14ac:dyDescent="0.25">
      <c r="A305" s="4" t="s">
        <v>27</v>
      </c>
      <c r="B305" s="4" t="s">
        <v>32</v>
      </c>
      <c r="C305" s="4" t="s">
        <v>23</v>
      </c>
      <c r="D305" s="4" t="s">
        <v>40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44713</v>
      </c>
      <c r="J305" s="6">
        <v>0</v>
      </c>
      <c r="K305" s="6">
        <v>0</v>
      </c>
      <c r="L305" s="6">
        <v>4.484</v>
      </c>
      <c r="M305" s="6">
        <v>4.484</v>
      </c>
      <c r="N305" s="6">
        <v>4.484</v>
      </c>
      <c r="O305" s="6">
        <v>4.484</v>
      </c>
      <c r="P305" s="6">
        <v>15</v>
      </c>
      <c r="Q305" s="4" t="s">
        <v>26</v>
      </c>
      <c r="R305" s="4">
        <v>0</v>
      </c>
      <c r="S305" s="6">
        <v>0</v>
      </c>
      <c r="T305" s="6">
        <v>46</v>
      </c>
      <c r="U305" s="6">
        <v>84</v>
      </c>
      <c r="V305" s="6">
        <f>IF(ISERROR(VLOOKUP($S$305,'TAR FIN'!$A$1:$O$88,15,0)),0,VLOOKUP($S$305,'TAR FIN'!$A$1:$O$88,15,0))</f>
        <v>0</v>
      </c>
      <c r="W305" s="6">
        <f>IF(ISERROR(VLOOKUP($T$305,'TAR FIN'!$A$1:$O$88,15,0)),0,VLOOKUP($T$305,'TAR FIN'!$A$1:$O$88,15,0))</f>
        <v>0</v>
      </c>
      <c r="X305" s="6">
        <f>IF(ISERROR(VLOOKUP($U$305,'TAR FIN'!$A$1:$O$88,15,0)),0,VLOOKUP($U$305,'TAR FIN'!$A$1:$O$88,15,0))</f>
        <v>0</v>
      </c>
      <c r="Y305" s="6"/>
      <c r="Z305" s="6">
        <f ca="1">('TUSD BE'!$AM$48+'TUSD BF'!$AM$48+'TUSD CVA'!$AM$48)*1</f>
        <v>493.10070772969505</v>
      </c>
      <c r="AA305" s="6">
        <f>('TE BE'!$AB$39+'TE BF'!$AB$39+'TE CVA'!$AB$39)*1</f>
        <v>290.52986273778561</v>
      </c>
      <c r="AB305" s="6">
        <f>$K$305*$V$305</f>
        <v>0</v>
      </c>
      <c r="AC305" s="6">
        <f>$M$305*$W$305</f>
        <v>0</v>
      </c>
      <c r="AD305" s="6">
        <f>$O$305*$X$305</f>
        <v>0</v>
      </c>
      <c r="AE305" s="6">
        <f>$K$305*$Y$305</f>
        <v>0</v>
      </c>
      <c r="AF305" s="6">
        <f ca="1">$M$305*$Z$305</f>
        <v>2211.0635734599527</v>
      </c>
      <c r="AG305" s="6">
        <f>$O$305*$AA$305</f>
        <v>1302.7359045162307</v>
      </c>
    </row>
    <row r="306" spans="1:33" ht="11.25" customHeight="1" x14ac:dyDescent="0.25">
      <c r="A306" s="4" t="s">
        <v>21</v>
      </c>
      <c r="B306" s="4" t="s">
        <v>32</v>
      </c>
      <c r="C306" s="4" t="s">
        <v>23</v>
      </c>
      <c r="D306" s="4" t="s">
        <v>40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44743</v>
      </c>
      <c r="J306" s="6">
        <v>0</v>
      </c>
      <c r="K306" s="6">
        <v>0</v>
      </c>
      <c r="L306" s="6">
        <v>235.97399999999999</v>
      </c>
      <c r="M306" s="6">
        <v>235.97399999999999</v>
      </c>
      <c r="N306" s="6">
        <v>235.97399999999999</v>
      </c>
      <c r="O306" s="6">
        <v>235.97399999999999</v>
      </c>
      <c r="P306" s="6">
        <v>404</v>
      </c>
      <c r="Q306" s="4" t="s">
        <v>26</v>
      </c>
      <c r="R306" s="4">
        <v>0</v>
      </c>
      <c r="S306" s="6">
        <v>0</v>
      </c>
      <c r="T306" s="6">
        <v>46</v>
      </c>
      <c r="U306" s="6">
        <v>84</v>
      </c>
      <c r="V306" s="6">
        <f>IF(ISERROR(VLOOKUP($S$306,'TAR FIN'!$A$1:$O$88,15,0)),0,VLOOKUP($S$306,'TAR FIN'!$A$1:$O$88,15,0))</f>
        <v>0</v>
      </c>
      <c r="W306" s="6">
        <f>IF(ISERROR(VLOOKUP($T$306,'TAR FIN'!$A$1:$O$88,15,0)),0,VLOOKUP($T$306,'TAR FIN'!$A$1:$O$88,15,0))</f>
        <v>0</v>
      </c>
      <c r="X306" s="6">
        <f>IF(ISERROR(VLOOKUP($U$306,'TAR FIN'!$A$1:$O$88,15,0)),0,VLOOKUP($U$306,'TAR FIN'!$A$1:$O$88,15,0))</f>
        <v>0</v>
      </c>
      <c r="Y306" s="6"/>
      <c r="Z306" s="6">
        <f ca="1">('TUSD BE'!$AM$48+'TUSD BF'!$AM$48+'TUSD CVA'!$AM$48)*1</f>
        <v>493.10070772969505</v>
      </c>
      <c r="AA306" s="6">
        <f>('TE BE'!$AB$39+'TE BF'!$AB$39+'TE CVA'!$AB$39)*1</f>
        <v>290.52986273778561</v>
      </c>
      <c r="AB306" s="6">
        <f>$K$306*$V$306</f>
        <v>0</v>
      </c>
      <c r="AC306" s="6">
        <f>$M$306*$W$306</f>
        <v>0</v>
      </c>
      <c r="AD306" s="6">
        <f>$O$306*$X$306</f>
        <v>0</v>
      </c>
      <c r="AE306" s="6">
        <f>$K$306*$Y$306</f>
        <v>0</v>
      </c>
      <c r="AF306" s="6">
        <f ca="1">$M$306*$Z$306</f>
        <v>116358.94640580706</v>
      </c>
      <c r="AG306" s="6">
        <f>$O$306*$AA$306</f>
        <v>68557.493829686224</v>
      </c>
    </row>
    <row r="307" spans="1:33" ht="11.25" customHeight="1" x14ac:dyDescent="0.25">
      <c r="A307" s="4" t="s">
        <v>27</v>
      </c>
      <c r="B307" s="4" t="s">
        <v>32</v>
      </c>
      <c r="C307" s="4" t="s">
        <v>23</v>
      </c>
      <c r="D307" s="4" t="s">
        <v>40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44743</v>
      </c>
      <c r="J307" s="6">
        <v>0</v>
      </c>
      <c r="K307" s="6">
        <v>0</v>
      </c>
      <c r="L307" s="6">
        <v>7.6879999999999997</v>
      </c>
      <c r="M307" s="6">
        <v>7.6879999999999997</v>
      </c>
      <c r="N307" s="6">
        <v>7.6879999999999997</v>
      </c>
      <c r="O307" s="6">
        <v>7.6879999999999997</v>
      </c>
      <c r="P307" s="6">
        <v>15</v>
      </c>
      <c r="Q307" s="4" t="s">
        <v>26</v>
      </c>
      <c r="R307" s="4">
        <v>0</v>
      </c>
      <c r="S307" s="6">
        <v>0</v>
      </c>
      <c r="T307" s="6">
        <v>46</v>
      </c>
      <c r="U307" s="6">
        <v>84</v>
      </c>
      <c r="V307" s="6">
        <f>IF(ISERROR(VLOOKUP($S$307,'TAR FIN'!$A$1:$O$88,15,0)),0,VLOOKUP($S$307,'TAR FIN'!$A$1:$O$88,15,0))</f>
        <v>0</v>
      </c>
      <c r="W307" s="6">
        <f>IF(ISERROR(VLOOKUP($T$307,'TAR FIN'!$A$1:$O$88,15,0)),0,VLOOKUP($T$307,'TAR FIN'!$A$1:$O$88,15,0))</f>
        <v>0</v>
      </c>
      <c r="X307" s="6">
        <f>IF(ISERROR(VLOOKUP($U$307,'TAR FIN'!$A$1:$O$88,15,0)),0,VLOOKUP($U$307,'TAR FIN'!$A$1:$O$88,15,0))</f>
        <v>0</v>
      </c>
      <c r="Y307" s="6"/>
      <c r="Z307" s="6">
        <f ca="1">('TUSD BE'!$AM$48+'TUSD BF'!$AM$48+'TUSD CVA'!$AM$48)*1</f>
        <v>493.10070772969505</v>
      </c>
      <c r="AA307" s="6">
        <f>('TE BE'!$AB$39+'TE BF'!$AB$39+'TE CVA'!$AB$39)*1</f>
        <v>290.52986273778561</v>
      </c>
      <c r="AB307" s="6">
        <f>$K$307*$V$307</f>
        <v>0</v>
      </c>
      <c r="AC307" s="6">
        <f>$M$307*$W$307</f>
        <v>0</v>
      </c>
      <c r="AD307" s="6">
        <f>$O$307*$X$307</f>
        <v>0</v>
      </c>
      <c r="AE307" s="6">
        <f>$K$307*$Y$307</f>
        <v>0</v>
      </c>
      <c r="AF307" s="6">
        <f ca="1">$M$307*$Z$307</f>
        <v>3790.9582410258954</v>
      </c>
      <c r="AG307" s="6">
        <f>$O$307*$AA$307</f>
        <v>2233.5935847280957</v>
      </c>
    </row>
    <row r="308" spans="1:33" ht="11.25" customHeight="1" x14ac:dyDescent="0.25">
      <c r="A308" s="4" t="s">
        <v>21</v>
      </c>
      <c r="B308" s="4" t="s">
        <v>32</v>
      </c>
      <c r="C308" s="4" t="s">
        <v>23</v>
      </c>
      <c r="D308" s="4" t="s">
        <v>49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44409</v>
      </c>
      <c r="J308" s="6">
        <v>0</v>
      </c>
      <c r="K308" s="6">
        <v>0</v>
      </c>
      <c r="L308" s="6">
        <v>1.2250000000000001</v>
      </c>
      <c r="M308" s="6">
        <v>1.2250000000000001</v>
      </c>
      <c r="N308" s="6">
        <v>1.2250000000000001</v>
      </c>
      <c r="O308" s="6">
        <v>1.2250000000000001</v>
      </c>
      <c r="P308" s="6">
        <v>3</v>
      </c>
      <c r="Q308" s="4" t="s">
        <v>26</v>
      </c>
      <c r="R308" s="4">
        <v>0</v>
      </c>
      <c r="S308" s="6">
        <v>0</v>
      </c>
      <c r="T308" s="6">
        <v>46</v>
      </c>
      <c r="U308" s="6">
        <v>84</v>
      </c>
      <c r="V308" s="6">
        <f>IF(ISERROR(VLOOKUP($S$308,'TAR FIN'!$A$1:$O$88,15,0)),0,VLOOKUP($S$308,'TAR FIN'!$A$1:$O$88,15,0))</f>
        <v>0</v>
      </c>
      <c r="W308" s="6">
        <f>IF(ISERROR(VLOOKUP($T$308,'TAR FIN'!$A$1:$O$88,15,0)),0,VLOOKUP($T$308,'TAR FIN'!$A$1:$O$88,15,0))</f>
        <v>0</v>
      </c>
      <c r="X308" s="6">
        <f>IF(ISERROR(VLOOKUP($U$308,'TAR FIN'!$A$1:$O$88,15,0)),0,VLOOKUP($U$308,'TAR FIN'!$A$1:$O$88,15,0))</f>
        <v>0</v>
      </c>
      <c r="Y308" s="6"/>
      <c r="Z308" s="6">
        <f ca="1">('TUSD BE'!$AM$48+'TUSD BF'!$AM$48+'TUSD CVA'!$AM$48)*1</f>
        <v>493.10070772969505</v>
      </c>
      <c r="AA308" s="6">
        <f>('TE BE'!$AB$39+'TE BF'!$AB$39+'TE CVA'!$AB$39)*1</f>
        <v>290.52986273778561</v>
      </c>
      <c r="AB308" s="6">
        <f>$K$308*$V$308</f>
        <v>0</v>
      </c>
      <c r="AC308" s="6">
        <f>$M$308*$W$308</f>
        <v>0</v>
      </c>
      <c r="AD308" s="6">
        <f>$O$308*$X$308</f>
        <v>0</v>
      </c>
      <c r="AE308" s="6">
        <f>$K$308*$Y$308</f>
        <v>0</v>
      </c>
      <c r="AF308" s="6">
        <f ca="1">$M$308*$Z$308</f>
        <v>604.04836696887651</v>
      </c>
      <c r="AG308" s="6">
        <f>$O$308*$AA$308</f>
        <v>355.89908185378738</v>
      </c>
    </row>
    <row r="309" spans="1:33" ht="11.25" customHeight="1" x14ac:dyDescent="0.25">
      <c r="A309" s="4" t="s">
        <v>21</v>
      </c>
      <c r="B309" s="4" t="s">
        <v>32</v>
      </c>
      <c r="C309" s="4" t="s">
        <v>23</v>
      </c>
      <c r="D309" s="4" t="s">
        <v>49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44440</v>
      </c>
      <c r="J309" s="6">
        <v>0</v>
      </c>
      <c r="K309" s="6">
        <v>0</v>
      </c>
      <c r="L309" s="6">
        <v>1.1579999999999999</v>
      </c>
      <c r="M309" s="6">
        <v>1.1579999999999999</v>
      </c>
      <c r="N309" s="6">
        <v>1.1579999999999999</v>
      </c>
      <c r="O309" s="6">
        <v>1.1579999999999999</v>
      </c>
      <c r="P309" s="6">
        <v>3</v>
      </c>
      <c r="Q309" s="4" t="s">
        <v>26</v>
      </c>
      <c r="R309" s="4">
        <v>0</v>
      </c>
      <c r="S309" s="6">
        <v>0</v>
      </c>
      <c r="T309" s="6">
        <v>46</v>
      </c>
      <c r="U309" s="6">
        <v>84</v>
      </c>
      <c r="V309" s="6">
        <f>IF(ISERROR(VLOOKUP($S$309,'TAR FIN'!$A$1:$O$88,15,0)),0,VLOOKUP($S$309,'TAR FIN'!$A$1:$O$88,15,0))</f>
        <v>0</v>
      </c>
      <c r="W309" s="6">
        <f>IF(ISERROR(VLOOKUP($T$309,'TAR FIN'!$A$1:$O$88,15,0)),0,VLOOKUP($T$309,'TAR FIN'!$A$1:$O$88,15,0))</f>
        <v>0</v>
      </c>
      <c r="X309" s="6">
        <f>IF(ISERROR(VLOOKUP($U$309,'TAR FIN'!$A$1:$O$88,15,0)),0,VLOOKUP($U$309,'TAR FIN'!$A$1:$O$88,15,0))</f>
        <v>0</v>
      </c>
      <c r="Y309" s="6"/>
      <c r="Z309" s="6">
        <f ca="1">('TUSD BE'!$AM$48+'TUSD BF'!$AM$48+'TUSD CVA'!$AM$48)*1</f>
        <v>493.10070772969505</v>
      </c>
      <c r="AA309" s="6">
        <f>('TE BE'!$AB$39+'TE BF'!$AB$39+'TE CVA'!$AB$39)*1</f>
        <v>290.52986273778561</v>
      </c>
      <c r="AB309" s="6">
        <f>$K$309*$V$309</f>
        <v>0</v>
      </c>
      <c r="AC309" s="6">
        <f>$M$309*$W$309</f>
        <v>0</v>
      </c>
      <c r="AD309" s="6">
        <f>$O$309*$X$309</f>
        <v>0</v>
      </c>
      <c r="AE309" s="6">
        <f>$K$309*$Y$309</f>
        <v>0</v>
      </c>
      <c r="AF309" s="6">
        <f ca="1">$M$309*$Z$309</f>
        <v>571.0106195509868</v>
      </c>
      <c r="AG309" s="6">
        <f>$O$309*$AA$309</f>
        <v>336.43358105035571</v>
      </c>
    </row>
    <row r="310" spans="1:33" ht="11.25" customHeight="1" x14ac:dyDescent="0.25">
      <c r="A310" s="4" t="s">
        <v>21</v>
      </c>
      <c r="B310" s="4" t="s">
        <v>32</v>
      </c>
      <c r="C310" s="4" t="s">
        <v>23</v>
      </c>
      <c r="D310" s="4" t="s">
        <v>49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44470</v>
      </c>
      <c r="J310" s="6">
        <v>0</v>
      </c>
      <c r="K310" s="6">
        <v>0</v>
      </c>
      <c r="L310" s="6">
        <v>1.3</v>
      </c>
      <c r="M310" s="6">
        <v>1.3</v>
      </c>
      <c r="N310" s="6">
        <v>1.3</v>
      </c>
      <c r="O310" s="6">
        <v>1.3</v>
      </c>
      <c r="P310" s="6">
        <v>3</v>
      </c>
      <c r="Q310" s="4" t="s">
        <v>26</v>
      </c>
      <c r="R310" s="4">
        <v>0</v>
      </c>
      <c r="S310" s="6">
        <v>0</v>
      </c>
      <c r="T310" s="6">
        <v>46</v>
      </c>
      <c r="U310" s="6">
        <v>84</v>
      </c>
      <c r="V310" s="6">
        <f>IF(ISERROR(VLOOKUP($S$310,'TAR FIN'!$A$1:$O$88,15,0)),0,VLOOKUP($S$310,'TAR FIN'!$A$1:$O$88,15,0))</f>
        <v>0</v>
      </c>
      <c r="W310" s="6">
        <f>IF(ISERROR(VLOOKUP($T$310,'TAR FIN'!$A$1:$O$88,15,0)),0,VLOOKUP($T$310,'TAR FIN'!$A$1:$O$88,15,0))</f>
        <v>0</v>
      </c>
      <c r="X310" s="6">
        <f>IF(ISERROR(VLOOKUP($U$310,'TAR FIN'!$A$1:$O$88,15,0)),0,VLOOKUP($U$310,'TAR FIN'!$A$1:$O$88,15,0))</f>
        <v>0</v>
      </c>
      <c r="Y310" s="6"/>
      <c r="Z310" s="6">
        <f ca="1">('TUSD BE'!$AM$48+'TUSD BF'!$AM$48+'TUSD CVA'!$AM$48)*1</f>
        <v>493.10070772969505</v>
      </c>
      <c r="AA310" s="6">
        <f>('TE BE'!$AB$39+'TE BF'!$AB$39+'TE CVA'!$AB$39)*1</f>
        <v>290.52986273778561</v>
      </c>
      <c r="AB310" s="6">
        <f>$K$310*$V$310</f>
        <v>0</v>
      </c>
      <c r="AC310" s="6">
        <f>$M$310*$W$310</f>
        <v>0</v>
      </c>
      <c r="AD310" s="6">
        <f>$O$310*$X$310</f>
        <v>0</v>
      </c>
      <c r="AE310" s="6">
        <f>$K$310*$Y$310</f>
        <v>0</v>
      </c>
      <c r="AF310" s="6">
        <f ca="1">$M$310*$Z$310</f>
        <v>641.03092004860355</v>
      </c>
      <c r="AG310" s="6">
        <f>$O$310*$AA$310</f>
        <v>377.68882155912132</v>
      </c>
    </row>
    <row r="311" spans="1:33" ht="11.25" customHeight="1" x14ac:dyDescent="0.25">
      <c r="A311" s="4" t="s">
        <v>21</v>
      </c>
      <c r="B311" s="4" t="s">
        <v>32</v>
      </c>
      <c r="C311" s="4" t="s">
        <v>23</v>
      </c>
      <c r="D311" s="4" t="s">
        <v>49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44501</v>
      </c>
      <c r="J311" s="6">
        <v>0</v>
      </c>
      <c r="K311" s="6">
        <v>0</v>
      </c>
      <c r="L311" s="6">
        <v>0.97199999999999998</v>
      </c>
      <c r="M311" s="6">
        <v>0.97199999999999998</v>
      </c>
      <c r="N311" s="6">
        <v>0.97199999999999998</v>
      </c>
      <c r="O311" s="6">
        <v>0.97199999999999998</v>
      </c>
      <c r="P311" s="6">
        <v>3</v>
      </c>
      <c r="Q311" s="4" t="s">
        <v>26</v>
      </c>
      <c r="R311" s="4">
        <v>0</v>
      </c>
      <c r="S311" s="6">
        <v>0</v>
      </c>
      <c r="T311" s="6">
        <v>46</v>
      </c>
      <c r="U311" s="6">
        <v>84</v>
      </c>
      <c r="V311" s="6">
        <f>IF(ISERROR(VLOOKUP($S$311,'TAR FIN'!$A$1:$O$88,15,0)),0,VLOOKUP($S$311,'TAR FIN'!$A$1:$O$88,15,0))</f>
        <v>0</v>
      </c>
      <c r="W311" s="6">
        <f>IF(ISERROR(VLOOKUP($T$311,'TAR FIN'!$A$1:$O$88,15,0)),0,VLOOKUP($T$311,'TAR FIN'!$A$1:$O$88,15,0))</f>
        <v>0</v>
      </c>
      <c r="X311" s="6">
        <f>IF(ISERROR(VLOOKUP($U$311,'TAR FIN'!$A$1:$O$88,15,0)),0,VLOOKUP($U$311,'TAR FIN'!$A$1:$O$88,15,0))</f>
        <v>0</v>
      </c>
      <c r="Y311" s="6"/>
      <c r="Z311" s="6">
        <f ca="1">('TUSD BE'!$AM$48+'TUSD BF'!$AM$48+'TUSD CVA'!$AM$48)*1</f>
        <v>493.10070772969505</v>
      </c>
      <c r="AA311" s="6">
        <f>('TE BE'!$AB$39+'TE BF'!$AB$39+'TE CVA'!$AB$39)*1</f>
        <v>290.52986273778561</v>
      </c>
      <c r="AB311" s="6">
        <f>$K$311*$V$311</f>
        <v>0</v>
      </c>
      <c r="AC311" s="6">
        <f>$M$311*$W$311</f>
        <v>0</v>
      </c>
      <c r="AD311" s="6">
        <f>$O$311*$X$311</f>
        <v>0</v>
      </c>
      <c r="AE311" s="6">
        <f>$K$311*$Y$311</f>
        <v>0</v>
      </c>
      <c r="AF311" s="6">
        <f ca="1">$M$311*$Z$311</f>
        <v>479.29388791326357</v>
      </c>
      <c r="AG311" s="6">
        <f>$O$311*$AA$311</f>
        <v>282.39502658112758</v>
      </c>
    </row>
    <row r="312" spans="1:33" ht="11.25" customHeight="1" x14ac:dyDescent="0.25">
      <c r="A312" s="4" t="s">
        <v>21</v>
      </c>
      <c r="B312" s="4" t="s">
        <v>32</v>
      </c>
      <c r="C312" s="4" t="s">
        <v>23</v>
      </c>
      <c r="D312" s="4" t="s">
        <v>49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44531</v>
      </c>
      <c r="J312" s="6">
        <v>0</v>
      </c>
      <c r="K312" s="6">
        <v>0</v>
      </c>
      <c r="L312" s="6">
        <v>1.4910000000000001</v>
      </c>
      <c r="M312" s="6">
        <v>1.4910000000000001</v>
      </c>
      <c r="N312" s="6">
        <v>1.4910000000000001</v>
      </c>
      <c r="O312" s="6">
        <v>1.4910000000000001</v>
      </c>
      <c r="P312" s="6">
        <v>3</v>
      </c>
      <c r="Q312" s="4" t="s">
        <v>26</v>
      </c>
      <c r="R312" s="4">
        <v>0</v>
      </c>
      <c r="S312" s="6">
        <v>0</v>
      </c>
      <c r="T312" s="6">
        <v>46</v>
      </c>
      <c r="U312" s="6">
        <v>84</v>
      </c>
      <c r="V312" s="6">
        <f>IF(ISERROR(VLOOKUP($S$312,'TAR FIN'!$A$1:$O$88,15,0)),0,VLOOKUP($S$312,'TAR FIN'!$A$1:$O$88,15,0))</f>
        <v>0</v>
      </c>
      <c r="W312" s="6">
        <f>IF(ISERROR(VLOOKUP($T$312,'TAR FIN'!$A$1:$O$88,15,0)),0,VLOOKUP($T$312,'TAR FIN'!$A$1:$O$88,15,0))</f>
        <v>0</v>
      </c>
      <c r="X312" s="6">
        <f>IF(ISERROR(VLOOKUP($U$312,'TAR FIN'!$A$1:$O$88,15,0)),0,VLOOKUP($U$312,'TAR FIN'!$A$1:$O$88,15,0))</f>
        <v>0</v>
      </c>
      <c r="Y312" s="6"/>
      <c r="Z312" s="6">
        <f ca="1">('TUSD BE'!$AM$48+'TUSD BF'!$AM$48+'TUSD CVA'!$AM$48)*1</f>
        <v>493.10070772969505</v>
      </c>
      <c r="AA312" s="6">
        <f>('TE BE'!$AB$39+'TE BF'!$AB$39+'TE CVA'!$AB$39)*1</f>
        <v>290.52986273778561</v>
      </c>
      <c r="AB312" s="6">
        <f>$K$312*$V$312</f>
        <v>0</v>
      </c>
      <c r="AC312" s="6">
        <f>$M$312*$W$312</f>
        <v>0</v>
      </c>
      <c r="AD312" s="6">
        <f>$O$312*$X$312</f>
        <v>0</v>
      </c>
      <c r="AE312" s="6">
        <f>$K$312*$Y$312</f>
        <v>0</v>
      </c>
      <c r="AF312" s="6">
        <f ca="1">$M$312*$Z$312</f>
        <v>735.21315522497537</v>
      </c>
      <c r="AG312" s="6">
        <f>$O$312*$AA$312</f>
        <v>433.18002534203839</v>
      </c>
    </row>
    <row r="313" spans="1:33" ht="11.25" customHeight="1" x14ac:dyDescent="0.25">
      <c r="A313" s="4" t="s">
        <v>21</v>
      </c>
      <c r="B313" s="4" t="s">
        <v>32</v>
      </c>
      <c r="C313" s="4" t="s">
        <v>23</v>
      </c>
      <c r="D313" s="4" t="s">
        <v>49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44562</v>
      </c>
      <c r="J313" s="6">
        <v>0</v>
      </c>
      <c r="K313" s="6">
        <v>0</v>
      </c>
      <c r="L313" s="6">
        <v>1.4219999999999999</v>
      </c>
      <c r="M313" s="6">
        <v>1.4219999999999999</v>
      </c>
      <c r="N313" s="6">
        <v>1.4219999999999999</v>
      </c>
      <c r="O313" s="6">
        <v>1.4219999999999999</v>
      </c>
      <c r="P313" s="6">
        <v>3</v>
      </c>
      <c r="Q313" s="4" t="s">
        <v>26</v>
      </c>
      <c r="R313" s="4">
        <v>0</v>
      </c>
      <c r="S313" s="6">
        <v>0</v>
      </c>
      <c r="T313" s="6">
        <v>46</v>
      </c>
      <c r="U313" s="6">
        <v>84</v>
      </c>
      <c r="V313" s="6">
        <f>IF(ISERROR(VLOOKUP($S$313,'TAR FIN'!$A$1:$O$88,15,0)),0,VLOOKUP($S$313,'TAR FIN'!$A$1:$O$88,15,0))</f>
        <v>0</v>
      </c>
      <c r="W313" s="6">
        <f>IF(ISERROR(VLOOKUP($T$313,'TAR FIN'!$A$1:$O$88,15,0)),0,VLOOKUP($T$313,'TAR FIN'!$A$1:$O$88,15,0))</f>
        <v>0</v>
      </c>
      <c r="X313" s="6">
        <f>IF(ISERROR(VLOOKUP($U$313,'TAR FIN'!$A$1:$O$88,15,0)),0,VLOOKUP($U$313,'TAR FIN'!$A$1:$O$88,15,0))</f>
        <v>0</v>
      </c>
      <c r="Y313" s="6"/>
      <c r="Z313" s="6">
        <f ca="1">('TUSD BE'!$AM$48+'TUSD BF'!$AM$48+'TUSD CVA'!$AM$48)*1</f>
        <v>493.10070772969505</v>
      </c>
      <c r="AA313" s="6">
        <f>('TE BE'!$AB$39+'TE BF'!$AB$39+'TE CVA'!$AB$39)*1</f>
        <v>290.52986273778561</v>
      </c>
      <c r="AB313" s="6">
        <f>$K$313*$V$313</f>
        <v>0</v>
      </c>
      <c r="AC313" s="6">
        <f>$M$313*$W$313</f>
        <v>0</v>
      </c>
      <c r="AD313" s="6">
        <f>$O$313*$X$313</f>
        <v>0</v>
      </c>
      <c r="AE313" s="6">
        <f>$K$313*$Y$313</f>
        <v>0</v>
      </c>
      <c r="AF313" s="6">
        <f ca="1">$M$313*$Z$313</f>
        <v>701.18920639162627</v>
      </c>
      <c r="AG313" s="6">
        <f>$O$313*$AA$313</f>
        <v>413.13346481313113</v>
      </c>
    </row>
    <row r="314" spans="1:33" ht="11.25" customHeight="1" x14ac:dyDescent="0.25">
      <c r="A314" s="4" t="s">
        <v>21</v>
      </c>
      <c r="B314" s="4" t="s">
        <v>32</v>
      </c>
      <c r="C314" s="4" t="s">
        <v>23</v>
      </c>
      <c r="D314" s="4" t="s">
        <v>49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44593</v>
      </c>
      <c r="J314" s="6">
        <v>0</v>
      </c>
      <c r="K314" s="6">
        <v>0</v>
      </c>
      <c r="L314" s="6">
        <v>1.8580000000000001</v>
      </c>
      <c r="M314" s="6">
        <v>1.8580000000000001</v>
      </c>
      <c r="N314" s="6">
        <v>1.8580000000000001</v>
      </c>
      <c r="O314" s="6">
        <v>1.8580000000000001</v>
      </c>
      <c r="P314" s="6">
        <v>3</v>
      </c>
      <c r="Q314" s="4" t="s">
        <v>26</v>
      </c>
      <c r="R314" s="4">
        <v>0</v>
      </c>
      <c r="S314" s="6">
        <v>0</v>
      </c>
      <c r="T314" s="6">
        <v>46</v>
      </c>
      <c r="U314" s="6">
        <v>84</v>
      </c>
      <c r="V314" s="6">
        <f>IF(ISERROR(VLOOKUP($S$314,'TAR FIN'!$A$1:$O$88,15,0)),0,VLOOKUP($S$314,'TAR FIN'!$A$1:$O$88,15,0))</f>
        <v>0</v>
      </c>
      <c r="W314" s="6">
        <f>IF(ISERROR(VLOOKUP($T$314,'TAR FIN'!$A$1:$O$88,15,0)),0,VLOOKUP($T$314,'TAR FIN'!$A$1:$O$88,15,0))</f>
        <v>0</v>
      </c>
      <c r="X314" s="6">
        <f>IF(ISERROR(VLOOKUP($U$314,'TAR FIN'!$A$1:$O$88,15,0)),0,VLOOKUP($U$314,'TAR FIN'!$A$1:$O$88,15,0))</f>
        <v>0</v>
      </c>
      <c r="Y314" s="6"/>
      <c r="Z314" s="6">
        <f ca="1">('TUSD BE'!$AM$48+'TUSD BF'!$AM$48+'TUSD CVA'!$AM$48)*1</f>
        <v>493.10070772969505</v>
      </c>
      <c r="AA314" s="6">
        <f>('TE BE'!$AB$39+'TE BF'!$AB$39+'TE CVA'!$AB$39)*1</f>
        <v>290.52986273778561</v>
      </c>
      <c r="AB314" s="6">
        <f>$K$314*$V$314</f>
        <v>0</v>
      </c>
      <c r="AC314" s="6">
        <f>$M$314*$W$314</f>
        <v>0</v>
      </c>
      <c r="AD314" s="6">
        <f>$O$314*$X$314</f>
        <v>0</v>
      </c>
      <c r="AE314" s="6">
        <f>$K$314*$Y$314</f>
        <v>0</v>
      </c>
      <c r="AF314" s="6">
        <f ca="1">$M$314*$Z$314</f>
        <v>916.18111496177346</v>
      </c>
      <c r="AG314" s="6">
        <f>$O$314*$AA$314</f>
        <v>539.80448496680572</v>
      </c>
    </row>
    <row r="315" spans="1:33" ht="11.25" customHeight="1" x14ac:dyDescent="0.25">
      <c r="A315" s="4" t="s">
        <v>21</v>
      </c>
      <c r="B315" s="4" t="s">
        <v>32</v>
      </c>
      <c r="C315" s="4" t="s">
        <v>23</v>
      </c>
      <c r="D315" s="4" t="s">
        <v>49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44621</v>
      </c>
      <c r="J315" s="6">
        <v>0</v>
      </c>
      <c r="K315" s="6">
        <v>0</v>
      </c>
      <c r="L315" s="6">
        <v>1.726</v>
      </c>
      <c r="M315" s="6">
        <v>1.726</v>
      </c>
      <c r="N315" s="6">
        <v>1.726</v>
      </c>
      <c r="O315" s="6">
        <v>1.726</v>
      </c>
      <c r="P315" s="6">
        <v>3</v>
      </c>
      <c r="Q315" s="4" t="s">
        <v>26</v>
      </c>
      <c r="R315" s="4">
        <v>0</v>
      </c>
      <c r="S315" s="6">
        <v>0</v>
      </c>
      <c r="T315" s="6">
        <v>46</v>
      </c>
      <c r="U315" s="6">
        <v>84</v>
      </c>
      <c r="V315" s="6">
        <f>IF(ISERROR(VLOOKUP($S$315,'TAR FIN'!$A$1:$O$88,15,0)),0,VLOOKUP($S$315,'TAR FIN'!$A$1:$O$88,15,0))</f>
        <v>0</v>
      </c>
      <c r="W315" s="6">
        <f>IF(ISERROR(VLOOKUP($T$315,'TAR FIN'!$A$1:$O$88,15,0)),0,VLOOKUP($T$315,'TAR FIN'!$A$1:$O$88,15,0))</f>
        <v>0</v>
      </c>
      <c r="X315" s="6">
        <f>IF(ISERROR(VLOOKUP($U$315,'TAR FIN'!$A$1:$O$88,15,0)),0,VLOOKUP($U$315,'TAR FIN'!$A$1:$O$88,15,0))</f>
        <v>0</v>
      </c>
      <c r="Y315" s="6"/>
      <c r="Z315" s="6">
        <f ca="1">('TUSD BE'!$AM$48+'TUSD BF'!$AM$48+'TUSD CVA'!$AM$48)*1</f>
        <v>493.10070772969505</v>
      </c>
      <c r="AA315" s="6">
        <f>('TE BE'!$AB$39+'TE BF'!$AB$39+'TE CVA'!$AB$39)*1</f>
        <v>290.52986273778561</v>
      </c>
      <c r="AB315" s="6">
        <f>$K$315*$V$315</f>
        <v>0</v>
      </c>
      <c r="AC315" s="6">
        <f>$M$315*$W$315</f>
        <v>0</v>
      </c>
      <c r="AD315" s="6">
        <f>$O$315*$X$315</f>
        <v>0</v>
      </c>
      <c r="AE315" s="6">
        <f>$K$315*$Y$315</f>
        <v>0</v>
      </c>
      <c r="AF315" s="6">
        <f ca="1">$M$315*$Z$315</f>
        <v>851.09182154145367</v>
      </c>
      <c r="AG315" s="6">
        <f>$O$315*$AA$315</f>
        <v>501.45454308541792</v>
      </c>
    </row>
    <row r="316" spans="1:33" ht="11.25" customHeight="1" x14ac:dyDescent="0.25">
      <c r="A316" s="4" t="s">
        <v>21</v>
      </c>
      <c r="B316" s="4" t="s">
        <v>32</v>
      </c>
      <c r="C316" s="4" t="s">
        <v>23</v>
      </c>
      <c r="D316" s="4" t="s">
        <v>49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44652</v>
      </c>
      <c r="J316" s="6">
        <v>0</v>
      </c>
      <c r="K316" s="6">
        <v>0</v>
      </c>
      <c r="L316" s="6">
        <v>1.6359999999999999</v>
      </c>
      <c r="M316" s="6">
        <v>1.6359999999999999</v>
      </c>
      <c r="N316" s="6">
        <v>1.6359999999999999</v>
      </c>
      <c r="O316" s="6">
        <v>1.6359999999999999</v>
      </c>
      <c r="P316" s="6">
        <v>3</v>
      </c>
      <c r="Q316" s="4" t="s">
        <v>26</v>
      </c>
      <c r="R316" s="4">
        <v>0</v>
      </c>
      <c r="S316" s="6">
        <v>0</v>
      </c>
      <c r="T316" s="6">
        <v>46</v>
      </c>
      <c r="U316" s="6">
        <v>84</v>
      </c>
      <c r="V316" s="6">
        <f>IF(ISERROR(VLOOKUP($S$316,'TAR FIN'!$A$1:$O$88,15,0)),0,VLOOKUP($S$316,'TAR FIN'!$A$1:$O$88,15,0))</f>
        <v>0</v>
      </c>
      <c r="W316" s="6">
        <f>IF(ISERROR(VLOOKUP($T$316,'TAR FIN'!$A$1:$O$88,15,0)),0,VLOOKUP($T$316,'TAR FIN'!$A$1:$O$88,15,0))</f>
        <v>0</v>
      </c>
      <c r="X316" s="6">
        <f>IF(ISERROR(VLOOKUP($U$316,'TAR FIN'!$A$1:$O$88,15,0)),0,VLOOKUP($U$316,'TAR FIN'!$A$1:$O$88,15,0))</f>
        <v>0</v>
      </c>
      <c r="Y316" s="6"/>
      <c r="Z316" s="6">
        <f ca="1">('TUSD BE'!$AM$48+'TUSD BF'!$AM$48+'TUSD CVA'!$AM$48)*1</f>
        <v>493.10070772969505</v>
      </c>
      <c r="AA316" s="6">
        <f>('TE BE'!$AB$39+'TE BF'!$AB$39+'TE CVA'!$AB$39)*1</f>
        <v>290.52986273778561</v>
      </c>
      <c r="AB316" s="6">
        <f>$K$316*$V$316</f>
        <v>0</v>
      </c>
      <c r="AC316" s="6">
        <f>$M$316*$W$316</f>
        <v>0</v>
      </c>
      <c r="AD316" s="6">
        <f>$O$316*$X$316</f>
        <v>0</v>
      </c>
      <c r="AE316" s="6">
        <f>$K$316*$Y$316</f>
        <v>0</v>
      </c>
      <c r="AF316" s="6">
        <f ca="1">$M$316*$Z$316</f>
        <v>806.71275784578108</v>
      </c>
      <c r="AG316" s="6">
        <f>$O$316*$AA$316</f>
        <v>475.30685543901723</v>
      </c>
    </row>
    <row r="317" spans="1:33" ht="11.25" customHeight="1" x14ac:dyDescent="0.25">
      <c r="A317" s="4" t="s">
        <v>21</v>
      </c>
      <c r="B317" s="4" t="s">
        <v>32</v>
      </c>
      <c r="C317" s="4" t="s">
        <v>23</v>
      </c>
      <c r="D317" s="4" t="s">
        <v>49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44682</v>
      </c>
      <c r="J317" s="6">
        <v>0</v>
      </c>
      <c r="K317" s="6">
        <v>0</v>
      </c>
      <c r="L317" s="6">
        <v>1.242</v>
      </c>
      <c r="M317" s="6">
        <v>1.242</v>
      </c>
      <c r="N317" s="6">
        <v>1.242</v>
      </c>
      <c r="O317" s="6">
        <v>1.242</v>
      </c>
      <c r="P317" s="6">
        <v>3</v>
      </c>
      <c r="Q317" s="4" t="s">
        <v>26</v>
      </c>
      <c r="R317" s="4">
        <v>0</v>
      </c>
      <c r="S317" s="6">
        <v>0</v>
      </c>
      <c r="T317" s="6">
        <v>46</v>
      </c>
      <c r="U317" s="6">
        <v>84</v>
      </c>
      <c r="V317" s="6">
        <f>IF(ISERROR(VLOOKUP($S$317,'TAR FIN'!$A$1:$O$88,15,0)),0,VLOOKUP($S$317,'TAR FIN'!$A$1:$O$88,15,0))</f>
        <v>0</v>
      </c>
      <c r="W317" s="6">
        <f>IF(ISERROR(VLOOKUP($T$317,'TAR FIN'!$A$1:$O$88,15,0)),0,VLOOKUP($T$317,'TAR FIN'!$A$1:$O$88,15,0))</f>
        <v>0</v>
      </c>
      <c r="X317" s="6">
        <f>IF(ISERROR(VLOOKUP($U$317,'TAR FIN'!$A$1:$O$88,15,0)),0,VLOOKUP($U$317,'TAR FIN'!$A$1:$O$88,15,0))</f>
        <v>0</v>
      </c>
      <c r="Y317" s="6"/>
      <c r="Z317" s="6">
        <f ca="1">('TUSD BE'!$AM$48+'TUSD BF'!$AM$48+'TUSD CVA'!$AM$48)*1</f>
        <v>493.10070772969505</v>
      </c>
      <c r="AA317" s="6">
        <f>('TE BE'!$AB$39+'TE BF'!$AB$39+'TE CVA'!$AB$39)*1</f>
        <v>290.52986273778561</v>
      </c>
      <c r="AB317" s="6">
        <f>$K$317*$V$317</f>
        <v>0</v>
      </c>
      <c r="AC317" s="6">
        <f>$M$317*$W$317</f>
        <v>0</v>
      </c>
      <c r="AD317" s="6">
        <f>$O$317*$X$317</f>
        <v>0</v>
      </c>
      <c r="AE317" s="6">
        <f>$K$317*$Y$317</f>
        <v>0</v>
      </c>
      <c r="AF317" s="6">
        <f ca="1">$M$317*$Z$317</f>
        <v>612.43107900028122</v>
      </c>
      <c r="AG317" s="6">
        <f>$O$317*$AA$317</f>
        <v>360.83808952032973</v>
      </c>
    </row>
    <row r="318" spans="1:33" ht="11.25" customHeight="1" x14ac:dyDescent="0.25">
      <c r="A318" s="4" t="s">
        <v>21</v>
      </c>
      <c r="B318" s="4" t="s">
        <v>32</v>
      </c>
      <c r="C318" s="4" t="s">
        <v>23</v>
      </c>
      <c r="D318" s="4" t="s">
        <v>49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44713</v>
      </c>
      <c r="J318" s="6">
        <v>0</v>
      </c>
      <c r="K318" s="6">
        <v>0</v>
      </c>
      <c r="L318" s="6">
        <v>0.96899999999999997</v>
      </c>
      <c r="M318" s="6">
        <v>0.96899999999999997</v>
      </c>
      <c r="N318" s="6">
        <v>0.96899999999999997</v>
      </c>
      <c r="O318" s="6">
        <v>0.96899999999999997</v>
      </c>
      <c r="P318" s="6">
        <v>3</v>
      </c>
      <c r="Q318" s="4" t="s">
        <v>26</v>
      </c>
      <c r="R318" s="4">
        <v>0</v>
      </c>
      <c r="S318" s="6">
        <v>0</v>
      </c>
      <c r="T318" s="6">
        <v>46</v>
      </c>
      <c r="U318" s="6">
        <v>84</v>
      </c>
      <c r="V318" s="6">
        <f>IF(ISERROR(VLOOKUP($S$318,'TAR FIN'!$A$1:$O$88,15,0)),0,VLOOKUP($S$318,'TAR FIN'!$A$1:$O$88,15,0))</f>
        <v>0</v>
      </c>
      <c r="W318" s="6">
        <f>IF(ISERROR(VLOOKUP($T$318,'TAR FIN'!$A$1:$O$88,15,0)),0,VLOOKUP($T$318,'TAR FIN'!$A$1:$O$88,15,0))</f>
        <v>0</v>
      </c>
      <c r="X318" s="6">
        <f>IF(ISERROR(VLOOKUP($U$318,'TAR FIN'!$A$1:$O$88,15,0)),0,VLOOKUP($U$318,'TAR FIN'!$A$1:$O$88,15,0))</f>
        <v>0</v>
      </c>
      <c r="Y318" s="6"/>
      <c r="Z318" s="6">
        <f ca="1">('TUSD BE'!$AM$48+'TUSD BF'!$AM$48+'TUSD CVA'!$AM$48)*1</f>
        <v>493.10070772969505</v>
      </c>
      <c r="AA318" s="6">
        <f>('TE BE'!$AB$39+'TE BF'!$AB$39+'TE CVA'!$AB$39)*1</f>
        <v>290.52986273778561</v>
      </c>
      <c r="AB318" s="6">
        <f>$K$318*$V$318</f>
        <v>0</v>
      </c>
      <c r="AC318" s="6">
        <f>$M$318*$W$318</f>
        <v>0</v>
      </c>
      <c r="AD318" s="6">
        <f>$O$318*$X$318</f>
        <v>0</v>
      </c>
      <c r="AE318" s="6">
        <f>$K$318*$Y$318</f>
        <v>0</v>
      </c>
      <c r="AF318" s="6">
        <f ca="1">$M$318*$Z$318</f>
        <v>477.81458579007449</v>
      </c>
      <c r="AG318" s="6">
        <f>$O$318*$AA$318</f>
        <v>281.52343699291424</v>
      </c>
    </row>
    <row r="319" spans="1:33" ht="11.25" customHeight="1" x14ac:dyDescent="0.25">
      <c r="A319" s="4" t="s">
        <v>21</v>
      </c>
      <c r="B319" s="4" t="s">
        <v>32</v>
      </c>
      <c r="C319" s="4" t="s">
        <v>23</v>
      </c>
      <c r="D319" s="4" t="s">
        <v>49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44743</v>
      </c>
      <c r="J319" s="6">
        <v>0</v>
      </c>
      <c r="K319" s="6">
        <v>0</v>
      </c>
      <c r="L319" s="6">
        <v>0.95599999999999996</v>
      </c>
      <c r="M319" s="6">
        <v>0.95599999999999996</v>
      </c>
      <c r="N319" s="6">
        <v>0.95599999999999996</v>
      </c>
      <c r="O319" s="6">
        <v>0.95599999999999996</v>
      </c>
      <c r="P319" s="6">
        <v>3</v>
      </c>
      <c r="Q319" s="4" t="s">
        <v>26</v>
      </c>
      <c r="R319" s="4">
        <v>0</v>
      </c>
      <c r="S319" s="6">
        <v>0</v>
      </c>
      <c r="T319" s="6">
        <v>46</v>
      </c>
      <c r="U319" s="6">
        <v>84</v>
      </c>
      <c r="V319" s="6">
        <f>IF(ISERROR(VLOOKUP($S$319,'TAR FIN'!$A$1:$O$88,15,0)),0,VLOOKUP($S$319,'TAR FIN'!$A$1:$O$88,15,0))</f>
        <v>0</v>
      </c>
      <c r="W319" s="6">
        <f>IF(ISERROR(VLOOKUP($T$319,'TAR FIN'!$A$1:$O$88,15,0)),0,VLOOKUP($T$319,'TAR FIN'!$A$1:$O$88,15,0))</f>
        <v>0</v>
      </c>
      <c r="X319" s="6">
        <f>IF(ISERROR(VLOOKUP($U$319,'TAR FIN'!$A$1:$O$88,15,0)),0,VLOOKUP($U$319,'TAR FIN'!$A$1:$O$88,15,0))</f>
        <v>0</v>
      </c>
      <c r="Y319" s="6"/>
      <c r="Z319" s="6">
        <f ca="1">('TUSD BE'!$AM$48+'TUSD BF'!$AM$48+'TUSD CVA'!$AM$48)*1</f>
        <v>493.10070772969505</v>
      </c>
      <c r="AA319" s="6">
        <f>('TE BE'!$AB$39+'TE BF'!$AB$39+'TE CVA'!$AB$39)*1</f>
        <v>290.52986273778561</v>
      </c>
      <c r="AB319" s="6">
        <f>$K$319*$V$319</f>
        <v>0</v>
      </c>
      <c r="AC319" s="6">
        <f>$M$319*$W$319</f>
        <v>0</v>
      </c>
      <c r="AD319" s="6">
        <f>$O$319*$X$319</f>
        <v>0</v>
      </c>
      <c r="AE319" s="6">
        <f>$K$319*$Y$319</f>
        <v>0</v>
      </c>
      <c r="AF319" s="6">
        <f ca="1">$M$319*$Z$319</f>
        <v>471.40427658958845</v>
      </c>
      <c r="AG319" s="6">
        <f>$O$319*$AA$319</f>
        <v>277.74654877732303</v>
      </c>
    </row>
    <row r="320" spans="1:33" ht="11.25" customHeight="1" x14ac:dyDescent="0.25">
      <c r="A320" s="4" t="s">
        <v>21</v>
      </c>
      <c r="B320" s="4" t="s">
        <v>32</v>
      </c>
      <c r="C320" s="4" t="s">
        <v>23</v>
      </c>
      <c r="D320" s="4" t="s">
        <v>33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44409</v>
      </c>
      <c r="J320" s="6">
        <v>0</v>
      </c>
      <c r="K320" s="6">
        <v>0</v>
      </c>
      <c r="L320" s="6">
        <v>109.244</v>
      </c>
      <c r="M320" s="6">
        <v>109.244</v>
      </c>
      <c r="N320" s="6">
        <v>109.244</v>
      </c>
      <c r="O320" s="6">
        <v>109.244</v>
      </c>
      <c r="P320" s="6">
        <v>76</v>
      </c>
      <c r="Q320" s="4" t="s">
        <v>26</v>
      </c>
      <c r="R320" s="4">
        <v>0</v>
      </c>
      <c r="S320" s="6">
        <v>0</v>
      </c>
      <c r="T320" s="6">
        <v>46</v>
      </c>
      <c r="U320" s="6">
        <v>84</v>
      </c>
      <c r="V320" s="6">
        <f>IF(ISERROR(VLOOKUP($S$320,'TAR FIN'!$A$1:$O$88,15,0)),0,VLOOKUP($S$320,'TAR FIN'!$A$1:$O$88,15,0))</f>
        <v>0</v>
      </c>
      <c r="W320" s="6">
        <f>IF(ISERROR(VLOOKUP($T$320,'TAR FIN'!$A$1:$O$88,15,0)),0,VLOOKUP($T$320,'TAR FIN'!$A$1:$O$88,15,0))</f>
        <v>0</v>
      </c>
      <c r="X320" s="6">
        <f>IF(ISERROR(VLOOKUP($U$320,'TAR FIN'!$A$1:$O$88,15,0)),0,VLOOKUP($U$320,'TAR FIN'!$A$1:$O$88,15,0))</f>
        <v>0</v>
      </c>
      <c r="Y320" s="6"/>
      <c r="Z320" s="6">
        <f ca="1">('TUSD BE'!$AM$48+'TUSD BF'!$AM$48+'TUSD CVA'!$AM$48)*1</f>
        <v>493.10070772969505</v>
      </c>
      <c r="AA320" s="6">
        <f>('TE BE'!$AB$39+'TE BF'!$AB$39+'TE CVA'!$AB$39)*1</f>
        <v>290.52986273778561</v>
      </c>
      <c r="AB320" s="6">
        <f>$K$320*$V$320</f>
        <v>0</v>
      </c>
      <c r="AC320" s="6">
        <f>$M$320*$W$320</f>
        <v>0</v>
      </c>
      <c r="AD320" s="6">
        <f>$O$320*$X$320</f>
        <v>0</v>
      </c>
      <c r="AE320" s="6">
        <f>$K$320*$Y$320</f>
        <v>0</v>
      </c>
      <c r="AF320" s="6">
        <f ca="1">$M$320*$Z$320</f>
        <v>53868.293715222804</v>
      </c>
      <c r="AG320" s="6">
        <f>$O$320*$AA$320</f>
        <v>31738.644324926652</v>
      </c>
    </row>
    <row r="321" spans="1:33" ht="11.25" customHeight="1" x14ac:dyDescent="0.25">
      <c r="A321" s="4" t="s">
        <v>27</v>
      </c>
      <c r="B321" s="4" t="s">
        <v>32</v>
      </c>
      <c r="C321" s="4" t="s">
        <v>23</v>
      </c>
      <c r="D321" s="4" t="s">
        <v>33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44409</v>
      </c>
      <c r="J321" s="6">
        <v>0</v>
      </c>
      <c r="K321" s="6">
        <v>0</v>
      </c>
      <c r="L321" s="6">
        <v>0.54300000000000004</v>
      </c>
      <c r="M321" s="6">
        <v>0.54300000000000004</v>
      </c>
      <c r="N321" s="6">
        <v>0.54300000000000004</v>
      </c>
      <c r="O321" s="6">
        <v>0.54300000000000004</v>
      </c>
      <c r="P321" s="6">
        <v>1</v>
      </c>
      <c r="Q321" s="4" t="s">
        <v>26</v>
      </c>
      <c r="R321" s="4">
        <v>0</v>
      </c>
      <c r="S321" s="6">
        <v>0</v>
      </c>
      <c r="T321" s="6">
        <v>46</v>
      </c>
      <c r="U321" s="6">
        <v>84</v>
      </c>
      <c r="V321" s="6">
        <f>IF(ISERROR(VLOOKUP($S$321,'TAR FIN'!$A$1:$O$88,15,0)),0,VLOOKUP($S$321,'TAR FIN'!$A$1:$O$88,15,0))</f>
        <v>0</v>
      </c>
      <c r="W321" s="6">
        <f>IF(ISERROR(VLOOKUP($T$321,'TAR FIN'!$A$1:$O$88,15,0)),0,VLOOKUP($T$321,'TAR FIN'!$A$1:$O$88,15,0))</f>
        <v>0</v>
      </c>
      <c r="X321" s="6">
        <f>IF(ISERROR(VLOOKUP($U$321,'TAR FIN'!$A$1:$O$88,15,0)),0,VLOOKUP($U$321,'TAR FIN'!$A$1:$O$88,15,0))</f>
        <v>0</v>
      </c>
      <c r="Y321" s="6"/>
      <c r="Z321" s="6">
        <f ca="1">('TUSD BE'!$AM$48+'TUSD BF'!$AM$48+'TUSD CVA'!$AM$48)*1</f>
        <v>493.10070772969505</v>
      </c>
      <c r="AA321" s="6">
        <f>('TE BE'!$AB$39+'TE BF'!$AB$39+'TE CVA'!$AB$39)*1</f>
        <v>290.52986273778561</v>
      </c>
      <c r="AB321" s="6">
        <f>$K$321*$V$321</f>
        <v>0</v>
      </c>
      <c r="AC321" s="6">
        <f>$M$321*$W$321</f>
        <v>0</v>
      </c>
      <c r="AD321" s="6">
        <f>$O$321*$X$321</f>
        <v>0</v>
      </c>
      <c r="AE321" s="6">
        <f>$K$321*$Y$321</f>
        <v>0</v>
      </c>
      <c r="AF321" s="6">
        <f ca="1">$M$321*$Z$321</f>
        <v>267.75368429722442</v>
      </c>
      <c r="AG321" s="6">
        <f>$O$321*$AA$321</f>
        <v>157.75771546661758</v>
      </c>
    </row>
    <row r="322" spans="1:33" ht="11.25" customHeight="1" x14ac:dyDescent="0.25">
      <c r="A322" s="4" t="s">
        <v>21</v>
      </c>
      <c r="B322" s="4" t="s">
        <v>32</v>
      </c>
      <c r="C322" s="4" t="s">
        <v>23</v>
      </c>
      <c r="D322" s="4" t="s">
        <v>33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44440</v>
      </c>
      <c r="J322" s="6">
        <v>0</v>
      </c>
      <c r="K322" s="6">
        <v>0</v>
      </c>
      <c r="L322" s="6">
        <v>96.180999999999997</v>
      </c>
      <c r="M322" s="6">
        <v>96.180999999999997</v>
      </c>
      <c r="N322" s="6">
        <v>96.180999999999997</v>
      </c>
      <c r="O322" s="6">
        <v>96.180999999999997</v>
      </c>
      <c r="P322" s="6">
        <v>77</v>
      </c>
      <c r="Q322" s="4" t="s">
        <v>26</v>
      </c>
      <c r="R322" s="4">
        <v>0</v>
      </c>
      <c r="S322" s="6">
        <v>0</v>
      </c>
      <c r="T322" s="6">
        <v>46</v>
      </c>
      <c r="U322" s="6">
        <v>84</v>
      </c>
      <c r="V322" s="6">
        <f>IF(ISERROR(VLOOKUP($S$322,'TAR FIN'!$A$1:$O$88,15,0)),0,VLOOKUP($S$322,'TAR FIN'!$A$1:$O$88,15,0))</f>
        <v>0</v>
      </c>
      <c r="W322" s="6">
        <f>IF(ISERROR(VLOOKUP($T$322,'TAR FIN'!$A$1:$O$88,15,0)),0,VLOOKUP($T$322,'TAR FIN'!$A$1:$O$88,15,0))</f>
        <v>0</v>
      </c>
      <c r="X322" s="6">
        <f>IF(ISERROR(VLOOKUP($U$322,'TAR FIN'!$A$1:$O$88,15,0)),0,VLOOKUP($U$322,'TAR FIN'!$A$1:$O$88,15,0))</f>
        <v>0</v>
      </c>
      <c r="Y322" s="6"/>
      <c r="Z322" s="6">
        <f ca="1">('TUSD BE'!$AM$48+'TUSD BF'!$AM$48+'TUSD CVA'!$AM$48)*1</f>
        <v>493.10070772969505</v>
      </c>
      <c r="AA322" s="6">
        <f>('TE BE'!$AB$39+'TE BF'!$AB$39+'TE CVA'!$AB$39)*1</f>
        <v>290.52986273778561</v>
      </c>
      <c r="AB322" s="6">
        <f>$K$322*$V$322</f>
        <v>0</v>
      </c>
      <c r="AC322" s="6">
        <f>$M$322*$W$322</f>
        <v>0</v>
      </c>
      <c r="AD322" s="6">
        <f>$O$322*$X$322</f>
        <v>0</v>
      </c>
      <c r="AE322" s="6">
        <f>$K$322*$Y$322</f>
        <v>0</v>
      </c>
      <c r="AF322" s="6">
        <f ca="1">$M$322*$Z$322</f>
        <v>47426.919170149798</v>
      </c>
      <c r="AG322" s="6">
        <f>$O$322*$AA$322</f>
        <v>27943.452727982956</v>
      </c>
    </row>
    <row r="323" spans="1:33" ht="11.25" customHeight="1" x14ac:dyDescent="0.25">
      <c r="A323" s="4" t="s">
        <v>27</v>
      </c>
      <c r="B323" s="4" t="s">
        <v>32</v>
      </c>
      <c r="C323" s="4" t="s">
        <v>23</v>
      </c>
      <c r="D323" s="4" t="s">
        <v>33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44440</v>
      </c>
      <c r="J323" s="6">
        <v>0</v>
      </c>
      <c r="K323" s="6">
        <v>0</v>
      </c>
      <c r="L323" s="6">
        <v>0.60499999999999998</v>
      </c>
      <c r="M323" s="6">
        <v>0.60499999999999998</v>
      </c>
      <c r="N323" s="6">
        <v>0.60499999999999998</v>
      </c>
      <c r="O323" s="6">
        <v>0.60499999999999998</v>
      </c>
      <c r="P323" s="6">
        <v>1</v>
      </c>
      <c r="Q323" s="4" t="s">
        <v>26</v>
      </c>
      <c r="R323" s="4">
        <v>0</v>
      </c>
      <c r="S323" s="6">
        <v>0</v>
      </c>
      <c r="T323" s="6">
        <v>46</v>
      </c>
      <c r="U323" s="6">
        <v>84</v>
      </c>
      <c r="V323" s="6">
        <f>IF(ISERROR(VLOOKUP($S$323,'TAR FIN'!$A$1:$O$88,15,0)),0,VLOOKUP($S$323,'TAR FIN'!$A$1:$O$88,15,0))</f>
        <v>0</v>
      </c>
      <c r="W323" s="6">
        <f>IF(ISERROR(VLOOKUP($T$323,'TAR FIN'!$A$1:$O$88,15,0)),0,VLOOKUP($T$323,'TAR FIN'!$A$1:$O$88,15,0))</f>
        <v>0</v>
      </c>
      <c r="X323" s="6">
        <f>IF(ISERROR(VLOOKUP($U$323,'TAR FIN'!$A$1:$O$88,15,0)),0,VLOOKUP($U$323,'TAR FIN'!$A$1:$O$88,15,0))</f>
        <v>0</v>
      </c>
      <c r="Y323" s="6"/>
      <c r="Z323" s="6">
        <f ca="1">('TUSD BE'!$AM$48+'TUSD BF'!$AM$48+'TUSD CVA'!$AM$48)*1</f>
        <v>493.10070772969505</v>
      </c>
      <c r="AA323" s="6">
        <f>('TE BE'!$AB$39+'TE BF'!$AB$39+'TE CVA'!$AB$39)*1</f>
        <v>290.52986273778561</v>
      </c>
      <c r="AB323" s="6">
        <f>$K$323*$V$323</f>
        <v>0</v>
      </c>
      <c r="AC323" s="6">
        <f>$M$323*$W$323</f>
        <v>0</v>
      </c>
      <c r="AD323" s="6">
        <f>$O$323*$X$323</f>
        <v>0</v>
      </c>
      <c r="AE323" s="6">
        <f>$K$323*$Y$323</f>
        <v>0</v>
      </c>
      <c r="AF323" s="6">
        <f ca="1">$M$323*$Z$323</f>
        <v>298.32592817646548</v>
      </c>
      <c r="AG323" s="6">
        <f>$O$323*$AA$323</f>
        <v>175.77056695636028</v>
      </c>
    </row>
    <row r="324" spans="1:33" ht="11.25" customHeight="1" x14ac:dyDescent="0.25">
      <c r="A324" s="4" t="s">
        <v>21</v>
      </c>
      <c r="B324" s="4" t="s">
        <v>32</v>
      </c>
      <c r="C324" s="4" t="s">
        <v>23</v>
      </c>
      <c r="D324" s="4" t="s">
        <v>33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44470</v>
      </c>
      <c r="J324" s="6">
        <v>0</v>
      </c>
      <c r="K324" s="6">
        <v>0</v>
      </c>
      <c r="L324" s="6">
        <v>112.52800000000001</v>
      </c>
      <c r="M324" s="6">
        <v>112.52800000000001</v>
      </c>
      <c r="N324" s="6">
        <v>112.52800000000001</v>
      </c>
      <c r="O324" s="6">
        <v>112.52800000000001</v>
      </c>
      <c r="P324" s="6">
        <v>75</v>
      </c>
      <c r="Q324" s="4" t="s">
        <v>26</v>
      </c>
      <c r="R324" s="4">
        <v>0</v>
      </c>
      <c r="S324" s="6">
        <v>0</v>
      </c>
      <c r="T324" s="6">
        <v>46</v>
      </c>
      <c r="U324" s="6">
        <v>84</v>
      </c>
      <c r="V324" s="6">
        <f>IF(ISERROR(VLOOKUP($S$324,'TAR FIN'!$A$1:$O$88,15,0)),0,VLOOKUP($S$324,'TAR FIN'!$A$1:$O$88,15,0))</f>
        <v>0</v>
      </c>
      <c r="W324" s="6">
        <f>IF(ISERROR(VLOOKUP($T$324,'TAR FIN'!$A$1:$O$88,15,0)),0,VLOOKUP($T$324,'TAR FIN'!$A$1:$O$88,15,0))</f>
        <v>0</v>
      </c>
      <c r="X324" s="6">
        <f>IF(ISERROR(VLOOKUP($U$324,'TAR FIN'!$A$1:$O$88,15,0)),0,VLOOKUP($U$324,'TAR FIN'!$A$1:$O$88,15,0))</f>
        <v>0</v>
      </c>
      <c r="Y324" s="6"/>
      <c r="Z324" s="6">
        <f ca="1">('TUSD BE'!$AM$48+'TUSD BF'!$AM$48+'TUSD CVA'!$AM$48)*1</f>
        <v>493.10070772969505</v>
      </c>
      <c r="AA324" s="6">
        <f>('TE BE'!$AB$39+'TE BF'!$AB$39+'TE CVA'!$AB$39)*1</f>
        <v>290.52986273778561</v>
      </c>
      <c r="AB324" s="6">
        <f>$K$324*$V$324</f>
        <v>0</v>
      </c>
      <c r="AC324" s="6">
        <f>$M$324*$W$324</f>
        <v>0</v>
      </c>
      <c r="AD324" s="6">
        <f>$O$324*$X$324</f>
        <v>0</v>
      </c>
      <c r="AE324" s="6">
        <f>$K$324*$Y$324</f>
        <v>0</v>
      </c>
      <c r="AF324" s="6">
        <f ca="1">$M$324*$Z$324</f>
        <v>55487.636439407128</v>
      </c>
      <c r="AG324" s="6">
        <f>$O$324*$AA$324</f>
        <v>32692.74439415754</v>
      </c>
    </row>
    <row r="325" spans="1:33" ht="11.25" customHeight="1" x14ac:dyDescent="0.25">
      <c r="A325" s="4" t="s">
        <v>27</v>
      </c>
      <c r="B325" s="4" t="s">
        <v>32</v>
      </c>
      <c r="C325" s="4" t="s">
        <v>23</v>
      </c>
      <c r="D325" s="4" t="s">
        <v>33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44470</v>
      </c>
      <c r="J325" s="6">
        <v>0</v>
      </c>
      <c r="K325" s="6">
        <v>0</v>
      </c>
      <c r="L325" s="6">
        <v>0.505</v>
      </c>
      <c r="M325" s="6">
        <v>0.505</v>
      </c>
      <c r="N325" s="6">
        <v>0.505</v>
      </c>
      <c r="O325" s="6">
        <v>0.505</v>
      </c>
      <c r="P325" s="6">
        <v>1</v>
      </c>
      <c r="Q325" s="4" t="s">
        <v>26</v>
      </c>
      <c r="R325" s="4">
        <v>0</v>
      </c>
      <c r="S325" s="6">
        <v>0</v>
      </c>
      <c r="T325" s="6">
        <v>46</v>
      </c>
      <c r="U325" s="6">
        <v>84</v>
      </c>
      <c r="V325" s="6">
        <f>IF(ISERROR(VLOOKUP($S$325,'TAR FIN'!$A$1:$O$88,15,0)),0,VLOOKUP($S$325,'TAR FIN'!$A$1:$O$88,15,0))</f>
        <v>0</v>
      </c>
      <c r="W325" s="6">
        <f>IF(ISERROR(VLOOKUP($T$325,'TAR FIN'!$A$1:$O$88,15,0)),0,VLOOKUP($T$325,'TAR FIN'!$A$1:$O$88,15,0))</f>
        <v>0</v>
      </c>
      <c r="X325" s="6">
        <f>IF(ISERROR(VLOOKUP($U$325,'TAR FIN'!$A$1:$O$88,15,0)),0,VLOOKUP($U$325,'TAR FIN'!$A$1:$O$88,15,0))</f>
        <v>0</v>
      </c>
      <c r="Y325" s="6"/>
      <c r="Z325" s="6">
        <f ca="1">('TUSD BE'!$AM$48+'TUSD BF'!$AM$48+'TUSD CVA'!$AM$48)*1</f>
        <v>493.10070772969505</v>
      </c>
      <c r="AA325" s="6">
        <f>('TE BE'!$AB$39+'TE BF'!$AB$39+'TE CVA'!$AB$39)*1</f>
        <v>290.52986273778561</v>
      </c>
      <c r="AB325" s="6">
        <f>$K$325*$V$325</f>
        <v>0</v>
      </c>
      <c r="AC325" s="6">
        <f>$M$325*$W$325</f>
        <v>0</v>
      </c>
      <c r="AD325" s="6">
        <f>$O$325*$X$325</f>
        <v>0</v>
      </c>
      <c r="AE325" s="6">
        <f>$K$325*$Y$325</f>
        <v>0</v>
      </c>
      <c r="AF325" s="6">
        <f ca="1">$M$325*$Z$325</f>
        <v>249.015857403496</v>
      </c>
      <c r="AG325" s="6">
        <f>$O$325*$AA$325</f>
        <v>146.71758068258174</v>
      </c>
    </row>
    <row r="326" spans="1:33" ht="11.25" customHeight="1" x14ac:dyDescent="0.25">
      <c r="A326" s="4" t="s">
        <v>21</v>
      </c>
      <c r="B326" s="4" t="s">
        <v>32</v>
      </c>
      <c r="C326" s="4" t="s">
        <v>23</v>
      </c>
      <c r="D326" s="4" t="s">
        <v>33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44501</v>
      </c>
      <c r="J326" s="6">
        <v>0</v>
      </c>
      <c r="K326" s="6">
        <v>0</v>
      </c>
      <c r="L326" s="6">
        <v>94.328000000000003</v>
      </c>
      <c r="M326" s="6">
        <v>94.328000000000003</v>
      </c>
      <c r="N326" s="6">
        <v>94.328000000000003</v>
      </c>
      <c r="O326" s="6">
        <v>94.328000000000003</v>
      </c>
      <c r="P326" s="6">
        <v>75</v>
      </c>
      <c r="Q326" s="4" t="s">
        <v>26</v>
      </c>
      <c r="R326" s="4">
        <v>0</v>
      </c>
      <c r="S326" s="6">
        <v>0</v>
      </c>
      <c r="T326" s="6">
        <v>46</v>
      </c>
      <c r="U326" s="6">
        <v>84</v>
      </c>
      <c r="V326" s="6">
        <f>IF(ISERROR(VLOOKUP($S$326,'TAR FIN'!$A$1:$O$88,15,0)),0,VLOOKUP($S$326,'TAR FIN'!$A$1:$O$88,15,0))</f>
        <v>0</v>
      </c>
      <c r="W326" s="6">
        <f>IF(ISERROR(VLOOKUP($T$326,'TAR FIN'!$A$1:$O$88,15,0)),0,VLOOKUP($T$326,'TAR FIN'!$A$1:$O$88,15,0))</f>
        <v>0</v>
      </c>
      <c r="X326" s="6">
        <f>IF(ISERROR(VLOOKUP($U$326,'TAR FIN'!$A$1:$O$88,15,0)),0,VLOOKUP($U$326,'TAR FIN'!$A$1:$O$88,15,0))</f>
        <v>0</v>
      </c>
      <c r="Y326" s="6"/>
      <c r="Z326" s="6">
        <f ca="1">('TUSD BE'!$AM$48+'TUSD BF'!$AM$48+'TUSD CVA'!$AM$48)*1</f>
        <v>493.10070772969505</v>
      </c>
      <c r="AA326" s="6">
        <f>('TE BE'!$AB$39+'TE BF'!$AB$39+'TE CVA'!$AB$39)*1</f>
        <v>290.52986273778561</v>
      </c>
      <c r="AB326" s="6">
        <f>$K$326*$V$326</f>
        <v>0</v>
      </c>
      <c r="AC326" s="6">
        <f>$M$326*$W$326</f>
        <v>0</v>
      </c>
      <c r="AD326" s="6">
        <f>$O$326*$X$326</f>
        <v>0</v>
      </c>
      <c r="AE326" s="6">
        <f>$K$326*$Y$326</f>
        <v>0</v>
      </c>
      <c r="AF326" s="6">
        <f ca="1">$M$326*$Z$326</f>
        <v>46513.203558726673</v>
      </c>
      <c r="AG326" s="6">
        <f>$O$326*$AA$326</f>
        <v>27405.100892329843</v>
      </c>
    </row>
    <row r="327" spans="1:33" ht="11.25" customHeight="1" x14ac:dyDescent="0.25">
      <c r="A327" s="4" t="s">
        <v>27</v>
      </c>
      <c r="B327" s="4" t="s">
        <v>32</v>
      </c>
      <c r="C327" s="4" t="s">
        <v>23</v>
      </c>
      <c r="D327" s="4" t="s">
        <v>33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44501</v>
      </c>
      <c r="J327" s="6">
        <v>0</v>
      </c>
      <c r="K327" s="6">
        <v>0</v>
      </c>
      <c r="L327" s="6">
        <v>0.21299999999999999</v>
      </c>
      <c r="M327" s="6">
        <v>0.21299999999999999</v>
      </c>
      <c r="N327" s="6">
        <v>0.21299999999999999</v>
      </c>
      <c r="O327" s="6">
        <v>0.21299999999999999</v>
      </c>
      <c r="P327" s="6">
        <v>1</v>
      </c>
      <c r="Q327" s="4" t="s">
        <v>26</v>
      </c>
      <c r="R327" s="4">
        <v>0</v>
      </c>
      <c r="S327" s="6">
        <v>0</v>
      </c>
      <c r="T327" s="6">
        <v>46</v>
      </c>
      <c r="U327" s="6">
        <v>84</v>
      </c>
      <c r="V327" s="6">
        <f>IF(ISERROR(VLOOKUP($S$327,'TAR FIN'!$A$1:$O$88,15,0)),0,VLOOKUP($S$327,'TAR FIN'!$A$1:$O$88,15,0))</f>
        <v>0</v>
      </c>
      <c r="W327" s="6">
        <f>IF(ISERROR(VLOOKUP($T$327,'TAR FIN'!$A$1:$O$88,15,0)),0,VLOOKUP($T$327,'TAR FIN'!$A$1:$O$88,15,0))</f>
        <v>0</v>
      </c>
      <c r="X327" s="6">
        <f>IF(ISERROR(VLOOKUP($U$327,'TAR FIN'!$A$1:$O$88,15,0)),0,VLOOKUP($U$327,'TAR FIN'!$A$1:$O$88,15,0))</f>
        <v>0</v>
      </c>
      <c r="Y327" s="6"/>
      <c r="Z327" s="6">
        <f ca="1">('TUSD BE'!$AM$48+'TUSD BF'!$AM$48+'TUSD CVA'!$AM$48)*1</f>
        <v>493.10070772969505</v>
      </c>
      <c r="AA327" s="6">
        <f>('TE BE'!$AB$39+'TE BF'!$AB$39+'TE CVA'!$AB$39)*1</f>
        <v>290.52986273778561</v>
      </c>
      <c r="AB327" s="6">
        <f>$K$327*$V$327</f>
        <v>0</v>
      </c>
      <c r="AC327" s="6">
        <f>$M$327*$W$327</f>
        <v>0</v>
      </c>
      <c r="AD327" s="6">
        <f>$O$327*$X$327</f>
        <v>0</v>
      </c>
      <c r="AE327" s="6">
        <f>$K$327*$Y$327</f>
        <v>0</v>
      </c>
      <c r="AF327" s="6">
        <f ca="1">$M$327*$Z$327</f>
        <v>105.03045074642505</v>
      </c>
      <c r="AG327" s="6">
        <f>$O$327*$AA$327</f>
        <v>61.882860763148329</v>
      </c>
    </row>
    <row r="328" spans="1:33" ht="11.25" customHeight="1" x14ac:dyDescent="0.25">
      <c r="A328" s="4" t="s">
        <v>21</v>
      </c>
      <c r="B328" s="4" t="s">
        <v>32</v>
      </c>
      <c r="C328" s="4" t="s">
        <v>23</v>
      </c>
      <c r="D328" s="4" t="s">
        <v>33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44531</v>
      </c>
      <c r="J328" s="6">
        <v>0</v>
      </c>
      <c r="K328" s="6">
        <v>0</v>
      </c>
      <c r="L328" s="6">
        <v>97.72</v>
      </c>
      <c r="M328" s="6">
        <v>97.72</v>
      </c>
      <c r="N328" s="6">
        <v>97.72</v>
      </c>
      <c r="O328" s="6">
        <v>97.72</v>
      </c>
      <c r="P328" s="6">
        <v>74</v>
      </c>
      <c r="Q328" s="4" t="s">
        <v>26</v>
      </c>
      <c r="R328" s="4">
        <v>0</v>
      </c>
      <c r="S328" s="6">
        <v>0</v>
      </c>
      <c r="T328" s="6">
        <v>46</v>
      </c>
      <c r="U328" s="6">
        <v>84</v>
      </c>
      <c r="V328" s="6">
        <f>IF(ISERROR(VLOOKUP($S$328,'TAR FIN'!$A$1:$O$88,15,0)),0,VLOOKUP($S$328,'TAR FIN'!$A$1:$O$88,15,0))</f>
        <v>0</v>
      </c>
      <c r="W328" s="6">
        <f>IF(ISERROR(VLOOKUP($T$328,'TAR FIN'!$A$1:$O$88,15,0)),0,VLOOKUP($T$328,'TAR FIN'!$A$1:$O$88,15,0))</f>
        <v>0</v>
      </c>
      <c r="X328" s="6">
        <f>IF(ISERROR(VLOOKUP($U$328,'TAR FIN'!$A$1:$O$88,15,0)),0,VLOOKUP($U$328,'TAR FIN'!$A$1:$O$88,15,0))</f>
        <v>0</v>
      </c>
      <c r="Y328" s="6"/>
      <c r="Z328" s="6">
        <f ca="1">('TUSD BE'!$AM$48+'TUSD BF'!$AM$48+'TUSD CVA'!$AM$48)*1</f>
        <v>493.10070772969505</v>
      </c>
      <c r="AA328" s="6">
        <f>('TE BE'!$AB$39+'TE BF'!$AB$39+'TE CVA'!$AB$39)*1</f>
        <v>290.52986273778561</v>
      </c>
      <c r="AB328" s="6">
        <f>$K$328*$V$328</f>
        <v>0</v>
      </c>
      <c r="AC328" s="6">
        <f>$M$328*$W$328</f>
        <v>0</v>
      </c>
      <c r="AD328" s="6">
        <f>$O$328*$X$328</f>
        <v>0</v>
      </c>
      <c r="AE328" s="6">
        <f>$K$328*$Y$328</f>
        <v>0</v>
      </c>
      <c r="AF328" s="6">
        <f ca="1">$M$328*$Z$328</f>
        <v>48185.8011593458</v>
      </c>
      <c r="AG328" s="6">
        <f>$O$328*$AA$328</f>
        <v>28390.578186736409</v>
      </c>
    </row>
    <row r="329" spans="1:33" ht="11.25" customHeight="1" x14ac:dyDescent="0.25">
      <c r="A329" s="4" t="s">
        <v>27</v>
      </c>
      <c r="B329" s="4" t="s">
        <v>32</v>
      </c>
      <c r="C329" s="4" t="s">
        <v>23</v>
      </c>
      <c r="D329" s="4" t="s">
        <v>33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0.1</v>
      </c>
      <c r="M329" s="6">
        <v>0.1</v>
      </c>
      <c r="N329" s="6">
        <v>0.1</v>
      </c>
      <c r="O329" s="6">
        <v>0.1</v>
      </c>
      <c r="P329" s="6">
        <v>1</v>
      </c>
      <c r="Q329" s="4" t="s">
        <v>26</v>
      </c>
      <c r="R329" s="4">
        <v>0</v>
      </c>
      <c r="S329" s="6">
        <v>0</v>
      </c>
      <c r="T329" s="6">
        <v>46</v>
      </c>
      <c r="U329" s="6">
        <v>84</v>
      </c>
      <c r="V329" s="6">
        <f>IF(ISERROR(VLOOKUP($S$329,'TAR FIN'!$A$1:$O$88,15,0)),0,VLOOKUP($S$329,'TAR FIN'!$A$1:$O$88,15,0))</f>
        <v>0</v>
      </c>
      <c r="W329" s="6">
        <f>IF(ISERROR(VLOOKUP($T$329,'TAR FIN'!$A$1:$O$88,15,0)),0,VLOOKUP($T$329,'TAR FIN'!$A$1:$O$88,15,0))</f>
        <v>0</v>
      </c>
      <c r="X329" s="6">
        <f>IF(ISERROR(VLOOKUP($U$329,'TAR FIN'!$A$1:$O$88,15,0)),0,VLOOKUP($U$329,'TAR FIN'!$A$1:$O$88,15,0))</f>
        <v>0</v>
      </c>
      <c r="Y329" s="6"/>
      <c r="Z329" s="6">
        <f ca="1">('TUSD BE'!$AM$48+'TUSD BF'!$AM$48+'TUSD CVA'!$AM$48)*1</f>
        <v>493.10070772969505</v>
      </c>
      <c r="AA329" s="6">
        <f>('TE BE'!$AB$39+'TE BF'!$AB$39+'TE CVA'!$AB$39)*1</f>
        <v>290.52986273778561</v>
      </c>
      <c r="AB329" s="6">
        <f>$K$329*$V$329</f>
        <v>0</v>
      </c>
      <c r="AC329" s="6">
        <f>$M$329*$W$329</f>
        <v>0</v>
      </c>
      <c r="AD329" s="6">
        <f>$O$329*$X$329</f>
        <v>0</v>
      </c>
      <c r="AE329" s="6">
        <f>$K$329*$Y$329</f>
        <v>0</v>
      </c>
      <c r="AF329" s="6">
        <f ca="1">$M$329*$Z$329</f>
        <v>49.31007077296951</v>
      </c>
      <c r="AG329" s="6">
        <f>$O$329*$AA$329</f>
        <v>29.052986273778561</v>
      </c>
    </row>
    <row r="330" spans="1:33" ht="11.25" customHeight="1" x14ac:dyDescent="0.25">
      <c r="A330" s="4" t="s">
        <v>21</v>
      </c>
      <c r="B330" s="4" t="s">
        <v>32</v>
      </c>
      <c r="C330" s="4" t="s">
        <v>23</v>
      </c>
      <c r="D330" s="4" t="s">
        <v>33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93.116</v>
      </c>
      <c r="M330" s="6">
        <v>93.116</v>
      </c>
      <c r="N330" s="6">
        <v>93.116</v>
      </c>
      <c r="O330" s="6">
        <v>93.116</v>
      </c>
      <c r="P330" s="6">
        <v>74</v>
      </c>
      <c r="Q330" s="4" t="s">
        <v>26</v>
      </c>
      <c r="R330" s="4">
        <v>0</v>
      </c>
      <c r="S330" s="6">
        <v>0</v>
      </c>
      <c r="T330" s="6">
        <v>46</v>
      </c>
      <c r="U330" s="6">
        <v>84</v>
      </c>
      <c r="V330" s="6">
        <f>IF(ISERROR(VLOOKUP($S$330,'TAR FIN'!$A$1:$O$88,15,0)),0,VLOOKUP($S$330,'TAR FIN'!$A$1:$O$88,15,0))</f>
        <v>0</v>
      </c>
      <c r="W330" s="6">
        <f>IF(ISERROR(VLOOKUP($T$330,'TAR FIN'!$A$1:$O$88,15,0)),0,VLOOKUP($T$330,'TAR FIN'!$A$1:$O$88,15,0))</f>
        <v>0</v>
      </c>
      <c r="X330" s="6">
        <f>IF(ISERROR(VLOOKUP($U$330,'TAR FIN'!$A$1:$O$88,15,0)),0,VLOOKUP($U$330,'TAR FIN'!$A$1:$O$88,15,0))</f>
        <v>0</v>
      </c>
      <c r="Y330" s="6"/>
      <c r="Z330" s="6">
        <f ca="1">('TUSD BE'!$AM$48+'TUSD BF'!$AM$48+'TUSD CVA'!$AM$48)*1</f>
        <v>493.10070772969505</v>
      </c>
      <c r="AA330" s="6">
        <f>('TE BE'!$AB$39+'TE BF'!$AB$39+'TE CVA'!$AB$39)*1</f>
        <v>290.52986273778561</v>
      </c>
      <c r="AB330" s="6">
        <f>$K$330*$V$330</f>
        <v>0</v>
      </c>
      <c r="AC330" s="6">
        <f>$M$330*$W$330</f>
        <v>0</v>
      </c>
      <c r="AD330" s="6">
        <f>$O$330*$X$330</f>
        <v>0</v>
      </c>
      <c r="AE330" s="6">
        <f>$K$330*$Y$330</f>
        <v>0</v>
      </c>
      <c r="AF330" s="6">
        <f ca="1">$M$330*$Z$330</f>
        <v>45915.565500958284</v>
      </c>
      <c r="AG330" s="6">
        <f>$O$330*$AA$330</f>
        <v>27052.978698691644</v>
      </c>
    </row>
    <row r="331" spans="1:33" ht="11.25" customHeight="1" x14ac:dyDescent="0.25">
      <c r="A331" s="4" t="s">
        <v>27</v>
      </c>
      <c r="B331" s="4" t="s">
        <v>32</v>
      </c>
      <c r="C331" s="4" t="s">
        <v>23</v>
      </c>
      <c r="D331" s="4" t="s">
        <v>33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44562</v>
      </c>
      <c r="J331" s="6">
        <v>0</v>
      </c>
      <c r="K331" s="6">
        <v>0</v>
      </c>
      <c r="L331" s="6">
        <v>0.25900000000000001</v>
      </c>
      <c r="M331" s="6">
        <v>0.25900000000000001</v>
      </c>
      <c r="N331" s="6">
        <v>0.25900000000000001</v>
      </c>
      <c r="O331" s="6">
        <v>0.25900000000000001</v>
      </c>
      <c r="P331" s="6">
        <v>1</v>
      </c>
      <c r="Q331" s="4" t="s">
        <v>26</v>
      </c>
      <c r="R331" s="4">
        <v>0</v>
      </c>
      <c r="S331" s="6">
        <v>0</v>
      </c>
      <c r="T331" s="6">
        <v>46</v>
      </c>
      <c r="U331" s="6">
        <v>84</v>
      </c>
      <c r="V331" s="6">
        <f>IF(ISERROR(VLOOKUP($S$331,'TAR FIN'!$A$1:$O$88,15,0)),0,VLOOKUP($S$331,'TAR FIN'!$A$1:$O$88,15,0))</f>
        <v>0</v>
      </c>
      <c r="W331" s="6">
        <f>IF(ISERROR(VLOOKUP($T$331,'TAR FIN'!$A$1:$O$88,15,0)),0,VLOOKUP($T$331,'TAR FIN'!$A$1:$O$88,15,0))</f>
        <v>0</v>
      </c>
      <c r="X331" s="6">
        <f>IF(ISERROR(VLOOKUP($U$331,'TAR FIN'!$A$1:$O$88,15,0)),0,VLOOKUP($U$331,'TAR FIN'!$A$1:$O$88,15,0))</f>
        <v>0</v>
      </c>
      <c r="Y331" s="6"/>
      <c r="Z331" s="6">
        <f ca="1">('TUSD BE'!$AM$48+'TUSD BF'!$AM$48+'TUSD CVA'!$AM$48)*1</f>
        <v>493.10070772969505</v>
      </c>
      <c r="AA331" s="6">
        <f>('TE BE'!$AB$39+'TE BF'!$AB$39+'TE CVA'!$AB$39)*1</f>
        <v>290.52986273778561</v>
      </c>
      <c r="AB331" s="6">
        <f>$K$331*$V$331</f>
        <v>0</v>
      </c>
      <c r="AC331" s="6">
        <f>$M$331*$W$331</f>
        <v>0</v>
      </c>
      <c r="AD331" s="6">
        <f>$O$331*$X$331</f>
        <v>0</v>
      </c>
      <c r="AE331" s="6">
        <f>$K$331*$Y$331</f>
        <v>0</v>
      </c>
      <c r="AF331" s="6">
        <f ca="1">$M$331*$Z$331</f>
        <v>127.71308330199102</v>
      </c>
      <c r="AG331" s="6">
        <f>$O$331*$AA$331</f>
        <v>75.247234449086477</v>
      </c>
    </row>
    <row r="332" spans="1:33" ht="11.25" customHeight="1" x14ac:dyDescent="0.25">
      <c r="A332" s="4" t="s">
        <v>21</v>
      </c>
      <c r="B332" s="4" t="s">
        <v>32</v>
      </c>
      <c r="C332" s="4" t="s">
        <v>23</v>
      </c>
      <c r="D332" s="4" t="s">
        <v>33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44593</v>
      </c>
      <c r="J332" s="6">
        <v>0</v>
      </c>
      <c r="K332" s="6">
        <v>0</v>
      </c>
      <c r="L332" s="6">
        <v>103.97799999999999</v>
      </c>
      <c r="M332" s="6">
        <v>103.97799999999999</v>
      </c>
      <c r="N332" s="6">
        <v>103.97799999999999</v>
      </c>
      <c r="O332" s="6">
        <v>103.97799999999999</v>
      </c>
      <c r="P332" s="6">
        <v>76</v>
      </c>
      <c r="Q332" s="4" t="s">
        <v>26</v>
      </c>
      <c r="R332" s="4">
        <v>0</v>
      </c>
      <c r="S332" s="6">
        <v>0</v>
      </c>
      <c r="T332" s="6">
        <v>46</v>
      </c>
      <c r="U332" s="6">
        <v>84</v>
      </c>
      <c r="V332" s="6">
        <f>IF(ISERROR(VLOOKUP($S$332,'TAR FIN'!$A$1:$O$88,15,0)),0,VLOOKUP($S$332,'TAR FIN'!$A$1:$O$88,15,0))</f>
        <v>0</v>
      </c>
      <c r="W332" s="6">
        <f>IF(ISERROR(VLOOKUP($T$332,'TAR FIN'!$A$1:$O$88,15,0)),0,VLOOKUP($T$332,'TAR FIN'!$A$1:$O$88,15,0))</f>
        <v>0</v>
      </c>
      <c r="X332" s="6">
        <f>IF(ISERROR(VLOOKUP($U$332,'TAR FIN'!$A$1:$O$88,15,0)),0,VLOOKUP($U$332,'TAR FIN'!$A$1:$O$88,15,0))</f>
        <v>0</v>
      </c>
      <c r="Y332" s="6"/>
      <c r="Z332" s="6">
        <f ca="1">('TUSD BE'!$AM$48+'TUSD BF'!$AM$48+'TUSD CVA'!$AM$48)*1</f>
        <v>493.10070772969505</v>
      </c>
      <c r="AA332" s="6">
        <f>('TE BE'!$AB$39+'TE BF'!$AB$39+'TE CVA'!$AB$39)*1</f>
        <v>290.52986273778561</v>
      </c>
      <c r="AB332" s="6">
        <f>$K$332*$V$332</f>
        <v>0</v>
      </c>
      <c r="AC332" s="6">
        <f>$M$332*$W$332</f>
        <v>0</v>
      </c>
      <c r="AD332" s="6">
        <f>$O$332*$X$332</f>
        <v>0</v>
      </c>
      <c r="AE332" s="6">
        <f>$K$332*$Y$332</f>
        <v>0</v>
      </c>
      <c r="AF332" s="6">
        <f ca="1">$M$332*$Z$332</f>
        <v>51271.625388318229</v>
      </c>
      <c r="AG332" s="6">
        <f>$O$332*$AA$332</f>
        <v>30208.714067749472</v>
      </c>
    </row>
    <row r="333" spans="1:33" ht="11.25" customHeight="1" x14ac:dyDescent="0.25">
      <c r="A333" s="4" t="s">
        <v>27</v>
      </c>
      <c r="B333" s="4" t="s">
        <v>32</v>
      </c>
      <c r="C333" s="4" t="s">
        <v>23</v>
      </c>
      <c r="D333" s="4" t="s">
        <v>33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44593</v>
      </c>
      <c r="J333" s="6">
        <v>0</v>
      </c>
      <c r="K333" s="6">
        <v>0</v>
      </c>
      <c r="L333" s="6">
        <v>0.36499999999999999</v>
      </c>
      <c r="M333" s="6">
        <v>0.36499999999999999</v>
      </c>
      <c r="N333" s="6">
        <v>0.36499999999999999</v>
      </c>
      <c r="O333" s="6">
        <v>0.36499999999999999</v>
      </c>
      <c r="P333" s="6">
        <v>1</v>
      </c>
      <c r="Q333" s="4" t="s">
        <v>26</v>
      </c>
      <c r="R333" s="4">
        <v>0</v>
      </c>
      <c r="S333" s="6">
        <v>0</v>
      </c>
      <c r="T333" s="6">
        <v>46</v>
      </c>
      <c r="U333" s="6">
        <v>84</v>
      </c>
      <c r="V333" s="6">
        <f>IF(ISERROR(VLOOKUP($S$333,'TAR FIN'!$A$1:$O$88,15,0)),0,VLOOKUP($S$333,'TAR FIN'!$A$1:$O$88,15,0))</f>
        <v>0</v>
      </c>
      <c r="W333" s="6">
        <f>IF(ISERROR(VLOOKUP($T$333,'TAR FIN'!$A$1:$O$88,15,0)),0,VLOOKUP($T$333,'TAR FIN'!$A$1:$O$88,15,0))</f>
        <v>0</v>
      </c>
      <c r="X333" s="6">
        <f>IF(ISERROR(VLOOKUP($U$333,'TAR FIN'!$A$1:$O$88,15,0)),0,VLOOKUP($U$333,'TAR FIN'!$A$1:$O$88,15,0))</f>
        <v>0</v>
      </c>
      <c r="Y333" s="6"/>
      <c r="Z333" s="6">
        <f ca="1">('TUSD BE'!$AM$48+'TUSD BF'!$AM$48+'TUSD CVA'!$AM$48)*1</f>
        <v>493.10070772969505</v>
      </c>
      <c r="AA333" s="6">
        <f>('TE BE'!$AB$39+'TE BF'!$AB$39+'TE CVA'!$AB$39)*1</f>
        <v>290.52986273778561</v>
      </c>
      <c r="AB333" s="6">
        <f>$K$333*$V$333</f>
        <v>0</v>
      </c>
      <c r="AC333" s="6">
        <f>$M$333*$W$333</f>
        <v>0</v>
      </c>
      <c r="AD333" s="6">
        <f>$O$333*$X$333</f>
        <v>0</v>
      </c>
      <c r="AE333" s="6">
        <f>$K$333*$Y$333</f>
        <v>0</v>
      </c>
      <c r="AF333" s="6">
        <f ca="1">$M$333*$Z$333</f>
        <v>179.98175832133867</v>
      </c>
      <c r="AG333" s="6">
        <f>$O$333*$AA$333</f>
        <v>106.04339989929174</v>
      </c>
    </row>
    <row r="334" spans="1:33" ht="11.25" customHeight="1" x14ac:dyDescent="0.25">
      <c r="A334" s="4" t="s">
        <v>21</v>
      </c>
      <c r="B334" s="4" t="s">
        <v>32</v>
      </c>
      <c r="C334" s="4" t="s">
        <v>23</v>
      </c>
      <c r="D334" s="4" t="s">
        <v>33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44621</v>
      </c>
      <c r="J334" s="6">
        <v>0</v>
      </c>
      <c r="K334" s="6">
        <v>0</v>
      </c>
      <c r="L334" s="6">
        <v>91.114000000000004</v>
      </c>
      <c r="M334" s="6">
        <v>91.114000000000004</v>
      </c>
      <c r="N334" s="6">
        <v>91.114000000000004</v>
      </c>
      <c r="O334" s="6">
        <v>91.114000000000004</v>
      </c>
      <c r="P334" s="6">
        <v>74</v>
      </c>
      <c r="Q334" s="4" t="s">
        <v>26</v>
      </c>
      <c r="R334" s="4">
        <v>0</v>
      </c>
      <c r="S334" s="6">
        <v>0</v>
      </c>
      <c r="T334" s="6">
        <v>46</v>
      </c>
      <c r="U334" s="6">
        <v>84</v>
      </c>
      <c r="V334" s="6">
        <f>IF(ISERROR(VLOOKUP($S$334,'TAR FIN'!$A$1:$O$88,15,0)),0,VLOOKUP($S$334,'TAR FIN'!$A$1:$O$88,15,0))</f>
        <v>0</v>
      </c>
      <c r="W334" s="6">
        <f>IF(ISERROR(VLOOKUP($T$334,'TAR FIN'!$A$1:$O$88,15,0)),0,VLOOKUP($T$334,'TAR FIN'!$A$1:$O$88,15,0))</f>
        <v>0</v>
      </c>
      <c r="X334" s="6">
        <f>IF(ISERROR(VLOOKUP($U$334,'TAR FIN'!$A$1:$O$88,15,0)),0,VLOOKUP($U$334,'TAR FIN'!$A$1:$O$88,15,0))</f>
        <v>0</v>
      </c>
      <c r="Y334" s="6"/>
      <c r="Z334" s="6">
        <f ca="1">('TUSD BE'!$AM$48+'TUSD BF'!$AM$48+'TUSD CVA'!$AM$48)*1</f>
        <v>493.10070772969505</v>
      </c>
      <c r="AA334" s="6">
        <f>('TE BE'!$AB$39+'TE BF'!$AB$39+'TE CVA'!$AB$39)*1</f>
        <v>290.52986273778561</v>
      </c>
      <c r="AB334" s="6">
        <f>$K$334*$V$334</f>
        <v>0</v>
      </c>
      <c r="AC334" s="6">
        <f>$M$334*$W$334</f>
        <v>0</v>
      </c>
      <c r="AD334" s="6">
        <f>$O$334*$X$334</f>
        <v>0</v>
      </c>
      <c r="AE334" s="6">
        <f>$K$334*$Y$334</f>
        <v>0</v>
      </c>
      <c r="AF334" s="6">
        <f ca="1">$M$334*$Z$334</f>
        <v>44928.377884083435</v>
      </c>
      <c r="AG334" s="6">
        <f>$O$334*$AA$334</f>
        <v>26471.337913490599</v>
      </c>
    </row>
    <row r="335" spans="1:33" ht="11.25" customHeight="1" x14ac:dyDescent="0.25">
      <c r="A335" s="4" t="s">
        <v>27</v>
      </c>
      <c r="B335" s="4" t="s">
        <v>32</v>
      </c>
      <c r="C335" s="4" t="s">
        <v>23</v>
      </c>
      <c r="D335" s="4" t="s">
        <v>33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44621</v>
      </c>
      <c r="J335" s="6">
        <v>0</v>
      </c>
      <c r="K335" s="6">
        <v>0</v>
      </c>
      <c r="L335" s="6">
        <v>0.1</v>
      </c>
      <c r="M335" s="6">
        <v>0.1</v>
      </c>
      <c r="N335" s="6">
        <v>0.1</v>
      </c>
      <c r="O335" s="6">
        <v>0.1</v>
      </c>
      <c r="P335" s="6">
        <v>1</v>
      </c>
      <c r="Q335" s="4" t="s">
        <v>26</v>
      </c>
      <c r="R335" s="4">
        <v>0</v>
      </c>
      <c r="S335" s="6">
        <v>0</v>
      </c>
      <c r="T335" s="6">
        <v>46</v>
      </c>
      <c r="U335" s="6">
        <v>84</v>
      </c>
      <c r="V335" s="6">
        <f>IF(ISERROR(VLOOKUP($S$335,'TAR FIN'!$A$1:$O$88,15,0)),0,VLOOKUP($S$335,'TAR FIN'!$A$1:$O$88,15,0))</f>
        <v>0</v>
      </c>
      <c r="W335" s="6">
        <f>IF(ISERROR(VLOOKUP($T$335,'TAR FIN'!$A$1:$O$88,15,0)),0,VLOOKUP($T$335,'TAR FIN'!$A$1:$O$88,15,0))</f>
        <v>0</v>
      </c>
      <c r="X335" s="6">
        <f>IF(ISERROR(VLOOKUP($U$335,'TAR FIN'!$A$1:$O$88,15,0)),0,VLOOKUP($U$335,'TAR FIN'!$A$1:$O$88,15,0))</f>
        <v>0</v>
      </c>
      <c r="Y335" s="6"/>
      <c r="Z335" s="6">
        <f ca="1">('TUSD BE'!$AM$48+'TUSD BF'!$AM$48+'TUSD CVA'!$AM$48)*1</f>
        <v>493.10070772969505</v>
      </c>
      <c r="AA335" s="6">
        <f>('TE BE'!$AB$39+'TE BF'!$AB$39+'TE CVA'!$AB$39)*1</f>
        <v>290.52986273778561</v>
      </c>
      <c r="AB335" s="6">
        <f>$K$335*$V$335</f>
        <v>0</v>
      </c>
      <c r="AC335" s="6">
        <f>$M$335*$W$335</f>
        <v>0</v>
      </c>
      <c r="AD335" s="6">
        <f>$O$335*$X$335</f>
        <v>0</v>
      </c>
      <c r="AE335" s="6">
        <f>$K$335*$Y$335</f>
        <v>0</v>
      </c>
      <c r="AF335" s="6">
        <f ca="1">$M$335*$Z$335</f>
        <v>49.31007077296951</v>
      </c>
      <c r="AG335" s="6">
        <f>$O$335*$AA$335</f>
        <v>29.052986273778561</v>
      </c>
    </row>
    <row r="336" spans="1:33" ht="11.25" customHeight="1" x14ac:dyDescent="0.25">
      <c r="A336" s="4" t="s">
        <v>21</v>
      </c>
      <c r="B336" s="4" t="s">
        <v>32</v>
      </c>
      <c r="C336" s="4" t="s">
        <v>23</v>
      </c>
      <c r="D336" s="4" t="s">
        <v>33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44652</v>
      </c>
      <c r="J336" s="6">
        <v>0</v>
      </c>
      <c r="K336" s="6">
        <v>0</v>
      </c>
      <c r="L336" s="6">
        <v>87.905000000000001</v>
      </c>
      <c r="M336" s="6">
        <v>87.905000000000001</v>
      </c>
      <c r="N336" s="6">
        <v>87.905000000000001</v>
      </c>
      <c r="O336" s="6">
        <v>87.905000000000001</v>
      </c>
      <c r="P336" s="6">
        <v>70</v>
      </c>
      <c r="Q336" s="4" t="s">
        <v>26</v>
      </c>
      <c r="R336" s="4">
        <v>0</v>
      </c>
      <c r="S336" s="6">
        <v>0</v>
      </c>
      <c r="T336" s="6">
        <v>46</v>
      </c>
      <c r="U336" s="6">
        <v>84</v>
      </c>
      <c r="V336" s="6">
        <f>IF(ISERROR(VLOOKUP($S$336,'TAR FIN'!$A$1:$O$88,15,0)),0,VLOOKUP($S$336,'TAR FIN'!$A$1:$O$88,15,0))</f>
        <v>0</v>
      </c>
      <c r="W336" s="6">
        <f>IF(ISERROR(VLOOKUP($T$336,'TAR FIN'!$A$1:$O$88,15,0)),0,VLOOKUP($T$336,'TAR FIN'!$A$1:$O$88,15,0))</f>
        <v>0</v>
      </c>
      <c r="X336" s="6">
        <f>IF(ISERROR(VLOOKUP($U$336,'TAR FIN'!$A$1:$O$88,15,0)),0,VLOOKUP($U$336,'TAR FIN'!$A$1:$O$88,15,0))</f>
        <v>0</v>
      </c>
      <c r="Y336" s="6"/>
      <c r="Z336" s="6">
        <f ca="1">('TUSD BE'!$AM$48+'TUSD BF'!$AM$48+'TUSD CVA'!$AM$48)*1</f>
        <v>493.10070772969505</v>
      </c>
      <c r="AA336" s="6">
        <f>('TE BE'!$AB$39+'TE BF'!$AB$39+'TE CVA'!$AB$39)*1</f>
        <v>290.52986273778561</v>
      </c>
      <c r="AB336" s="6">
        <f>$K$336*$V$336</f>
        <v>0</v>
      </c>
      <c r="AC336" s="6">
        <f>$M$336*$W$336</f>
        <v>0</v>
      </c>
      <c r="AD336" s="6">
        <f>$O$336*$X$336</f>
        <v>0</v>
      </c>
      <c r="AE336" s="6">
        <f>$K$336*$Y$336</f>
        <v>0</v>
      </c>
      <c r="AF336" s="6">
        <f ca="1">$M$336*$Z$336</f>
        <v>43346.017712978843</v>
      </c>
      <c r="AG336" s="6">
        <f>$O$336*$AA$336</f>
        <v>25539.027583965046</v>
      </c>
    </row>
    <row r="337" spans="1:33" ht="11.25" customHeight="1" x14ac:dyDescent="0.25">
      <c r="A337" s="4" t="s">
        <v>27</v>
      </c>
      <c r="B337" s="4" t="s">
        <v>32</v>
      </c>
      <c r="C337" s="4" t="s">
        <v>23</v>
      </c>
      <c r="D337" s="4" t="s">
        <v>33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44652</v>
      </c>
      <c r="J337" s="6">
        <v>0</v>
      </c>
      <c r="K337" s="6">
        <v>0</v>
      </c>
      <c r="L337" s="6">
        <v>0.1</v>
      </c>
      <c r="M337" s="6">
        <v>0.1</v>
      </c>
      <c r="N337" s="6">
        <v>0.1</v>
      </c>
      <c r="O337" s="6">
        <v>0.1</v>
      </c>
      <c r="P337" s="6">
        <v>1</v>
      </c>
      <c r="Q337" s="4" t="s">
        <v>26</v>
      </c>
      <c r="R337" s="4">
        <v>0</v>
      </c>
      <c r="S337" s="6">
        <v>0</v>
      </c>
      <c r="T337" s="6">
        <v>46</v>
      </c>
      <c r="U337" s="6">
        <v>84</v>
      </c>
      <c r="V337" s="6">
        <f>IF(ISERROR(VLOOKUP($S$337,'TAR FIN'!$A$1:$O$88,15,0)),0,VLOOKUP($S$337,'TAR FIN'!$A$1:$O$88,15,0))</f>
        <v>0</v>
      </c>
      <c r="W337" s="6">
        <f>IF(ISERROR(VLOOKUP($T$337,'TAR FIN'!$A$1:$O$88,15,0)),0,VLOOKUP($T$337,'TAR FIN'!$A$1:$O$88,15,0))</f>
        <v>0</v>
      </c>
      <c r="X337" s="6">
        <f>IF(ISERROR(VLOOKUP($U$337,'TAR FIN'!$A$1:$O$88,15,0)),0,VLOOKUP($U$337,'TAR FIN'!$A$1:$O$88,15,0))</f>
        <v>0</v>
      </c>
      <c r="Y337" s="6"/>
      <c r="Z337" s="6">
        <f ca="1">('TUSD BE'!$AM$48+'TUSD BF'!$AM$48+'TUSD CVA'!$AM$48)*1</f>
        <v>493.10070772969505</v>
      </c>
      <c r="AA337" s="6">
        <f>('TE BE'!$AB$39+'TE BF'!$AB$39+'TE CVA'!$AB$39)*1</f>
        <v>290.52986273778561</v>
      </c>
      <c r="AB337" s="6">
        <f>$K$337*$V$337</f>
        <v>0</v>
      </c>
      <c r="AC337" s="6">
        <f>$M$337*$W$337</f>
        <v>0</v>
      </c>
      <c r="AD337" s="6">
        <f>$O$337*$X$337</f>
        <v>0</v>
      </c>
      <c r="AE337" s="6">
        <f>$K$337*$Y$337</f>
        <v>0</v>
      </c>
      <c r="AF337" s="6">
        <f ca="1">$M$337*$Z$337</f>
        <v>49.31007077296951</v>
      </c>
      <c r="AG337" s="6">
        <f>$O$337*$AA$337</f>
        <v>29.052986273778561</v>
      </c>
    </row>
    <row r="338" spans="1:33" ht="11.25" customHeight="1" x14ac:dyDescent="0.25">
      <c r="A338" s="4" t="s">
        <v>21</v>
      </c>
      <c r="B338" s="4" t="s">
        <v>32</v>
      </c>
      <c r="C338" s="4" t="s">
        <v>23</v>
      </c>
      <c r="D338" s="4" t="s">
        <v>33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44682</v>
      </c>
      <c r="J338" s="6">
        <v>0</v>
      </c>
      <c r="K338" s="6">
        <v>0</v>
      </c>
      <c r="L338" s="6">
        <v>94.152000000000001</v>
      </c>
      <c r="M338" s="6">
        <v>94.152000000000001</v>
      </c>
      <c r="N338" s="6">
        <v>94.152000000000001</v>
      </c>
      <c r="O338" s="6">
        <v>94.152000000000001</v>
      </c>
      <c r="P338" s="6">
        <v>68</v>
      </c>
      <c r="Q338" s="4" t="s">
        <v>26</v>
      </c>
      <c r="R338" s="4">
        <v>0</v>
      </c>
      <c r="S338" s="6">
        <v>0</v>
      </c>
      <c r="T338" s="6">
        <v>46</v>
      </c>
      <c r="U338" s="6">
        <v>84</v>
      </c>
      <c r="V338" s="6">
        <f>IF(ISERROR(VLOOKUP($S$338,'TAR FIN'!$A$1:$O$88,15,0)),0,VLOOKUP($S$338,'TAR FIN'!$A$1:$O$88,15,0))</f>
        <v>0</v>
      </c>
      <c r="W338" s="6">
        <f>IF(ISERROR(VLOOKUP($T$338,'TAR FIN'!$A$1:$O$88,15,0)),0,VLOOKUP($T$338,'TAR FIN'!$A$1:$O$88,15,0))</f>
        <v>0</v>
      </c>
      <c r="X338" s="6">
        <f>IF(ISERROR(VLOOKUP($U$338,'TAR FIN'!$A$1:$O$88,15,0)),0,VLOOKUP($U$338,'TAR FIN'!$A$1:$O$88,15,0))</f>
        <v>0</v>
      </c>
      <c r="Y338" s="6"/>
      <c r="Z338" s="6">
        <f ca="1">('TUSD BE'!$AM$48+'TUSD BF'!$AM$48+'TUSD CVA'!$AM$48)*1</f>
        <v>493.10070772969505</v>
      </c>
      <c r="AA338" s="6">
        <f>('TE BE'!$AB$39+'TE BF'!$AB$39+'TE CVA'!$AB$39)*1</f>
        <v>290.52986273778561</v>
      </c>
      <c r="AB338" s="6">
        <f>$K$338*$V$338</f>
        <v>0</v>
      </c>
      <c r="AC338" s="6">
        <f>$M$338*$W$338</f>
        <v>0</v>
      </c>
      <c r="AD338" s="6">
        <f>$O$338*$X$338</f>
        <v>0</v>
      </c>
      <c r="AE338" s="6">
        <f>$K$338*$Y$338</f>
        <v>0</v>
      </c>
      <c r="AF338" s="6">
        <f ca="1">$M$338*$Z$338</f>
        <v>46426.417834166248</v>
      </c>
      <c r="AG338" s="6">
        <f>$O$338*$AA$338</f>
        <v>27353.967636487992</v>
      </c>
    </row>
    <row r="339" spans="1:33" ht="11.25" customHeight="1" x14ac:dyDescent="0.25">
      <c r="A339" s="4" t="s">
        <v>27</v>
      </c>
      <c r="B339" s="4" t="s">
        <v>32</v>
      </c>
      <c r="C339" s="4" t="s">
        <v>23</v>
      </c>
      <c r="D339" s="4" t="s">
        <v>33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44682</v>
      </c>
      <c r="J339" s="6">
        <v>0</v>
      </c>
      <c r="K339" s="6">
        <v>0</v>
      </c>
      <c r="L339" s="6">
        <v>0.19400000000000001</v>
      </c>
      <c r="M339" s="6">
        <v>0.19400000000000001</v>
      </c>
      <c r="N339" s="6">
        <v>0.19400000000000001</v>
      </c>
      <c r="O339" s="6">
        <v>0.19400000000000001</v>
      </c>
      <c r="P339" s="6">
        <v>1</v>
      </c>
      <c r="Q339" s="4" t="s">
        <v>26</v>
      </c>
      <c r="R339" s="4">
        <v>0</v>
      </c>
      <c r="S339" s="6">
        <v>0</v>
      </c>
      <c r="T339" s="6">
        <v>46</v>
      </c>
      <c r="U339" s="6">
        <v>84</v>
      </c>
      <c r="V339" s="6">
        <f>IF(ISERROR(VLOOKUP($S$339,'TAR FIN'!$A$1:$O$88,15,0)),0,VLOOKUP($S$339,'TAR FIN'!$A$1:$O$88,15,0))</f>
        <v>0</v>
      </c>
      <c r="W339" s="6">
        <f>IF(ISERROR(VLOOKUP($T$339,'TAR FIN'!$A$1:$O$88,15,0)),0,VLOOKUP($T$339,'TAR FIN'!$A$1:$O$88,15,0))</f>
        <v>0</v>
      </c>
      <c r="X339" s="6">
        <f>IF(ISERROR(VLOOKUP($U$339,'TAR FIN'!$A$1:$O$88,15,0)),0,VLOOKUP($U$339,'TAR FIN'!$A$1:$O$88,15,0))</f>
        <v>0</v>
      </c>
      <c r="Y339" s="6"/>
      <c r="Z339" s="6">
        <f ca="1">('TUSD BE'!$AM$48+'TUSD BF'!$AM$48+'TUSD CVA'!$AM$48)*1</f>
        <v>493.10070772969505</v>
      </c>
      <c r="AA339" s="6">
        <f>('TE BE'!$AB$39+'TE BF'!$AB$39+'TE CVA'!$AB$39)*1</f>
        <v>290.52986273778561</v>
      </c>
      <c r="AB339" s="6">
        <f>$K$339*$V$339</f>
        <v>0</v>
      </c>
      <c r="AC339" s="6">
        <f>$M$339*$W$339</f>
        <v>0</v>
      </c>
      <c r="AD339" s="6">
        <f>$O$339*$X$339</f>
        <v>0</v>
      </c>
      <c r="AE339" s="6">
        <f>$K$339*$Y$339</f>
        <v>0</v>
      </c>
      <c r="AF339" s="6">
        <f ca="1">$M$339*$Z$339</f>
        <v>95.661537299560848</v>
      </c>
      <c r="AG339" s="6">
        <f>$O$339*$AA$339</f>
        <v>56.362793371130408</v>
      </c>
    </row>
    <row r="340" spans="1:33" ht="11.25" customHeight="1" x14ac:dyDescent="0.25">
      <c r="A340" s="4" t="s">
        <v>21</v>
      </c>
      <c r="B340" s="4" t="s">
        <v>32</v>
      </c>
      <c r="C340" s="4" t="s">
        <v>23</v>
      </c>
      <c r="D340" s="4" t="s">
        <v>33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44713</v>
      </c>
      <c r="J340" s="6">
        <v>0</v>
      </c>
      <c r="K340" s="6">
        <v>0</v>
      </c>
      <c r="L340" s="6">
        <v>86.853999999999999</v>
      </c>
      <c r="M340" s="6">
        <v>86.853999999999999</v>
      </c>
      <c r="N340" s="6">
        <v>86.853999999999999</v>
      </c>
      <c r="O340" s="6">
        <v>86.853999999999999</v>
      </c>
      <c r="P340" s="6">
        <v>68</v>
      </c>
      <c r="Q340" s="4" t="s">
        <v>26</v>
      </c>
      <c r="R340" s="4">
        <v>0</v>
      </c>
      <c r="S340" s="6">
        <v>0</v>
      </c>
      <c r="T340" s="6">
        <v>46</v>
      </c>
      <c r="U340" s="6">
        <v>84</v>
      </c>
      <c r="V340" s="6">
        <f>IF(ISERROR(VLOOKUP($S$340,'TAR FIN'!$A$1:$O$88,15,0)),0,VLOOKUP($S$340,'TAR FIN'!$A$1:$O$88,15,0))</f>
        <v>0</v>
      </c>
      <c r="W340" s="6">
        <f>IF(ISERROR(VLOOKUP($T$340,'TAR FIN'!$A$1:$O$88,15,0)),0,VLOOKUP($T$340,'TAR FIN'!$A$1:$O$88,15,0))</f>
        <v>0</v>
      </c>
      <c r="X340" s="6">
        <f>IF(ISERROR(VLOOKUP($U$340,'TAR FIN'!$A$1:$O$88,15,0)),0,VLOOKUP($U$340,'TAR FIN'!$A$1:$O$88,15,0))</f>
        <v>0</v>
      </c>
      <c r="Y340" s="6"/>
      <c r="Z340" s="6">
        <f ca="1">('TUSD BE'!$AM$48+'TUSD BF'!$AM$48+'TUSD CVA'!$AM$48)*1</f>
        <v>493.10070772969505</v>
      </c>
      <c r="AA340" s="6">
        <f>('TE BE'!$AB$39+'TE BF'!$AB$39+'TE CVA'!$AB$39)*1</f>
        <v>290.52986273778561</v>
      </c>
      <c r="AB340" s="6">
        <f>$K$340*$V$340</f>
        <v>0</v>
      </c>
      <c r="AC340" s="6">
        <f>$M$340*$W$340</f>
        <v>0</v>
      </c>
      <c r="AD340" s="6">
        <f>$O$340*$X$340</f>
        <v>0</v>
      </c>
      <c r="AE340" s="6">
        <f>$K$340*$Y$340</f>
        <v>0</v>
      </c>
      <c r="AF340" s="6">
        <f ca="1">$M$340*$Z$340</f>
        <v>42827.768869154934</v>
      </c>
      <c r="AG340" s="6">
        <f>$O$340*$AA$340</f>
        <v>25233.680698227632</v>
      </c>
    </row>
    <row r="341" spans="1:33" ht="11.25" customHeight="1" x14ac:dyDescent="0.25">
      <c r="A341" s="4" t="s">
        <v>27</v>
      </c>
      <c r="B341" s="4" t="s">
        <v>32</v>
      </c>
      <c r="C341" s="4" t="s">
        <v>23</v>
      </c>
      <c r="D341" s="4" t="s">
        <v>33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44713</v>
      </c>
      <c r="J341" s="6">
        <v>0</v>
      </c>
      <c r="K341" s="6">
        <v>0</v>
      </c>
      <c r="L341" s="6">
        <v>0.115</v>
      </c>
      <c r="M341" s="6">
        <v>0.115</v>
      </c>
      <c r="N341" s="6">
        <v>0.115</v>
      </c>
      <c r="O341" s="6">
        <v>0.115</v>
      </c>
      <c r="P341" s="6">
        <v>1</v>
      </c>
      <c r="Q341" s="4" t="s">
        <v>26</v>
      </c>
      <c r="R341" s="4">
        <v>0</v>
      </c>
      <c r="S341" s="6">
        <v>0</v>
      </c>
      <c r="T341" s="6">
        <v>46</v>
      </c>
      <c r="U341" s="6">
        <v>84</v>
      </c>
      <c r="V341" s="6">
        <f>IF(ISERROR(VLOOKUP($S$341,'TAR FIN'!$A$1:$O$88,15,0)),0,VLOOKUP($S$341,'TAR FIN'!$A$1:$O$88,15,0))</f>
        <v>0</v>
      </c>
      <c r="W341" s="6">
        <f>IF(ISERROR(VLOOKUP($T$341,'TAR FIN'!$A$1:$O$88,15,0)),0,VLOOKUP($T$341,'TAR FIN'!$A$1:$O$88,15,0))</f>
        <v>0</v>
      </c>
      <c r="X341" s="6">
        <f>IF(ISERROR(VLOOKUP($U$341,'TAR FIN'!$A$1:$O$88,15,0)),0,VLOOKUP($U$341,'TAR FIN'!$A$1:$O$88,15,0))</f>
        <v>0</v>
      </c>
      <c r="Y341" s="6"/>
      <c r="Z341" s="6">
        <f ca="1">('TUSD BE'!$AM$48+'TUSD BF'!$AM$48+'TUSD CVA'!$AM$48)*1</f>
        <v>493.10070772969505</v>
      </c>
      <c r="AA341" s="6">
        <f>('TE BE'!$AB$39+'TE BF'!$AB$39+'TE CVA'!$AB$39)*1</f>
        <v>290.52986273778561</v>
      </c>
      <c r="AB341" s="6">
        <f>$K$341*$V$341</f>
        <v>0</v>
      </c>
      <c r="AC341" s="6">
        <f>$M$341*$W$341</f>
        <v>0</v>
      </c>
      <c r="AD341" s="6">
        <f>$O$341*$X$341</f>
        <v>0</v>
      </c>
      <c r="AE341" s="6">
        <f>$K$341*$Y$341</f>
        <v>0</v>
      </c>
      <c r="AF341" s="6">
        <f ca="1">$M$341*$Z$341</f>
        <v>56.706581388914934</v>
      </c>
      <c r="AG341" s="6">
        <f>$O$341*$AA$341</f>
        <v>33.410934214845348</v>
      </c>
    </row>
    <row r="342" spans="1:33" ht="11.25" customHeight="1" x14ac:dyDescent="0.25">
      <c r="A342" s="4" t="s">
        <v>21</v>
      </c>
      <c r="B342" s="4" t="s">
        <v>32</v>
      </c>
      <c r="C342" s="4" t="s">
        <v>23</v>
      </c>
      <c r="D342" s="4" t="s">
        <v>33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44743</v>
      </c>
      <c r="J342" s="6">
        <v>0</v>
      </c>
      <c r="K342" s="6">
        <v>0</v>
      </c>
      <c r="L342" s="6">
        <v>90.668000000000006</v>
      </c>
      <c r="M342" s="6">
        <v>90.668000000000006</v>
      </c>
      <c r="N342" s="6">
        <v>90.668000000000006</v>
      </c>
      <c r="O342" s="6">
        <v>90.668000000000006</v>
      </c>
      <c r="P342" s="6">
        <v>69</v>
      </c>
      <c r="Q342" s="4" t="s">
        <v>26</v>
      </c>
      <c r="R342" s="4">
        <v>0</v>
      </c>
      <c r="S342" s="6">
        <v>0</v>
      </c>
      <c r="T342" s="6">
        <v>46</v>
      </c>
      <c r="U342" s="6">
        <v>84</v>
      </c>
      <c r="V342" s="6">
        <f>IF(ISERROR(VLOOKUP($S$342,'TAR FIN'!$A$1:$O$88,15,0)),0,VLOOKUP($S$342,'TAR FIN'!$A$1:$O$88,15,0))</f>
        <v>0</v>
      </c>
      <c r="W342" s="6">
        <f>IF(ISERROR(VLOOKUP($T$342,'TAR FIN'!$A$1:$O$88,15,0)),0,VLOOKUP($T$342,'TAR FIN'!$A$1:$O$88,15,0))</f>
        <v>0</v>
      </c>
      <c r="X342" s="6">
        <f>IF(ISERROR(VLOOKUP($U$342,'TAR FIN'!$A$1:$O$88,15,0)),0,VLOOKUP($U$342,'TAR FIN'!$A$1:$O$88,15,0))</f>
        <v>0</v>
      </c>
      <c r="Y342" s="6"/>
      <c r="Z342" s="6">
        <f ca="1">('TUSD BE'!$AM$48+'TUSD BF'!$AM$48+'TUSD CVA'!$AM$48)*1</f>
        <v>493.10070772969505</v>
      </c>
      <c r="AA342" s="6">
        <f>('TE BE'!$AB$39+'TE BF'!$AB$39+'TE CVA'!$AB$39)*1</f>
        <v>290.52986273778561</v>
      </c>
      <c r="AB342" s="6">
        <f>$K$342*$V$342</f>
        <v>0</v>
      </c>
      <c r="AC342" s="6">
        <f>$M$342*$W$342</f>
        <v>0</v>
      </c>
      <c r="AD342" s="6">
        <f>$O$342*$X$342</f>
        <v>0</v>
      </c>
      <c r="AE342" s="6">
        <f>$K$342*$Y$342</f>
        <v>0</v>
      </c>
      <c r="AF342" s="6">
        <f ca="1">$M$342*$Z$342</f>
        <v>44708.454968435995</v>
      </c>
      <c r="AG342" s="6">
        <f>$O$342*$AA$342</f>
        <v>26341.761594709547</v>
      </c>
    </row>
    <row r="343" spans="1:33" ht="11.25" customHeight="1" x14ac:dyDescent="0.25">
      <c r="A343" s="4" t="s">
        <v>27</v>
      </c>
      <c r="B343" s="4" t="s">
        <v>32</v>
      </c>
      <c r="C343" s="4" t="s">
        <v>23</v>
      </c>
      <c r="D343" s="4" t="s">
        <v>33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44743</v>
      </c>
      <c r="J343" s="6">
        <v>0</v>
      </c>
      <c r="K343" s="6">
        <v>0</v>
      </c>
      <c r="L343" s="6">
        <v>2.4089999999999998</v>
      </c>
      <c r="M343" s="6">
        <v>2.4089999999999998</v>
      </c>
      <c r="N343" s="6">
        <v>2.4089999999999998</v>
      </c>
      <c r="O343" s="6">
        <v>2.4089999999999998</v>
      </c>
      <c r="P343" s="6">
        <v>2</v>
      </c>
      <c r="Q343" s="4" t="s">
        <v>26</v>
      </c>
      <c r="R343" s="4">
        <v>0</v>
      </c>
      <c r="S343" s="6">
        <v>0</v>
      </c>
      <c r="T343" s="6">
        <v>46</v>
      </c>
      <c r="U343" s="6">
        <v>84</v>
      </c>
      <c r="V343" s="6">
        <f>IF(ISERROR(VLOOKUP($S$343,'TAR FIN'!$A$1:$O$88,15,0)),0,VLOOKUP($S$343,'TAR FIN'!$A$1:$O$88,15,0))</f>
        <v>0</v>
      </c>
      <c r="W343" s="6">
        <f>IF(ISERROR(VLOOKUP($T$343,'TAR FIN'!$A$1:$O$88,15,0)),0,VLOOKUP($T$343,'TAR FIN'!$A$1:$O$88,15,0))</f>
        <v>0</v>
      </c>
      <c r="X343" s="6">
        <f>IF(ISERROR(VLOOKUP($U$343,'TAR FIN'!$A$1:$O$88,15,0)),0,VLOOKUP($U$343,'TAR FIN'!$A$1:$O$88,15,0))</f>
        <v>0</v>
      </c>
      <c r="Y343" s="6"/>
      <c r="Z343" s="6">
        <f ca="1">('TUSD BE'!$AM$48+'TUSD BF'!$AM$48+'TUSD CVA'!$AM$48)*1</f>
        <v>493.10070772969505</v>
      </c>
      <c r="AA343" s="6">
        <f>('TE BE'!$AB$39+'TE BF'!$AB$39+'TE CVA'!$AB$39)*1</f>
        <v>290.52986273778561</v>
      </c>
      <c r="AB343" s="6">
        <f>$K$343*$V$343</f>
        <v>0</v>
      </c>
      <c r="AC343" s="6">
        <f>$M$343*$W$343</f>
        <v>0</v>
      </c>
      <c r="AD343" s="6">
        <f>$O$343*$X$343</f>
        <v>0</v>
      </c>
      <c r="AE343" s="6">
        <f>$K$343*$Y$343</f>
        <v>0</v>
      </c>
      <c r="AF343" s="6">
        <f ca="1">$M$343*$Z$343</f>
        <v>1187.8796049208352</v>
      </c>
      <c r="AG343" s="6">
        <f>$O$343*$AA$343</f>
        <v>699.88643933532546</v>
      </c>
    </row>
    <row r="344" spans="1:33" ht="11.25" customHeight="1" x14ac:dyDescent="0.25">
      <c r="A344" s="4" t="s">
        <v>21</v>
      </c>
      <c r="B344" s="4" t="s">
        <v>32</v>
      </c>
      <c r="C344" s="4" t="s">
        <v>23</v>
      </c>
      <c r="D344" s="4" t="s">
        <v>43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44409</v>
      </c>
      <c r="J344" s="6">
        <v>0</v>
      </c>
      <c r="K344" s="6">
        <v>0</v>
      </c>
      <c r="L344" s="6">
        <v>32.207000000000001</v>
      </c>
      <c r="M344" s="6">
        <v>32.207000000000001</v>
      </c>
      <c r="N344" s="6">
        <v>32.207000000000001</v>
      </c>
      <c r="O344" s="6">
        <v>32.207000000000001</v>
      </c>
      <c r="P344" s="6">
        <v>51</v>
      </c>
      <c r="Q344" s="4" t="s">
        <v>26</v>
      </c>
      <c r="R344" s="4">
        <v>0</v>
      </c>
      <c r="S344" s="6">
        <v>0</v>
      </c>
      <c r="T344" s="6">
        <v>46</v>
      </c>
      <c r="U344" s="6">
        <v>84</v>
      </c>
      <c r="V344" s="6">
        <f>IF(ISERROR(VLOOKUP($S$344,'TAR FIN'!$A$1:$O$88,15,0)),0,VLOOKUP($S$344,'TAR FIN'!$A$1:$O$88,15,0))</f>
        <v>0</v>
      </c>
      <c r="W344" s="6">
        <f>IF(ISERROR(VLOOKUP($T$344,'TAR FIN'!$A$1:$O$88,15,0)),0,VLOOKUP($T$344,'TAR FIN'!$A$1:$O$88,15,0))</f>
        <v>0</v>
      </c>
      <c r="X344" s="6">
        <f>IF(ISERROR(VLOOKUP($U$344,'TAR FIN'!$A$1:$O$88,15,0)),0,VLOOKUP($U$344,'TAR FIN'!$A$1:$O$88,15,0))</f>
        <v>0</v>
      </c>
      <c r="Y344" s="6"/>
      <c r="Z344" s="6">
        <f ca="1">('TUSD BE'!$AM$48+'TUSD BF'!$AM$48+'TUSD CVA'!$AM$48)*1</f>
        <v>493.10070772969505</v>
      </c>
      <c r="AA344" s="6">
        <f>('TE BE'!$AB$39+'TE BF'!$AB$39+'TE CVA'!$AB$39)*1</f>
        <v>290.52986273778561</v>
      </c>
      <c r="AB344" s="6">
        <f>$K$344*$V$344</f>
        <v>0</v>
      </c>
      <c r="AC344" s="6">
        <f>$M$344*$W$344</f>
        <v>0</v>
      </c>
      <c r="AD344" s="6">
        <f>$O$344*$X$344</f>
        <v>0</v>
      </c>
      <c r="AE344" s="6">
        <f>$K$344*$Y$344</f>
        <v>0</v>
      </c>
      <c r="AF344" s="6">
        <f ca="1">$M$344*$Z$344</f>
        <v>15881.294493850288</v>
      </c>
      <c r="AG344" s="6">
        <f>$O$344*$AA$344</f>
        <v>9357.0952891958605</v>
      </c>
    </row>
    <row r="345" spans="1:33" ht="11.25" customHeight="1" x14ac:dyDescent="0.25">
      <c r="A345" s="4" t="s">
        <v>21</v>
      </c>
      <c r="B345" s="4" t="s">
        <v>32</v>
      </c>
      <c r="C345" s="4" t="s">
        <v>23</v>
      </c>
      <c r="D345" s="4" t="s">
        <v>43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44440</v>
      </c>
      <c r="J345" s="6">
        <v>0</v>
      </c>
      <c r="K345" s="6">
        <v>0</v>
      </c>
      <c r="L345" s="6">
        <v>29.888999999999999</v>
      </c>
      <c r="M345" s="6">
        <v>29.888999999999999</v>
      </c>
      <c r="N345" s="6">
        <v>29.888999999999999</v>
      </c>
      <c r="O345" s="6">
        <v>29.888999999999999</v>
      </c>
      <c r="P345" s="6">
        <v>51</v>
      </c>
      <c r="Q345" s="4" t="s">
        <v>26</v>
      </c>
      <c r="R345" s="4">
        <v>0</v>
      </c>
      <c r="S345" s="6">
        <v>0</v>
      </c>
      <c r="T345" s="6">
        <v>46</v>
      </c>
      <c r="U345" s="6">
        <v>84</v>
      </c>
      <c r="V345" s="6">
        <f>IF(ISERROR(VLOOKUP($S$345,'TAR FIN'!$A$1:$O$88,15,0)),0,VLOOKUP($S$345,'TAR FIN'!$A$1:$O$88,15,0))</f>
        <v>0</v>
      </c>
      <c r="W345" s="6">
        <f>IF(ISERROR(VLOOKUP($T$345,'TAR FIN'!$A$1:$O$88,15,0)),0,VLOOKUP($T$345,'TAR FIN'!$A$1:$O$88,15,0))</f>
        <v>0</v>
      </c>
      <c r="X345" s="6">
        <f>IF(ISERROR(VLOOKUP($U$345,'TAR FIN'!$A$1:$O$88,15,0)),0,VLOOKUP($U$345,'TAR FIN'!$A$1:$O$88,15,0))</f>
        <v>0</v>
      </c>
      <c r="Y345" s="6"/>
      <c r="Z345" s="6">
        <f ca="1">('TUSD BE'!$AM$48+'TUSD BF'!$AM$48+'TUSD CVA'!$AM$48)*1</f>
        <v>493.10070772969505</v>
      </c>
      <c r="AA345" s="6">
        <f>('TE BE'!$AB$39+'TE BF'!$AB$39+'TE CVA'!$AB$39)*1</f>
        <v>290.52986273778561</v>
      </c>
      <c r="AB345" s="6">
        <f>$K$345*$V$345</f>
        <v>0</v>
      </c>
      <c r="AC345" s="6">
        <f>$M$345*$W$345</f>
        <v>0</v>
      </c>
      <c r="AD345" s="6">
        <f>$O$345*$X$345</f>
        <v>0</v>
      </c>
      <c r="AE345" s="6">
        <f>$K$345*$Y$345</f>
        <v>0</v>
      </c>
      <c r="AF345" s="6">
        <f ca="1">$M$345*$Z$345</f>
        <v>14738.287053332855</v>
      </c>
      <c r="AG345" s="6">
        <f>$O$345*$AA$345</f>
        <v>8683.6470673696731</v>
      </c>
    </row>
    <row r="346" spans="1:33" ht="11.25" customHeight="1" x14ac:dyDescent="0.25">
      <c r="A346" s="4" t="s">
        <v>21</v>
      </c>
      <c r="B346" s="4" t="s">
        <v>32</v>
      </c>
      <c r="C346" s="4" t="s">
        <v>23</v>
      </c>
      <c r="D346" s="4" t="s">
        <v>43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44470</v>
      </c>
      <c r="J346" s="6">
        <v>0</v>
      </c>
      <c r="K346" s="6">
        <v>0</v>
      </c>
      <c r="L346" s="6">
        <v>33.018000000000001</v>
      </c>
      <c r="M346" s="6">
        <v>33.018000000000001</v>
      </c>
      <c r="N346" s="6">
        <v>33.018000000000001</v>
      </c>
      <c r="O346" s="6">
        <v>33.018000000000001</v>
      </c>
      <c r="P346" s="6">
        <v>51</v>
      </c>
      <c r="Q346" s="4" t="s">
        <v>26</v>
      </c>
      <c r="R346" s="4">
        <v>0</v>
      </c>
      <c r="S346" s="6">
        <v>0</v>
      </c>
      <c r="T346" s="6">
        <v>46</v>
      </c>
      <c r="U346" s="6">
        <v>84</v>
      </c>
      <c r="V346" s="6">
        <f>IF(ISERROR(VLOOKUP($S$346,'TAR FIN'!$A$1:$O$88,15,0)),0,VLOOKUP($S$346,'TAR FIN'!$A$1:$O$88,15,0))</f>
        <v>0</v>
      </c>
      <c r="W346" s="6">
        <f>IF(ISERROR(VLOOKUP($T$346,'TAR FIN'!$A$1:$O$88,15,0)),0,VLOOKUP($T$346,'TAR FIN'!$A$1:$O$88,15,0))</f>
        <v>0</v>
      </c>
      <c r="X346" s="6">
        <f>IF(ISERROR(VLOOKUP($U$346,'TAR FIN'!$A$1:$O$88,15,0)),0,VLOOKUP($U$346,'TAR FIN'!$A$1:$O$88,15,0))</f>
        <v>0</v>
      </c>
      <c r="Y346" s="6"/>
      <c r="Z346" s="6">
        <f ca="1">('TUSD BE'!$AM$48+'TUSD BF'!$AM$48+'TUSD CVA'!$AM$48)*1</f>
        <v>493.10070772969505</v>
      </c>
      <c r="AA346" s="6">
        <f>('TE BE'!$AB$39+'TE BF'!$AB$39+'TE CVA'!$AB$39)*1</f>
        <v>290.52986273778561</v>
      </c>
      <c r="AB346" s="6">
        <f>$K$346*$V$346</f>
        <v>0</v>
      </c>
      <c r="AC346" s="6">
        <f>$M$346*$W$346</f>
        <v>0</v>
      </c>
      <c r="AD346" s="6">
        <f>$O$346*$X$346</f>
        <v>0</v>
      </c>
      <c r="AE346" s="6">
        <f>$K$346*$Y$346</f>
        <v>0</v>
      </c>
      <c r="AF346" s="6">
        <f ca="1">$M$346*$Z$346</f>
        <v>16281.199167819072</v>
      </c>
      <c r="AG346" s="6">
        <f>$O$346*$AA$346</f>
        <v>9592.7150078762061</v>
      </c>
    </row>
    <row r="347" spans="1:33" ht="11.25" customHeight="1" x14ac:dyDescent="0.25">
      <c r="A347" s="4" t="s">
        <v>21</v>
      </c>
      <c r="B347" s="4" t="s">
        <v>32</v>
      </c>
      <c r="C347" s="4" t="s">
        <v>23</v>
      </c>
      <c r="D347" s="4" t="s">
        <v>43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44501</v>
      </c>
      <c r="J347" s="6">
        <v>0</v>
      </c>
      <c r="K347" s="6">
        <v>0</v>
      </c>
      <c r="L347" s="6">
        <v>30.91</v>
      </c>
      <c r="M347" s="6">
        <v>30.91</v>
      </c>
      <c r="N347" s="6">
        <v>30.91</v>
      </c>
      <c r="O347" s="6">
        <v>30.91</v>
      </c>
      <c r="P347" s="6">
        <v>51</v>
      </c>
      <c r="Q347" s="4" t="s">
        <v>26</v>
      </c>
      <c r="R347" s="4">
        <v>0</v>
      </c>
      <c r="S347" s="6">
        <v>0</v>
      </c>
      <c r="T347" s="6">
        <v>46</v>
      </c>
      <c r="U347" s="6">
        <v>84</v>
      </c>
      <c r="V347" s="6">
        <f>IF(ISERROR(VLOOKUP($S$347,'TAR FIN'!$A$1:$O$88,15,0)),0,VLOOKUP($S$347,'TAR FIN'!$A$1:$O$88,15,0))</f>
        <v>0</v>
      </c>
      <c r="W347" s="6">
        <f>IF(ISERROR(VLOOKUP($T$347,'TAR FIN'!$A$1:$O$88,15,0)),0,VLOOKUP($T$347,'TAR FIN'!$A$1:$O$88,15,0))</f>
        <v>0</v>
      </c>
      <c r="X347" s="6">
        <f>IF(ISERROR(VLOOKUP($U$347,'TAR FIN'!$A$1:$O$88,15,0)),0,VLOOKUP($U$347,'TAR FIN'!$A$1:$O$88,15,0))</f>
        <v>0</v>
      </c>
      <c r="Y347" s="6"/>
      <c r="Z347" s="6">
        <f ca="1">('TUSD BE'!$AM$48+'TUSD BF'!$AM$48+'TUSD CVA'!$AM$48)*1</f>
        <v>493.10070772969505</v>
      </c>
      <c r="AA347" s="6">
        <f>('TE BE'!$AB$39+'TE BF'!$AB$39+'TE CVA'!$AB$39)*1</f>
        <v>290.52986273778561</v>
      </c>
      <c r="AB347" s="6">
        <f>$K$347*$V$347</f>
        <v>0</v>
      </c>
      <c r="AC347" s="6">
        <f>$M$347*$W$347</f>
        <v>0</v>
      </c>
      <c r="AD347" s="6">
        <f>$O$347*$X$347</f>
        <v>0</v>
      </c>
      <c r="AE347" s="6">
        <f>$K$347*$Y$347</f>
        <v>0</v>
      </c>
      <c r="AF347" s="6">
        <f ca="1">$M$347*$Z$347</f>
        <v>15241.742875924874</v>
      </c>
      <c r="AG347" s="6">
        <f>$O$347*$AA$347</f>
        <v>8980.278057224954</v>
      </c>
    </row>
    <row r="348" spans="1:33" ht="11.25" customHeight="1" x14ac:dyDescent="0.25">
      <c r="A348" s="4" t="s">
        <v>21</v>
      </c>
      <c r="B348" s="4" t="s">
        <v>32</v>
      </c>
      <c r="C348" s="4" t="s">
        <v>23</v>
      </c>
      <c r="D348" s="4" t="s">
        <v>43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44531</v>
      </c>
      <c r="J348" s="6">
        <v>0</v>
      </c>
      <c r="K348" s="6">
        <v>0</v>
      </c>
      <c r="L348" s="6">
        <v>39.243000000000002</v>
      </c>
      <c r="M348" s="6">
        <v>39.243000000000002</v>
      </c>
      <c r="N348" s="6">
        <v>39.243000000000002</v>
      </c>
      <c r="O348" s="6">
        <v>39.243000000000002</v>
      </c>
      <c r="P348" s="6">
        <v>51</v>
      </c>
      <c r="Q348" s="4" t="s">
        <v>26</v>
      </c>
      <c r="R348" s="4">
        <v>0</v>
      </c>
      <c r="S348" s="6">
        <v>0</v>
      </c>
      <c r="T348" s="6">
        <v>46</v>
      </c>
      <c r="U348" s="6">
        <v>84</v>
      </c>
      <c r="V348" s="6">
        <f>IF(ISERROR(VLOOKUP($S$348,'TAR FIN'!$A$1:$O$88,15,0)),0,VLOOKUP($S$348,'TAR FIN'!$A$1:$O$88,15,0))</f>
        <v>0</v>
      </c>
      <c r="W348" s="6">
        <f>IF(ISERROR(VLOOKUP($T$348,'TAR FIN'!$A$1:$O$88,15,0)),0,VLOOKUP($T$348,'TAR FIN'!$A$1:$O$88,15,0))</f>
        <v>0</v>
      </c>
      <c r="X348" s="6">
        <f>IF(ISERROR(VLOOKUP($U$348,'TAR FIN'!$A$1:$O$88,15,0)),0,VLOOKUP($U$348,'TAR FIN'!$A$1:$O$88,15,0))</f>
        <v>0</v>
      </c>
      <c r="Y348" s="6"/>
      <c r="Z348" s="6">
        <f ca="1">('TUSD BE'!$AM$48+'TUSD BF'!$AM$48+'TUSD CVA'!$AM$48)*1</f>
        <v>493.10070772969505</v>
      </c>
      <c r="AA348" s="6">
        <f>('TE BE'!$AB$39+'TE BF'!$AB$39+'TE CVA'!$AB$39)*1</f>
        <v>290.52986273778561</v>
      </c>
      <c r="AB348" s="6">
        <f>$K$348*$V$348</f>
        <v>0</v>
      </c>
      <c r="AC348" s="6">
        <f>$M$348*$W$348</f>
        <v>0</v>
      </c>
      <c r="AD348" s="6">
        <f>$O$348*$X$348</f>
        <v>0</v>
      </c>
      <c r="AE348" s="6">
        <f>$K$348*$Y$348</f>
        <v>0</v>
      </c>
      <c r="AF348" s="6">
        <f ca="1">$M$348*$Z$348</f>
        <v>19350.751073436422</v>
      </c>
      <c r="AG348" s="6">
        <f>$O$348*$AA$348</f>
        <v>11401.263403418921</v>
      </c>
    </row>
    <row r="349" spans="1:33" ht="11.25" customHeight="1" x14ac:dyDescent="0.25">
      <c r="A349" s="4" t="s">
        <v>21</v>
      </c>
      <c r="B349" s="4" t="s">
        <v>32</v>
      </c>
      <c r="C349" s="4" t="s">
        <v>23</v>
      </c>
      <c r="D349" s="4" t="s">
        <v>43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44562</v>
      </c>
      <c r="J349" s="6">
        <v>0</v>
      </c>
      <c r="K349" s="6">
        <v>0</v>
      </c>
      <c r="L349" s="6">
        <v>38.582999999999998</v>
      </c>
      <c r="M349" s="6">
        <v>38.582999999999998</v>
      </c>
      <c r="N349" s="6">
        <v>38.582999999999998</v>
      </c>
      <c r="O349" s="6">
        <v>38.582999999999998</v>
      </c>
      <c r="P349" s="6">
        <v>51</v>
      </c>
      <c r="Q349" s="4" t="s">
        <v>26</v>
      </c>
      <c r="R349" s="4">
        <v>0</v>
      </c>
      <c r="S349" s="6">
        <v>0</v>
      </c>
      <c r="T349" s="6">
        <v>46</v>
      </c>
      <c r="U349" s="6">
        <v>84</v>
      </c>
      <c r="V349" s="6">
        <f>IF(ISERROR(VLOOKUP($S$349,'TAR FIN'!$A$1:$O$88,15,0)),0,VLOOKUP($S$349,'TAR FIN'!$A$1:$O$88,15,0))</f>
        <v>0</v>
      </c>
      <c r="W349" s="6">
        <f>IF(ISERROR(VLOOKUP($T$349,'TAR FIN'!$A$1:$O$88,15,0)),0,VLOOKUP($T$349,'TAR FIN'!$A$1:$O$88,15,0))</f>
        <v>0</v>
      </c>
      <c r="X349" s="6">
        <f>IF(ISERROR(VLOOKUP($U$349,'TAR FIN'!$A$1:$O$88,15,0)),0,VLOOKUP($U$349,'TAR FIN'!$A$1:$O$88,15,0))</f>
        <v>0</v>
      </c>
      <c r="Y349" s="6"/>
      <c r="Z349" s="6">
        <f ca="1">('TUSD BE'!$AM$48+'TUSD BF'!$AM$48+'TUSD CVA'!$AM$48)*1</f>
        <v>493.10070772969505</v>
      </c>
      <c r="AA349" s="6">
        <f>('TE BE'!$AB$39+'TE BF'!$AB$39+'TE CVA'!$AB$39)*1</f>
        <v>290.52986273778561</v>
      </c>
      <c r="AB349" s="6">
        <f>$K$349*$V$349</f>
        <v>0</v>
      </c>
      <c r="AC349" s="6">
        <f>$M$349*$W$349</f>
        <v>0</v>
      </c>
      <c r="AD349" s="6">
        <f>$O$349*$X$349</f>
        <v>0</v>
      </c>
      <c r="AE349" s="6">
        <f>$K$349*$Y$349</f>
        <v>0</v>
      </c>
      <c r="AF349" s="6">
        <f ca="1">$M$349*$Z$349</f>
        <v>19025.304606334823</v>
      </c>
      <c r="AG349" s="6">
        <f>$O$349*$AA$349</f>
        <v>11209.513694011981</v>
      </c>
    </row>
    <row r="350" spans="1:33" ht="11.25" customHeight="1" x14ac:dyDescent="0.25">
      <c r="A350" s="4" t="s">
        <v>21</v>
      </c>
      <c r="B350" s="4" t="s">
        <v>32</v>
      </c>
      <c r="C350" s="4" t="s">
        <v>23</v>
      </c>
      <c r="D350" s="4" t="s">
        <v>43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44593</v>
      </c>
      <c r="J350" s="6">
        <v>0</v>
      </c>
      <c r="K350" s="6">
        <v>0</v>
      </c>
      <c r="L350" s="6">
        <v>50.277999999999999</v>
      </c>
      <c r="M350" s="6">
        <v>50.277999999999999</v>
      </c>
      <c r="N350" s="6">
        <v>50.277999999999999</v>
      </c>
      <c r="O350" s="6">
        <v>50.277999999999999</v>
      </c>
      <c r="P350" s="6">
        <v>51</v>
      </c>
      <c r="Q350" s="4" t="s">
        <v>26</v>
      </c>
      <c r="R350" s="4">
        <v>0</v>
      </c>
      <c r="S350" s="6">
        <v>0</v>
      </c>
      <c r="T350" s="6">
        <v>46</v>
      </c>
      <c r="U350" s="6">
        <v>84</v>
      </c>
      <c r="V350" s="6">
        <f>IF(ISERROR(VLOOKUP($S$350,'TAR FIN'!$A$1:$O$88,15,0)),0,VLOOKUP($S$350,'TAR FIN'!$A$1:$O$88,15,0))</f>
        <v>0</v>
      </c>
      <c r="W350" s="6">
        <f>IF(ISERROR(VLOOKUP($T$350,'TAR FIN'!$A$1:$O$88,15,0)),0,VLOOKUP($T$350,'TAR FIN'!$A$1:$O$88,15,0))</f>
        <v>0</v>
      </c>
      <c r="X350" s="6">
        <f>IF(ISERROR(VLOOKUP($U$350,'TAR FIN'!$A$1:$O$88,15,0)),0,VLOOKUP($U$350,'TAR FIN'!$A$1:$O$88,15,0))</f>
        <v>0</v>
      </c>
      <c r="Y350" s="6"/>
      <c r="Z350" s="6">
        <f ca="1">('TUSD BE'!$AM$48+'TUSD BF'!$AM$48+'TUSD CVA'!$AM$48)*1</f>
        <v>493.10070772969505</v>
      </c>
      <c r="AA350" s="6">
        <f>('TE BE'!$AB$39+'TE BF'!$AB$39+'TE CVA'!$AB$39)*1</f>
        <v>290.52986273778561</v>
      </c>
      <c r="AB350" s="6">
        <f>$K$350*$V$350</f>
        <v>0</v>
      </c>
      <c r="AC350" s="6">
        <f>$M$350*$W$350</f>
        <v>0</v>
      </c>
      <c r="AD350" s="6">
        <f>$O$350*$X$350</f>
        <v>0</v>
      </c>
      <c r="AE350" s="6">
        <f>$K$350*$Y$350</f>
        <v>0</v>
      </c>
      <c r="AF350" s="6">
        <f ca="1">$M$350*$Z$350</f>
        <v>24792.117383233606</v>
      </c>
      <c r="AG350" s="6">
        <f>$O$350*$AA$350</f>
        <v>14607.260438730384</v>
      </c>
    </row>
    <row r="351" spans="1:33" ht="11.25" customHeight="1" x14ac:dyDescent="0.25">
      <c r="A351" s="4" t="s">
        <v>21</v>
      </c>
      <c r="B351" s="4" t="s">
        <v>32</v>
      </c>
      <c r="C351" s="4" t="s">
        <v>23</v>
      </c>
      <c r="D351" s="4" t="s">
        <v>43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44621</v>
      </c>
      <c r="J351" s="6">
        <v>0</v>
      </c>
      <c r="K351" s="6">
        <v>0</v>
      </c>
      <c r="L351" s="6">
        <v>51.749000000000002</v>
      </c>
      <c r="M351" s="6">
        <v>51.749000000000002</v>
      </c>
      <c r="N351" s="6">
        <v>51.749000000000002</v>
      </c>
      <c r="O351" s="6">
        <v>51.749000000000002</v>
      </c>
      <c r="P351" s="6">
        <v>51</v>
      </c>
      <c r="Q351" s="4" t="s">
        <v>26</v>
      </c>
      <c r="R351" s="4">
        <v>0</v>
      </c>
      <c r="S351" s="6">
        <v>0</v>
      </c>
      <c r="T351" s="6">
        <v>46</v>
      </c>
      <c r="U351" s="6">
        <v>84</v>
      </c>
      <c r="V351" s="6">
        <f>IF(ISERROR(VLOOKUP($S$351,'TAR FIN'!$A$1:$O$88,15,0)),0,VLOOKUP($S$351,'TAR FIN'!$A$1:$O$88,15,0))</f>
        <v>0</v>
      </c>
      <c r="W351" s="6">
        <f>IF(ISERROR(VLOOKUP($T$351,'TAR FIN'!$A$1:$O$88,15,0)),0,VLOOKUP($T$351,'TAR FIN'!$A$1:$O$88,15,0))</f>
        <v>0</v>
      </c>
      <c r="X351" s="6">
        <f>IF(ISERROR(VLOOKUP($U$351,'TAR FIN'!$A$1:$O$88,15,0)),0,VLOOKUP($U$351,'TAR FIN'!$A$1:$O$88,15,0))</f>
        <v>0</v>
      </c>
      <c r="Y351" s="6"/>
      <c r="Z351" s="6">
        <f ca="1">('TUSD BE'!$AM$48+'TUSD BF'!$AM$48+'TUSD CVA'!$AM$48)*1</f>
        <v>493.10070772969505</v>
      </c>
      <c r="AA351" s="6">
        <f>('TE BE'!$AB$39+'TE BF'!$AB$39+'TE CVA'!$AB$39)*1</f>
        <v>290.52986273778561</v>
      </c>
      <c r="AB351" s="6">
        <f>$K$351*$V$351</f>
        <v>0</v>
      </c>
      <c r="AC351" s="6">
        <f>$M$351*$W$351</f>
        <v>0</v>
      </c>
      <c r="AD351" s="6">
        <f>$O$351*$X$351</f>
        <v>0</v>
      </c>
      <c r="AE351" s="6">
        <f>$K$351*$Y$351</f>
        <v>0</v>
      </c>
      <c r="AF351" s="6">
        <f ca="1">$M$351*$Z$351</f>
        <v>25517.468524303989</v>
      </c>
      <c r="AG351" s="6">
        <f>$O$351*$AA$351</f>
        <v>15034.629866817668</v>
      </c>
    </row>
    <row r="352" spans="1:33" ht="11.25" customHeight="1" x14ac:dyDescent="0.25">
      <c r="A352" s="4" t="s">
        <v>21</v>
      </c>
      <c r="B352" s="4" t="s">
        <v>32</v>
      </c>
      <c r="C352" s="4" t="s">
        <v>23</v>
      </c>
      <c r="D352" s="4" t="s">
        <v>43</v>
      </c>
      <c r="E352" s="4" t="s">
        <v>25</v>
      </c>
      <c r="F352" s="4" t="s">
        <v>25</v>
      </c>
      <c r="G352" s="4" t="s">
        <v>25</v>
      </c>
      <c r="H352" s="4" t="s">
        <v>25</v>
      </c>
      <c r="I352" s="5">
        <v>44652</v>
      </c>
      <c r="J352" s="6">
        <v>0</v>
      </c>
      <c r="K352" s="6">
        <v>0</v>
      </c>
      <c r="L352" s="6">
        <v>52.555</v>
      </c>
      <c r="M352" s="6">
        <v>52.555</v>
      </c>
      <c r="N352" s="6">
        <v>52.555</v>
      </c>
      <c r="O352" s="6">
        <v>52.555</v>
      </c>
      <c r="P352" s="6">
        <v>52</v>
      </c>
      <c r="Q352" s="4" t="s">
        <v>26</v>
      </c>
      <c r="R352" s="4">
        <v>0</v>
      </c>
      <c r="S352" s="6">
        <v>0</v>
      </c>
      <c r="T352" s="6">
        <v>46</v>
      </c>
      <c r="U352" s="6">
        <v>84</v>
      </c>
      <c r="V352" s="6">
        <f>IF(ISERROR(VLOOKUP($S$352,'TAR FIN'!$A$1:$O$88,15,0)),0,VLOOKUP($S$352,'TAR FIN'!$A$1:$O$88,15,0))</f>
        <v>0</v>
      </c>
      <c r="W352" s="6">
        <f>IF(ISERROR(VLOOKUP($T$352,'TAR FIN'!$A$1:$O$88,15,0)),0,VLOOKUP($T$352,'TAR FIN'!$A$1:$O$88,15,0))</f>
        <v>0</v>
      </c>
      <c r="X352" s="6">
        <f>IF(ISERROR(VLOOKUP($U$352,'TAR FIN'!$A$1:$O$88,15,0)),0,VLOOKUP($U$352,'TAR FIN'!$A$1:$O$88,15,0))</f>
        <v>0</v>
      </c>
      <c r="Y352" s="6"/>
      <c r="Z352" s="6">
        <f ca="1">('TUSD BE'!$AM$48+'TUSD BF'!$AM$48+'TUSD CVA'!$AM$48)*1</f>
        <v>493.10070772969505</v>
      </c>
      <c r="AA352" s="6">
        <f>('TE BE'!$AB$39+'TE BF'!$AB$39+'TE CVA'!$AB$39)*1</f>
        <v>290.52986273778561</v>
      </c>
      <c r="AB352" s="6">
        <f>$K$352*$V$352</f>
        <v>0</v>
      </c>
      <c r="AC352" s="6">
        <f>$M$352*$W$352</f>
        <v>0</v>
      </c>
      <c r="AD352" s="6">
        <f>$O$352*$X$352</f>
        <v>0</v>
      </c>
      <c r="AE352" s="6">
        <f>$K$352*$Y$352</f>
        <v>0</v>
      </c>
      <c r="AF352" s="6">
        <f ca="1">$M$352*$Z$352</f>
        <v>25914.907694734124</v>
      </c>
      <c r="AG352" s="6">
        <f>$O$352*$AA$352</f>
        <v>15268.796936184322</v>
      </c>
    </row>
    <row r="353" spans="1:33" ht="11.25" customHeight="1" x14ac:dyDescent="0.25">
      <c r="A353" s="4" t="s">
        <v>21</v>
      </c>
      <c r="B353" s="4" t="s">
        <v>32</v>
      </c>
      <c r="C353" s="4" t="s">
        <v>23</v>
      </c>
      <c r="D353" s="4" t="s">
        <v>43</v>
      </c>
      <c r="E353" s="4" t="s">
        <v>25</v>
      </c>
      <c r="F353" s="4" t="s">
        <v>25</v>
      </c>
      <c r="G353" s="4" t="s">
        <v>25</v>
      </c>
      <c r="H353" s="4" t="s">
        <v>25</v>
      </c>
      <c r="I353" s="5">
        <v>44682</v>
      </c>
      <c r="J353" s="6">
        <v>0</v>
      </c>
      <c r="K353" s="6">
        <v>0</v>
      </c>
      <c r="L353" s="6">
        <v>36.895000000000003</v>
      </c>
      <c r="M353" s="6">
        <v>36.895000000000003</v>
      </c>
      <c r="N353" s="6">
        <v>36.895000000000003</v>
      </c>
      <c r="O353" s="6">
        <v>36.895000000000003</v>
      </c>
      <c r="P353" s="6">
        <v>52</v>
      </c>
      <c r="Q353" s="4" t="s">
        <v>26</v>
      </c>
      <c r="R353" s="4">
        <v>0</v>
      </c>
      <c r="S353" s="6">
        <v>0</v>
      </c>
      <c r="T353" s="6">
        <v>46</v>
      </c>
      <c r="U353" s="6">
        <v>84</v>
      </c>
      <c r="V353" s="6">
        <f>IF(ISERROR(VLOOKUP($S$353,'TAR FIN'!$A$1:$O$88,15,0)),0,VLOOKUP($S$353,'TAR FIN'!$A$1:$O$88,15,0))</f>
        <v>0</v>
      </c>
      <c r="W353" s="6">
        <f>IF(ISERROR(VLOOKUP($T$353,'TAR FIN'!$A$1:$O$88,15,0)),0,VLOOKUP($T$353,'TAR FIN'!$A$1:$O$88,15,0))</f>
        <v>0</v>
      </c>
      <c r="X353" s="6">
        <f>IF(ISERROR(VLOOKUP($U$353,'TAR FIN'!$A$1:$O$88,15,0)),0,VLOOKUP($U$353,'TAR FIN'!$A$1:$O$88,15,0))</f>
        <v>0</v>
      </c>
      <c r="Y353" s="6"/>
      <c r="Z353" s="6">
        <f ca="1">('TUSD BE'!$AM$48+'TUSD BF'!$AM$48+'TUSD CVA'!$AM$48)*1</f>
        <v>493.10070772969505</v>
      </c>
      <c r="AA353" s="6">
        <f>('TE BE'!$AB$39+'TE BF'!$AB$39+'TE CVA'!$AB$39)*1</f>
        <v>290.52986273778561</v>
      </c>
      <c r="AB353" s="6">
        <f>$K$353*$V$353</f>
        <v>0</v>
      </c>
      <c r="AC353" s="6">
        <f>$M$353*$W$353</f>
        <v>0</v>
      </c>
      <c r="AD353" s="6">
        <f>$O$353*$X$353</f>
        <v>0</v>
      </c>
      <c r="AE353" s="6">
        <f>$K$353*$Y$353</f>
        <v>0</v>
      </c>
      <c r="AF353" s="6">
        <f ca="1">$M$353*$Z$353</f>
        <v>18192.950611687102</v>
      </c>
      <c r="AG353" s="6">
        <f>$O$353*$AA$353</f>
        <v>10719.099285710601</v>
      </c>
    </row>
    <row r="354" spans="1:33" ht="11.25" customHeight="1" x14ac:dyDescent="0.25">
      <c r="A354" s="4" t="s">
        <v>21</v>
      </c>
      <c r="B354" s="4" t="s">
        <v>32</v>
      </c>
      <c r="C354" s="4" t="s">
        <v>23</v>
      </c>
      <c r="D354" s="4" t="s">
        <v>43</v>
      </c>
      <c r="E354" s="4" t="s">
        <v>25</v>
      </c>
      <c r="F354" s="4" t="s">
        <v>25</v>
      </c>
      <c r="G354" s="4" t="s">
        <v>25</v>
      </c>
      <c r="H354" s="4" t="s">
        <v>25</v>
      </c>
      <c r="I354" s="5">
        <v>44713</v>
      </c>
      <c r="J354" s="6">
        <v>0</v>
      </c>
      <c r="K354" s="6">
        <v>0</v>
      </c>
      <c r="L354" s="6">
        <v>31.05</v>
      </c>
      <c r="M354" s="6">
        <v>31.05</v>
      </c>
      <c r="N354" s="6">
        <v>31.05</v>
      </c>
      <c r="O354" s="6">
        <v>31.05</v>
      </c>
      <c r="P354" s="6">
        <v>52</v>
      </c>
      <c r="Q354" s="4" t="s">
        <v>26</v>
      </c>
      <c r="R354" s="4">
        <v>0</v>
      </c>
      <c r="S354" s="6">
        <v>0</v>
      </c>
      <c r="T354" s="6">
        <v>46</v>
      </c>
      <c r="U354" s="6">
        <v>84</v>
      </c>
      <c r="V354" s="6">
        <f>IF(ISERROR(VLOOKUP($S$354,'TAR FIN'!$A$1:$O$88,15,0)),0,VLOOKUP($S$354,'TAR FIN'!$A$1:$O$88,15,0))</f>
        <v>0</v>
      </c>
      <c r="W354" s="6">
        <f>IF(ISERROR(VLOOKUP($T$354,'TAR FIN'!$A$1:$O$88,15,0)),0,VLOOKUP($T$354,'TAR FIN'!$A$1:$O$88,15,0))</f>
        <v>0</v>
      </c>
      <c r="X354" s="6">
        <f>IF(ISERROR(VLOOKUP($U$354,'TAR FIN'!$A$1:$O$88,15,0)),0,VLOOKUP($U$354,'TAR FIN'!$A$1:$O$88,15,0))</f>
        <v>0</v>
      </c>
      <c r="Y354" s="6"/>
      <c r="Z354" s="6">
        <f ca="1">('TUSD BE'!$AM$48+'TUSD BF'!$AM$48+'TUSD CVA'!$AM$48)*1</f>
        <v>493.10070772969505</v>
      </c>
      <c r="AA354" s="6">
        <f>('TE BE'!$AB$39+'TE BF'!$AB$39+'TE CVA'!$AB$39)*1</f>
        <v>290.52986273778561</v>
      </c>
      <c r="AB354" s="6">
        <f>$K$354*$V$354</f>
        <v>0</v>
      </c>
      <c r="AC354" s="6">
        <f>$M$354*$W$354</f>
        <v>0</v>
      </c>
      <c r="AD354" s="6">
        <f>$O$354*$X$354</f>
        <v>0</v>
      </c>
      <c r="AE354" s="6">
        <f>$K$354*$Y$354</f>
        <v>0</v>
      </c>
      <c r="AF354" s="6">
        <f ca="1">$M$354*$Z$354</f>
        <v>15310.776975007031</v>
      </c>
      <c r="AG354" s="6">
        <f>$O$354*$AA$354</f>
        <v>9020.9522380082435</v>
      </c>
    </row>
    <row r="355" spans="1:33" ht="11.25" customHeight="1" x14ac:dyDescent="0.25">
      <c r="A355" s="4" t="s">
        <v>21</v>
      </c>
      <c r="B355" s="4" t="s">
        <v>32</v>
      </c>
      <c r="C355" s="4" t="s">
        <v>23</v>
      </c>
      <c r="D355" s="4" t="s">
        <v>43</v>
      </c>
      <c r="E355" s="4" t="s">
        <v>25</v>
      </c>
      <c r="F355" s="4" t="s">
        <v>25</v>
      </c>
      <c r="G355" s="4" t="s">
        <v>25</v>
      </c>
      <c r="H355" s="4" t="s">
        <v>25</v>
      </c>
      <c r="I355" s="5">
        <v>44743</v>
      </c>
      <c r="J355" s="6">
        <v>0</v>
      </c>
      <c r="K355" s="6">
        <v>0</v>
      </c>
      <c r="L355" s="6">
        <v>37.548000000000002</v>
      </c>
      <c r="M355" s="6">
        <v>37.548000000000002</v>
      </c>
      <c r="N355" s="6">
        <v>37.548000000000002</v>
      </c>
      <c r="O355" s="6">
        <v>37.548000000000002</v>
      </c>
      <c r="P355" s="6">
        <v>52</v>
      </c>
      <c r="Q355" s="4" t="s">
        <v>26</v>
      </c>
      <c r="R355" s="4">
        <v>0</v>
      </c>
      <c r="S355" s="6">
        <v>0</v>
      </c>
      <c r="T355" s="6">
        <v>46</v>
      </c>
      <c r="U355" s="6">
        <v>84</v>
      </c>
      <c r="V355" s="6">
        <f>IF(ISERROR(VLOOKUP($S$355,'TAR FIN'!$A$1:$O$88,15,0)),0,VLOOKUP($S$355,'TAR FIN'!$A$1:$O$88,15,0))</f>
        <v>0</v>
      </c>
      <c r="W355" s="6">
        <f>IF(ISERROR(VLOOKUP($T$355,'TAR FIN'!$A$1:$O$88,15,0)),0,VLOOKUP($T$355,'TAR FIN'!$A$1:$O$88,15,0))</f>
        <v>0</v>
      </c>
      <c r="X355" s="6">
        <f>IF(ISERROR(VLOOKUP($U$355,'TAR FIN'!$A$1:$O$88,15,0)),0,VLOOKUP($U$355,'TAR FIN'!$A$1:$O$88,15,0))</f>
        <v>0</v>
      </c>
      <c r="Y355" s="6"/>
      <c r="Z355" s="6">
        <f ca="1">('TUSD BE'!$AM$48+'TUSD BF'!$AM$48+'TUSD CVA'!$AM$48)*1</f>
        <v>493.10070772969505</v>
      </c>
      <c r="AA355" s="6">
        <f>('TE BE'!$AB$39+'TE BF'!$AB$39+'TE CVA'!$AB$39)*1</f>
        <v>290.52986273778561</v>
      </c>
      <c r="AB355" s="6">
        <f>$K$355*$V$355</f>
        <v>0</v>
      </c>
      <c r="AC355" s="6">
        <f>$M$355*$W$355</f>
        <v>0</v>
      </c>
      <c r="AD355" s="6">
        <f>$O$355*$X$355</f>
        <v>0</v>
      </c>
      <c r="AE355" s="6">
        <f>$K$355*$Y$355</f>
        <v>0</v>
      </c>
      <c r="AF355" s="6">
        <f ca="1">$M$355*$Z$355</f>
        <v>18514.945373834591</v>
      </c>
      <c r="AG355" s="6">
        <f>$O$355*$AA$355</f>
        <v>10908.815286078374</v>
      </c>
    </row>
    <row r="356" spans="1:33" ht="11.25" customHeight="1" x14ac:dyDescent="0.25">
      <c r="A356" s="4" t="s">
        <v>21</v>
      </c>
      <c r="B356" s="4" t="s">
        <v>32</v>
      </c>
      <c r="C356" s="4" t="s">
        <v>23</v>
      </c>
      <c r="D356" s="4" t="s">
        <v>47</v>
      </c>
      <c r="E356" s="4" t="s">
        <v>48</v>
      </c>
      <c r="F356" s="4" t="s">
        <v>25</v>
      </c>
      <c r="G356" s="4" t="s">
        <v>25</v>
      </c>
      <c r="H356" s="4" t="s">
        <v>25</v>
      </c>
      <c r="I356" s="5">
        <v>44409</v>
      </c>
      <c r="J356" s="6">
        <v>0</v>
      </c>
      <c r="K356" s="52">
        <v>0</v>
      </c>
      <c r="L356" s="6">
        <v>0.91900000000000004</v>
      </c>
      <c r="M356" s="52">
        <v>0.91900000000000004</v>
      </c>
      <c r="N356" s="6">
        <v>0.91900000000000004</v>
      </c>
      <c r="O356" s="52">
        <v>0.91900000000000004</v>
      </c>
      <c r="P356" s="6">
        <v>1</v>
      </c>
      <c r="Q356" s="4" t="s">
        <v>26</v>
      </c>
      <c r="R356" s="4">
        <v>0</v>
      </c>
      <c r="S356" s="6">
        <v>0</v>
      </c>
      <c r="T356" s="6">
        <v>46</v>
      </c>
      <c r="U356" s="6">
        <v>84</v>
      </c>
      <c r="V356" s="52">
        <f>IF(ISERROR(VLOOKUP($S$356,'TAR FIN'!$A$1:$O$88,15,0)),0,VLOOKUP($S$356,'TAR FIN'!$A$1:$O$88,15,0))</f>
        <v>0</v>
      </c>
      <c r="W356" s="52">
        <f>IF(ISERROR(VLOOKUP($T$356,'TAR FIN'!$A$1:$O$88,15,0)),0,VLOOKUP($T$356,'TAR FIN'!$A$1:$O$88,15,0))*(1-0.06)</f>
        <v>0</v>
      </c>
      <c r="X356" s="52">
        <f>IF(ISERROR(VLOOKUP($U$356,'TAR FIN'!$A$1:$O$88,15,0)),0,VLOOKUP($U$356,'TAR FIN'!$A$1:$O$88,15,0))*(1-0.06)</f>
        <v>0</v>
      </c>
      <c r="Y356" s="52"/>
      <c r="Z356" s="52">
        <f ca="1">('TUSD BE'!$AM$48+'TUSD BF'!$AM$48+'TUSD CVA'!$AM$48)*1*(1-0.03)</f>
        <v>478.30768649780418</v>
      </c>
      <c r="AA356" s="52">
        <f>('TE BE'!$AB$39+'TE BF'!$AB$39+'TE CVA'!$AB$39)*1*(1-0.03)</f>
        <v>281.81396685565204</v>
      </c>
      <c r="AB356" s="6">
        <f>$K$356*$V$356</f>
        <v>0</v>
      </c>
      <c r="AC356" s="6">
        <f>$M$356*$W$356</f>
        <v>0</v>
      </c>
      <c r="AD356" s="6">
        <f>$O$356*$X$356</f>
        <v>0</v>
      </c>
      <c r="AE356" s="6">
        <f>$K$356*$Y$356</f>
        <v>0</v>
      </c>
      <c r="AF356" s="6">
        <f ca="1">$M$356*$Z$356</f>
        <v>439.56476389148207</v>
      </c>
      <c r="AG356" s="6">
        <f>$O$356*$AA$356</f>
        <v>258.98703554034421</v>
      </c>
    </row>
    <row r="357" spans="1:33" ht="11.25" customHeight="1" x14ac:dyDescent="0.25">
      <c r="A357" s="4" t="s">
        <v>21</v>
      </c>
      <c r="B357" s="4" t="s">
        <v>32</v>
      </c>
      <c r="C357" s="4" t="s">
        <v>23</v>
      </c>
      <c r="D357" s="4" t="s">
        <v>47</v>
      </c>
      <c r="E357" s="4" t="s">
        <v>48</v>
      </c>
      <c r="F357" s="4" t="s">
        <v>25</v>
      </c>
      <c r="G357" s="4" t="s">
        <v>25</v>
      </c>
      <c r="H357" s="4" t="s">
        <v>25</v>
      </c>
      <c r="I357" s="5">
        <v>44440</v>
      </c>
      <c r="J357" s="6">
        <v>0</v>
      </c>
      <c r="K357" s="52">
        <v>0</v>
      </c>
      <c r="L357" s="6">
        <v>0.93200000000000005</v>
      </c>
      <c r="M357" s="52">
        <v>0.93200000000000005</v>
      </c>
      <c r="N357" s="6">
        <v>0.93200000000000005</v>
      </c>
      <c r="O357" s="52">
        <v>0.93200000000000005</v>
      </c>
      <c r="P357" s="6">
        <v>1</v>
      </c>
      <c r="Q357" s="4" t="s">
        <v>26</v>
      </c>
      <c r="R357" s="4">
        <v>0</v>
      </c>
      <c r="S357" s="6">
        <v>0</v>
      </c>
      <c r="T357" s="6">
        <v>46</v>
      </c>
      <c r="U357" s="6">
        <v>84</v>
      </c>
      <c r="V357" s="52">
        <f>IF(ISERROR(VLOOKUP($S$357,'TAR FIN'!$A$1:$O$88,15,0)),0,VLOOKUP($S$357,'TAR FIN'!$A$1:$O$88,15,0))</f>
        <v>0</v>
      </c>
      <c r="W357" s="52">
        <f>IF(ISERROR(VLOOKUP($T$357,'TAR FIN'!$A$1:$O$88,15,0)),0,VLOOKUP($T$357,'TAR FIN'!$A$1:$O$88,15,0))*(1-0.06)</f>
        <v>0</v>
      </c>
      <c r="X357" s="52">
        <f>IF(ISERROR(VLOOKUP($U$357,'TAR FIN'!$A$1:$O$88,15,0)),0,VLOOKUP($U$357,'TAR FIN'!$A$1:$O$88,15,0))*(1-0.06)</f>
        <v>0</v>
      </c>
      <c r="Y357" s="52"/>
      <c r="Z357" s="52">
        <f ca="1">('TUSD BE'!$AM$48+'TUSD BF'!$AM$48+'TUSD CVA'!$AM$48)*1*(1-0.03)</f>
        <v>478.30768649780418</v>
      </c>
      <c r="AA357" s="52">
        <f>('TE BE'!$AB$39+'TE BF'!$AB$39+'TE CVA'!$AB$39)*1*(1-0.03)</f>
        <v>281.81396685565204</v>
      </c>
      <c r="AB357" s="6">
        <f>$K$357*$V$357</f>
        <v>0</v>
      </c>
      <c r="AC357" s="6">
        <f>$M$357*$W$357</f>
        <v>0</v>
      </c>
      <c r="AD357" s="6">
        <f>$O$357*$X$357</f>
        <v>0</v>
      </c>
      <c r="AE357" s="6">
        <f>$K$357*$Y$357</f>
        <v>0</v>
      </c>
      <c r="AF357" s="6">
        <f ca="1">$M$357*$Z$357</f>
        <v>445.7827638159535</v>
      </c>
      <c r="AG357" s="6">
        <f>$O$357*$AA$357</f>
        <v>262.6506171094677</v>
      </c>
    </row>
    <row r="358" spans="1:33" ht="11.25" customHeight="1" x14ac:dyDescent="0.25">
      <c r="A358" s="4" t="s">
        <v>21</v>
      </c>
      <c r="B358" s="4" t="s">
        <v>32</v>
      </c>
      <c r="C358" s="4" t="s">
        <v>23</v>
      </c>
      <c r="D358" s="4" t="s">
        <v>47</v>
      </c>
      <c r="E358" s="4" t="s">
        <v>48</v>
      </c>
      <c r="F358" s="4" t="s">
        <v>25</v>
      </c>
      <c r="G358" s="4" t="s">
        <v>25</v>
      </c>
      <c r="H358" s="4" t="s">
        <v>25</v>
      </c>
      <c r="I358" s="5">
        <v>44470</v>
      </c>
      <c r="J358" s="6">
        <v>0</v>
      </c>
      <c r="K358" s="52">
        <v>0</v>
      </c>
      <c r="L358" s="6">
        <v>1.2130000000000001</v>
      </c>
      <c r="M358" s="52">
        <v>1.2130000000000001</v>
      </c>
      <c r="N358" s="6">
        <v>1.2130000000000001</v>
      </c>
      <c r="O358" s="52">
        <v>1.2130000000000001</v>
      </c>
      <c r="P358" s="6">
        <v>1</v>
      </c>
      <c r="Q358" s="4" t="s">
        <v>26</v>
      </c>
      <c r="R358" s="4">
        <v>0</v>
      </c>
      <c r="S358" s="6">
        <v>0</v>
      </c>
      <c r="T358" s="6">
        <v>46</v>
      </c>
      <c r="U358" s="6">
        <v>84</v>
      </c>
      <c r="V358" s="52">
        <f>IF(ISERROR(VLOOKUP($S$358,'TAR FIN'!$A$1:$O$88,15,0)),0,VLOOKUP($S$358,'TAR FIN'!$A$1:$O$88,15,0))</f>
        <v>0</v>
      </c>
      <c r="W358" s="52">
        <f>IF(ISERROR(VLOOKUP($T$358,'TAR FIN'!$A$1:$O$88,15,0)),0,VLOOKUP($T$358,'TAR FIN'!$A$1:$O$88,15,0))*(1-0.06)</f>
        <v>0</v>
      </c>
      <c r="X358" s="52">
        <f>IF(ISERROR(VLOOKUP($U$358,'TAR FIN'!$A$1:$O$88,15,0)),0,VLOOKUP($U$358,'TAR FIN'!$A$1:$O$88,15,0))*(1-0.06)</f>
        <v>0</v>
      </c>
      <c r="Y358" s="52"/>
      <c r="Z358" s="52">
        <f ca="1">('TUSD BE'!$AM$48+'TUSD BF'!$AM$48+'TUSD CVA'!$AM$48)*1*(1-0.03)</f>
        <v>478.30768649780418</v>
      </c>
      <c r="AA358" s="52">
        <f>('TE BE'!$AB$39+'TE BF'!$AB$39+'TE CVA'!$AB$39)*1*(1-0.03)</f>
        <v>281.81396685565204</v>
      </c>
      <c r="AB358" s="6">
        <f>$K$358*$V$358</f>
        <v>0</v>
      </c>
      <c r="AC358" s="6">
        <f>$M$358*$W$358</f>
        <v>0</v>
      </c>
      <c r="AD358" s="6">
        <f>$O$358*$X$358</f>
        <v>0</v>
      </c>
      <c r="AE358" s="6">
        <f>$K$358*$Y$358</f>
        <v>0</v>
      </c>
      <c r="AF358" s="6">
        <f ca="1">$M$358*$Z$358</f>
        <v>580.18722372183652</v>
      </c>
      <c r="AG358" s="6">
        <f>$O$358*$AA$358</f>
        <v>341.84034179590594</v>
      </c>
    </row>
    <row r="359" spans="1:33" ht="11.25" customHeight="1" x14ac:dyDescent="0.25">
      <c r="A359" s="4" t="s">
        <v>21</v>
      </c>
      <c r="B359" s="4" t="s">
        <v>32</v>
      </c>
      <c r="C359" s="4" t="s">
        <v>23</v>
      </c>
      <c r="D359" s="4" t="s">
        <v>47</v>
      </c>
      <c r="E359" s="4" t="s">
        <v>48</v>
      </c>
      <c r="F359" s="4" t="s">
        <v>25</v>
      </c>
      <c r="G359" s="4" t="s">
        <v>25</v>
      </c>
      <c r="H359" s="4" t="s">
        <v>25</v>
      </c>
      <c r="I359" s="5">
        <v>44501</v>
      </c>
      <c r="J359" s="6">
        <v>0</v>
      </c>
      <c r="K359" s="52">
        <v>0</v>
      </c>
      <c r="L359" s="6">
        <v>1.141</v>
      </c>
      <c r="M359" s="52">
        <v>1.141</v>
      </c>
      <c r="N359" s="6">
        <v>1.141</v>
      </c>
      <c r="O359" s="52">
        <v>1.141</v>
      </c>
      <c r="P359" s="6">
        <v>1</v>
      </c>
      <c r="Q359" s="4" t="s">
        <v>26</v>
      </c>
      <c r="R359" s="4">
        <v>0</v>
      </c>
      <c r="S359" s="6">
        <v>0</v>
      </c>
      <c r="T359" s="6">
        <v>46</v>
      </c>
      <c r="U359" s="6">
        <v>84</v>
      </c>
      <c r="V359" s="52">
        <f>IF(ISERROR(VLOOKUP($S$359,'TAR FIN'!$A$1:$O$88,15,0)),0,VLOOKUP($S$359,'TAR FIN'!$A$1:$O$88,15,0))</f>
        <v>0</v>
      </c>
      <c r="W359" s="52">
        <f>IF(ISERROR(VLOOKUP($T$359,'TAR FIN'!$A$1:$O$88,15,0)),0,VLOOKUP($T$359,'TAR FIN'!$A$1:$O$88,15,0))*(1-0.06)</f>
        <v>0</v>
      </c>
      <c r="X359" s="52">
        <f>IF(ISERROR(VLOOKUP($U$359,'TAR FIN'!$A$1:$O$88,15,0)),0,VLOOKUP($U$359,'TAR FIN'!$A$1:$O$88,15,0))*(1-0.06)</f>
        <v>0</v>
      </c>
      <c r="Y359" s="52"/>
      <c r="Z359" s="52">
        <f ca="1">('TUSD BE'!$AM$48+'TUSD BF'!$AM$48+'TUSD CVA'!$AM$48)*1*(1-0.03)</f>
        <v>478.30768649780418</v>
      </c>
      <c r="AA359" s="52">
        <f>('TE BE'!$AB$39+'TE BF'!$AB$39+'TE CVA'!$AB$39)*1*(1-0.03)</f>
        <v>281.81396685565204</v>
      </c>
      <c r="AB359" s="6">
        <f>$K$359*$V$359</f>
        <v>0</v>
      </c>
      <c r="AC359" s="6">
        <f>$M$359*$W$359</f>
        <v>0</v>
      </c>
      <c r="AD359" s="6">
        <f>$O$359*$X$359</f>
        <v>0</v>
      </c>
      <c r="AE359" s="6">
        <f>$K$359*$Y$359</f>
        <v>0</v>
      </c>
      <c r="AF359" s="6">
        <f ca="1">$M$359*$Z$359</f>
        <v>545.74907029399458</v>
      </c>
      <c r="AG359" s="6">
        <f>$O$359*$AA$359</f>
        <v>321.549736182299</v>
      </c>
    </row>
    <row r="360" spans="1:33" ht="11.25" customHeight="1" x14ac:dyDescent="0.25">
      <c r="A360" s="4" t="s">
        <v>21</v>
      </c>
      <c r="B360" s="4" t="s">
        <v>32</v>
      </c>
      <c r="C360" s="4" t="s">
        <v>23</v>
      </c>
      <c r="D360" s="4" t="s">
        <v>47</v>
      </c>
      <c r="E360" s="4" t="s">
        <v>48</v>
      </c>
      <c r="F360" s="4" t="s">
        <v>25</v>
      </c>
      <c r="G360" s="4" t="s">
        <v>25</v>
      </c>
      <c r="H360" s="4" t="s">
        <v>25</v>
      </c>
      <c r="I360" s="5">
        <v>44531</v>
      </c>
      <c r="J360" s="6">
        <v>0</v>
      </c>
      <c r="K360" s="52">
        <v>0</v>
      </c>
      <c r="L360" s="6">
        <v>0.86899999999999999</v>
      </c>
      <c r="M360" s="52">
        <v>0.86899999999999999</v>
      </c>
      <c r="N360" s="6">
        <v>0.86899999999999999</v>
      </c>
      <c r="O360" s="52">
        <v>0.86899999999999999</v>
      </c>
      <c r="P360" s="6">
        <v>1</v>
      </c>
      <c r="Q360" s="4" t="s">
        <v>26</v>
      </c>
      <c r="R360" s="4">
        <v>0</v>
      </c>
      <c r="S360" s="6">
        <v>0</v>
      </c>
      <c r="T360" s="6">
        <v>46</v>
      </c>
      <c r="U360" s="6">
        <v>84</v>
      </c>
      <c r="V360" s="52">
        <f>IF(ISERROR(VLOOKUP($S$360,'TAR FIN'!$A$1:$O$88,15,0)),0,VLOOKUP($S$360,'TAR FIN'!$A$1:$O$88,15,0))</f>
        <v>0</v>
      </c>
      <c r="W360" s="52">
        <f>IF(ISERROR(VLOOKUP($T$360,'TAR FIN'!$A$1:$O$88,15,0)),0,VLOOKUP($T$360,'TAR FIN'!$A$1:$O$88,15,0))*(1-0.06)</f>
        <v>0</v>
      </c>
      <c r="X360" s="52">
        <f>IF(ISERROR(VLOOKUP($U$360,'TAR FIN'!$A$1:$O$88,15,0)),0,VLOOKUP($U$360,'TAR FIN'!$A$1:$O$88,15,0))*(1-0.06)</f>
        <v>0</v>
      </c>
      <c r="Y360" s="52"/>
      <c r="Z360" s="52">
        <f ca="1">('TUSD BE'!$AM$48+'TUSD BF'!$AM$48+'TUSD CVA'!$AM$48)*1*(1-0.03)</f>
        <v>478.30768649780418</v>
      </c>
      <c r="AA360" s="52">
        <f>('TE BE'!$AB$39+'TE BF'!$AB$39+'TE CVA'!$AB$39)*1*(1-0.03)</f>
        <v>281.81396685565204</v>
      </c>
      <c r="AB360" s="6">
        <f>$K$360*$V$360</f>
        <v>0</v>
      </c>
      <c r="AC360" s="6">
        <f>$M$360*$W$360</f>
        <v>0</v>
      </c>
      <c r="AD360" s="6">
        <f>$O$360*$X$360</f>
        <v>0</v>
      </c>
      <c r="AE360" s="6">
        <f>$K$360*$Y$360</f>
        <v>0</v>
      </c>
      <c r="AF360" s="6">
        <f ca="1">$M$360*$Z$360</f>
        <v>415.64937956659185</v>
      </c>
      <c r="AG360" s="6">
        <f>$O$360*$AA$360</f>
        <v>244.89633719756162</v>
      </c>
    </row>
    <row r="361" spans="1:33" ht="11.25" customHeight="1" x14ac:dyDescent="0.25">
      <c r="A361" s="4" t="s">
        <v>21</v>
      </c>
      <c r="B361" s="4" t="s">
        <v>32</v>
      </c>
      <c r="C361" s="4" t="s">
        <v>23</v>
      </c>
      <c r="D361" s="4" t="s">
        <v>47</v>
      </c>
      <c r="E361" s="4" t="s">
        <v>48</v>
      </c>
      <c r="F361" s="4" t="s">
        <v>25</v>
      </c>
      <c r="G361" s="4" t="s">
        <v>25</v>
      </c>
      <c r="H361" s="4" t="s">
        <v>25</v>
      </c>
      <c r="I361" s="5">
        <v>44562</v>
      </c>
      <c r="J361" s="6">
        <v>0</v>
      </c>
      <c r="K361" s="52">
        <v>0</v>
      </c>
      <c r="L361" s="6">
        <v>0.69099999999999995</v>
      </c>
      <c r="M361" s="52">
        <v>0.69099999999999995</v>
      </c>
      <c r="N361" s="6">
        <v>0.69099999999999995</v>
      </c>
      <c r="O361" s="52">
        <v>0.69099999999999995</v>
      </c>
      <c r="P361" s="6">
        <v>1</v>
      </c>
      <c r="Q361" s="4" t="s">
        <v>26</v>
      </c>
      <c r="R361" s="4">
        <v>0</v>
      </c>
      <c r="S361" s="6">
        <v>0</v>
      </c>
      <c r="T361" s="6">
        <v>46</v>
      </c>
      <c r="U361" s="6">
        <v>84</v>
      </c>
      <c r="V361" s="52">
        <f>IF(ISERROR(VLOOKUP($S$361,'TAR FIN'!$A$1:$O$88,15,0)),0,VLOOKUP($S$361,'TAR FIN'!$A$1:$O$88,15,0))</f>
        <v>0</v>
      </c>
      <c r="W361" s="52">
        <f>IF(ISERROR(VLOOKUP($T$361,'TAR FIN'!$A$1:$O$88,15,0)),0,VLOOKUP($T$361,'TAR FIN'!$A$1:$O$88,15,0))*(1-0.06)</f>
        <v>0</v>
      </c>
      <c r="X361" s="52">
        <f>IF(ISERROR(VLOOKUP($U$361,'TAR FIN'!$A$1:$O$88,15,0)),0,VLOOKUP($U$361,'TAR FIN'!$A$1:$O$88,15,0))*(1-0.06)</f>
        <v>0</v>
      </c>
      <c r="Y361" s="52"/>
      <c r="Z361" s="52">
        <f ca="1">('TUSD BE'!$AM$48+'TUSD BF'!$AM$48+'TUSD CVA'!$AM$48)*1*(1-0.03)</f>
        <v>478.30768649780418</v>
      </c>
      <c r="AA361" s="52">
        <f>('TE BE'!$AB$39+'TE BF'!$AB$39+'TE CVA'!$AB$39)*1*(1-0.03)</f>
        <v>281.81396685565204</v>
      </c>
      <c r="AB361" s="6">
        <f>$K$361*$V$361</f>
        <v>0</v>
      </c>
      <c r="AC361" s="6">
        <f>$M$361*$W$361</f>
        <v>0</v>
      </c>
      <c r="AD361" s="6">
        <f>$O$361*$X$361</f>
        <v>0</v>
      </c>
      <c r="AE361" s="6">
        <f>$K$361*$Y$361</f>
        <v>0</v>
      </c>
      <c r="AF361" s="6">
        <f ca="1">$M$361*$Z$361</f>
        <v>330.51061136998266</v>
      </c>
      <c r="AG361" s="6">
        <f>$O$361*$AA$361</f>
        <v>194.73345109725554</v>
      </c>
    </row>
    <row r="362" spans="1:33" ht="11.25" customHeight="1" x14ac:dyDescent="0.25">
      <c r="A362" s="4" t="s">
        <v>21</v>
      </c>
      <c r="B362" s="4" t="s">
        <v>32</v>
      </c>
      <c r="C362" s="4" t="s">
        <v>23</v>
      </c>
      <c r="D362" s="4" t="s">
        <v>47</v>
      </c>
      <c r="E362" s="4" t="s">
        <v>48</v>
      </c>
      <c r="F362" s="4" t="s">
        <v>25</v>
      </c>
      <c r="G362" s="4" t="s">
        <v>25</v>
      </c>
      <c r="H362" s="4" t="s">
        <v>25</v>
      </c>
      <c r="I362" s="5">
        <v>44593</v>
      </c>
      <c r="J362" s="6">
        <v>0</v>
      </c>
      <c r="K362" s="52">
        <v>0</v>
      </c>
      <c r="L362" s="6">
        <v>0.88300000000000001</v>
      </c>
      <c r="M362" s="52">
        <v>0.88300000000000001</v>
      </c>
      <c r="N362" s="6">
        <v>0.88300000000000001</v>
      </c>
      <c r="O362" s="52">
        <v>0.88300000000000001</v>
      </c>
      <c r="P362" s="6">
        <v>1</v>
      </c>
      <c r="Q362" s="4" t="s">
        <v>26</v>
      </c>
      <c r="R362" s="4">
        <v>0</v>
      </c>
      <c r="S362" s="6">
        <v>0</v>
      </c>
      <c r="T362" s="6">
        <v>46</v>
      </c>
      <c r="U362" s="6">
        <v>84</v>
      </c>
      <c r="V362" s="52">
        <f>IF(ISERROR(VLOOKUP($S$362,'TAR FIN'!$A$1:$O$88,15,0)),0,VLOOKUP($S$362,'TAR FIN'!$A$1:$O$88,15,0))</f>
        <v>0</v>
      </c>
      <c r="W362" s="52">
        <f>IF(ISERROR(VLOOKUP($T$362,'TAR FIN'!$A$1:$O$88,15,0)),0,VLOOKUP($T$362,'TAR FIN'!$A$1:$O$88,15,0))*(1-0.06)</f>
        <v>0</v>
      </c>
      <c r="X362" s="52">
        <f>IF(ISERROR(VLOOKUP($U$362,'TAR FIN'!$A$1:$O$88,15,0)),0,VLOOKUP($U$362,'TAR FIN'!$A$1:$O$88,15,0))*(1-0.06)</f>
        <v>0</v>
      </c>
      <c r="Y362" s="52"/>
      <c r="Z362" s="52">
        <f ca="1">('TUSD BE'!$AM$48+'TUSD BF'!$AM$48+'TUSD CVA'!$AM$48)*1*(1-0.03)</f>
        <v>478.30768649780418</v>
      </c>
      <c r="AA362" s="52">
        <f>('TE BE'!$AB$39+'TE BF'!$AB$39+'TE CVA'!$AB$39)*1*(1-0.03)</f>
        <v>281.81396685565204</v>
      </c>
      <c r="AB362" s="6">
        <f>$K$362*$V$362</f>
        <v>0</v>
      </c>
      <c r="AC362" s="6">
        <f>$M$362*$W$362</f>
        <v>0</v>
      </c>
      <c r="AD362" s="6">
        <f>$O$362*$X$362</f>
        <v>0</v>
      </c>
      <c r="AE362" s="6">
        <f>$K$362*$Y$362</f>
        <v>0</v>
      </c>
      <c r="AF362" s="6">
        <f ca="1">$M$362*$Z$362</f>
        <v>422.3456871775611</v>
      </c>
      <c r="AG362" s="6">
        <f>$O$362*$AA$362</f>
        <v>248.84173273354077</v>
      </c>
    </row>
    <row r="363" spans="1:33" ht="11.25" customHeight="1" x14ac:dyDescent="0.25">
      <c r="A363" s="4" t="s">
        <v>21</v>
      </c>
      <c r="B363" s="4" t="s">
        <v>32</v>
      </c>
      <c r="C363" s="4" t="s">
        <v>23</v>
      </c>
      <c r="D363" s="4" t="s">
        <v>47</v>
      </c>
      <c r="E363" s="4" t="s">
        <v>48</v>
      </c>
      <c r="F363" s="4" t="s">
        <v>25</v>
      </c>
      <c r="G363" s="4" t="s">
        <v>25</v>
      </c>
      <c r="H363" s="4" t="s">
        <v>25</v>
      </c>
      <c r="I363" s="5">
        <v>44621</v>
      </c>
      <c r="J363" s="6">
        <v>0</v>
      </c>
      <c r="K363" s="52">
        <v>0</v>
      </c>
      <c r="L363" s="6">
        <v>0.71099999999999997</v>
      </c>
      <c r="M363" s="52">
        <v>0.71099999999999997</v>
      </c>
      <c r="N363" s="6">
        <v>0.71099999999999997</v>
      </c>
      <c r="O363" s="52">
        <v>0.71099999999999997</v>
      </c>
      <c r="P363" s="6">
        <v>1</v>
      </c>
      <c r="Q363" s="4" t="s">
        <v>26</v>
      </c>
      <c r="R363" s="4">
        <v>0</v>
      </c>
      <c r="S363" s="6">
        <v>0</v>
      </c>
      <c r="T363" s="6">
        <v>46</v>
      </c>
      <c r="U363" s="6">
        <v>84</v>
      </c>
      <c r="V363" s="52">
        <f>IF(ISERROR(VLOOKUP($S$363,'TAR FIN'!$A$1:$O$88,15,0)),0,VLOOKUP($S$363,'TAR FIN'!$A$1:$O$88,15,0))</f>
        <v>0</v>
      </c>
      <c r="W363" s="52">
        <f>IF(ISERROR(VLOOKUP($T$363,'TAR FIN'!$A$1:$O$88,15,0)),0,VLOOKUP($T$363,'TAR FIN'!$A$1:$O$88,15,0))*(1-0.06)</f>
        <v>0</v>
      </c>
      <c r="X363" s="52">
        <f>IF(ISERROR(VLOOKUP($U$363,'TAR FIN'!$A$1:$O$88,15,0)),0,VLOOKUP($U$363,'TAR FIN'!$A$1:$O$88,15,0))*(1-0.06)</f>
        <v>0</v>
      </c>
      <c r="Y363" s="52"/>
      <c r="Z363" s="52">
        <f ca="1">('TUSD BE'!$AM$48+'TUSD BF'!$AM$48+'TUSD CVA'!$AM$48)*1*(1-0.03)</f>
        <v>478.30768649780418</v>
      </c>
      <c r="AA363" s="52">
        <f>('TE BE'!$AB$39+'TE BF'!$AB$39+'TE CVA'!$AB$39)*1*(1-0.03)</f>
        <v>281.81396685565204</v>
      </c>
      <c r="AB363" s="6">
        <f>$K$363*$V$363</f>
        <v>0</v>
      </c>
      <c r="AC363" s="6">
        <f>$M$363*$W$363</f>
        <v>0</v>
      </c>
      <c r="AD363" s="6">
        <f>$O$363*$X$363</f>
        <v>0</v>
      </c>
      <c r="AE363" s="6">
        <f>$K$363*$Y$363</f>
        <v>0</v>
      </c>
      <c r="AF363" s="6">
        <f ca="1">$M$363*$Z$363</f>
        <v>340.07676509993877</v>
      </c>
      <c r="AG363" s="6">
        <f>$O$363*$AA$363</f>
        <v>200.36973043436859</v>
      </c>
    </row>
    <row r="364" spans="1:33" ht="11.25" customHeight="1" x14ac:dyDescent="0.25">
      <c r="A364" s="4" t="s">
        <v>21</v>
      </c>
      <c r="B364" s="4" t="s">
        <v>32</v>
      </c>
      <c r="C364" s="4" t="s">
        <v>23</v>
      </c>
      <c r="D364" s="4" t="s">
        <v>47</v>
      </c>
      <c r="E364" s="4" t="s">
        <v>48</v>
      </c>
      <c r="F364" s="4" t="s">
        <v>25</v>
      </c>
      <c r="G364" s="4" t="s">
        <v>25</v>
      </c>
      <c r="H364" s="4" t="s">
        <v>25</v>
      </c>
      <c r="I364" s="5">
        <v>44652</v>
      </c>
      <c r="J364" s="6">
        <v>0</v>
      </c>
      <c r="K364" s="52">
        <v>0</v>
      </c>
      <c r="L364" s="6">
        <v>0.79400000000000004</v>
      </c>
      <c r="M364" s="52">
        <v>0.79400000000000004</v>
      </c>
      <c r="N364" s="6">
        <v>0.79400000000000004</v>
      </c>
      <c r="O364" s="52">
        <v>0.79400000000000004</v>
      </c>
      <c r="P364" s="6">
        <v>1</v>
      </c>
      <c r="Q364" s="4" t="s">
        <v>26</v>
      </c>
      <c r="R364" s="4">
        <v>0</v>
      </c>
      <c r="S364" s="6">
        <v>0</v>
      </c>
      <c r="T364" s="6">
        <v>46</v>
      </c>
      <c r="U364" s="6">
        <v>84</v>
      </c>
      <c r="V364" s="52">
        <f>IF(ISERROR(VLOOKUP($S$364,'TAR FIN'!$A$1:$O$88,15,0)),0,VLOOKUP($S$364,'TAR FIN'!$A$1:$O$88,15,0))</f>
        <v>0</v>
      </c>
      <c r="W364" s="52">
        <f>IF(ISERROR(VLOOKUP($T$364,'TAR FIN'!$A$1:$O$88,15,0)),0,VLOOKUP($T$364,'TAR FIN'!$A$1:$O$88,15,0))*(1-0.06)</f>
        <v>0</v>
      </c>
      <c r="X364" s="52">
        <f>IF(ISERROR(VLOOKUP($U$364,'TAR FIN'!$A$1:$O$88,15,0)),0,VLOOKUP($U$364,'TAR FIN'!$A$1:$O$88,15,0))*(1-0.06)</f>
        <v>0</v>
      </c>
      <c r="Y364" s="52"/>
      <c r="Z364" s="52">
        <f ca="1">('TUSD BE'!$AM$48+'TUSD BF'!$AM$48+'TUSD CVA'!$AM$48)*1*(1-0.03)</f>
        <v>478.30768649780418</v>
      </c>
      <c r="AA364" s="52">
        <f>('TE BE'!$AB$39+'TE BF'!$AB$39+'TE CVA'!$AB$39)*1*(1-0.03)</f>
        <v>281.81396685565204</v>
      </c>
      <c r="AB364" s="6">
        <f>$K$364*$V$364</f>
        <v>0</v>
      </c>
      <c r="AC364" s="6">
        <f>$M$364*$W$364</f>
        <v>0</v>
      </c>
      <c r="AD364" s="6">
        <f>$O$364*$X$364</f>
        <v>0</v>
      </c>
      <c r="AE364" s="6">
        <f>$K$364*$Y$364</f>
        <v>0</v>
      </c>
      <c r="AF364" s="6">
        <f ca="1">$M$364*$Z$364</f>
        <v>379.77630307925654</v>
      </c>
      <c r="AG364" s="6">
        <f>$O$364*$AA$364</f>
        <v>223.76028968338773</v>
      </c>
    </row>
    <row r="365" spans="1:33" ht="11.25" customHeight="1" x14ac:dyDescent="0.25">
      <c r="A365" s="4" t="s">
        <v>21</v>
      </c>
      <c r="B365" s="4" t="s">
        <v>32</v>
      </c>
      <c r="C365" s="4" t="s">
        <v>23</v>
      </c>
      <c r="D365" s="4" t="s">
        <v>47</v>
      </c>
      <c r="E365" s="4" t="s">
        <v>48</v>
      </c>
      <c r="F365" s="4" t="s">
        <v>25</v>
      </c>
      <c r="G365" s="4" t="s">
        <v>25</v>
      </c>
      <c r="H365" s="4" t="s">
        <v>25</v>
      </c>
      <c r="I365" s="5">
        <v>44682</v>
      </c>
      <c r="J365" s="6">
        <v>0</v>
      </c>
      <c r="K365" s="52">
        <v>0</v>
      </c>
      <c r="L365" s="6">
        <v>0.67600000000000005</v>
      </c>
      <c r="M365" s="52">
        <v>0.67600000000000005</v>
      </c>
      <c r="N365" s="6">
        <v>0.67600000000000005</v>
      </c>
      <c r="O365" s="52">
        <v>0.67600000000000005</v>
      </c>
      <c r="P365" s="6">
        <v>1</v>
      </c>
      <c r="Q365" s="4" t="s">
        <v>26</v>
      </c>
      <c r="R365" s="4">
        <v>0</v>
      </c>
      <c r="S365" s="6">
        <v>0</v>
      </c>
      <c r="T365" s="6">
        <v>46</v>
      </c>
      <c r="U365" s="6">
        <v>84</v>
      </c>
      <c r="V365" s="52">
        <f>IF(ISERROR(VLOOKUP($S$365,'TAR FIN'!$A$1:$O$88,15,0)),0,VLOOKUP($S$365,'TAR FIN'!$A$1:$O$88,15,0))</f>
        <v>0</v>
      </c>
      <c r="W365" s="52">
        <f>IF(ISERROR(VLOOKUP($T$365,'TAR FIN'!$A$1:$O$88,15,0)),0,VLOOKUP($T$365,'TAR FIN'!$A$1:$O$88,15,0))*(1-0.06)</f>
        <v>0</v>
      </c>
      <c r="X365" s="52">
        <f>IF(ISERROR(VLOOKUP($U$365,'TAR FIN'!$A$1:$O$88,15,0)),0,VLOOKUP($U$365,'TAR FIN'!$A$1:$O$88,15,0))*(1-0.06)</f>
        <v>0</v>
      </c>
      <c r="Y365" s="52"/>
      <c r="Z365" s="52">
        <f ca="1">('TUSD BE'!$AM$48+'TUSD BF'!$AM$48+'TUSD CVA'!$AM$48)*1*(1-0.03)</f>
        <v>478.30768649780418</v>
      </c>
      <c r="AA365" s="52">
        <f>('TE BE'!$AB$39+'TE BF'!$AB$39+'TE CVA'!$AB$39)*1*(1-0.03)</f>
        <v>281.81396685565204</v>
      </c>
      <c r="AB365" s="6">
        <f>$K$365*$V$365</f>
        <v>0</v>
      </c>
      <c r="AC365" s="6">
        <f>$M$365*$W$365</f>
        <v>0</v>
      </c>
      <c r="AD365" s="6">
        <f>$O$365*$X$365</f>
        <v>0</v>
      </c>
      <c r="AE365" s="6">
        <f>$K$365*$Y$365</f>
        <v>0</v>
      </c>
      <c r="AF365" s="6">
        <f ca="1">$M$365*$Z$365</f>
        <v>323.33599607251563</v>
      </c>
      <c r="AG365" s="6">
        <f>$O$365*$AA$365</f>
        <v>190.5062415944208</v>
      </c>
    </row>
    <row r="366" spans="1:33" ht="11.25" customHeight="1" x14ac:dyDescent="0.25">
      <c r="A366" s="4" t="s">
        <v>21</v>
      </c>
      <c r="B366" s="4" t="s">
        <v>32</v>
      </c>
      <c r="C366" s="4" t="s">
        <v>23</v>
      </c>
      <c r="D366" s="4" t="s">
        <v>47</v>
      </c>
      <c r="E366" s="4" t="s">
        <v>48</v>
      </c>
      <c r="F366" s="4" t="s">
        <v>25</v>
      </c>
      <c r="G366" s="4" t="s">
        <v>25</v>
      </c>
      <c r="H366" s="4" t="s">
        <v>25</v>
      </c>
      <c r="I366" s="5">
        <v>44713</v>
      </c>
      <c r="J366" s="6">
        <v>0</v>
      </c>
      <c r="K366" s="52">
        <v>0</v>
      </c>
      <c r="L366" s="6">
        <v>0.84099999999999997</v>
      </c>
      <c r="M366" s="52">
        <v>0.84099999999999997</v>
      </c>
      <c r="N366" s="6">
        <v>0.84099999999999997</v>
      </c>
      <c r="O366" s="52">
        <v>0.84099999999999997</v>
      </c>
      <c r="P366" s="6">
        <v>1</v>
      </c>
      <c r="Q366" s="4" t="s">
        <v>26</v>
      </c>
      <c r="R366" s="4">
        <v>0</v>
      </c>
      <c r="S366" s="6">
        <v>0</v>
      </c>
      <c r="T366" s="6">
        <v>46</v>
      </c>
      <c r="U366" s="6">
        <v>84</v>
      </c>
      <c r="V366" s="52">
        <f>IF(ISERROR(VLOOKUP($S$366,'TAR FIN'!$A$1:$O$88,15,0)),0,VLOOKUP($S$366,'TAR FIN'!$A$1:$O$88,15,0))</f>
        <v>0</v>
      </c>
      <c r="W366" s="52">
        <f>IF(ISERROR(VLOOKUP($T$366,'TAR FIN'!$A$1:$O$88,15,0)),0,VLOOKUP($T$366,'TAR FIN'!$A$1:$O$88,15,0))*(1-0.06)</f>
        <v>0</v>
      </c>
      <c r="X366" s="52">
        <f>IF(ISERROR(VLOOKUP($U$366,'TAR FIN'!$A$1:$O$88,15,0)),0,VLOOKUP($U$366,'TAR FIN'!$A$1:$O$88,15,0))*(1-0.06)</f>
        <v>0</v>
      </c>
      <c r="Y366" s="52"/>
      <c r="Z366" s="52">
        <f ca="1">('TUSD BE'!$AM$48+'TUSD BF'!$AM$48+'TUSD CVA'!$AM$48)*1*(1-0.03)</f>
        <v>478.30768649780418</v>
      </c>
      <c r="AA366" s="52">
        <f>('TE BE'!$AB$39+'TE BF'!$AB$39+'TE CVA'!$AB$39)*1*(1-0.03)</f>
        <v>281.81396685565204</v>
      </c>
      <c r="AB366" s="6">
        <f>$K$366*$V$366</f>
        <v>0</v>
      </c>
      <c r="AC366" s="6">
        <f>$M$366*$W$366</f>
        <v>0</v>
      </c>
      <c r="AD366" s="6">
        <f>$O$366*$X$366</f>
        <v>0</v>
      </c>
      <c r="AE366" s="6">
        <f>$K$366*$Y$366</f>
        <v>0</v>
      </c>
      <c r="AF366" s="6">
        <f ca="1">$M$366*$Z$366</f>
        <v>402.25676434465328</v>
      </c>
      <c r="AG366" s="6">
        <f>$O$366*$AA$366</f>
        <v>237.00554612560336</v>
      </c>
    </row>
    <row r="367" spans="1:33" ht="11.25" customHeight="1" x14ac:dyDescent="0.25">
      <c r="A367" s="4" t="s">
        <v>21</v>
      </c>
      <c r="B367" s="4" t="s">
        <v>32</v>
      </c>
      <c r="C367" s="4" t="s">
        <v>23</v>
      </c>
      <c r="D367" s="4" t="s">
        <v>47</v>
      </c>
      <c r="E367" s="4" t="s">
        <v>48</v>
      </c>
      <c r="F367" s="4" t="s">
        <v>25</v>
      </c>
      <c r="G367" s="4" t="s">
        <v>25</v>
      </c>
      <c r="H367" s="4" t="s">
        <v>25</v>
      </c>
      <c r="I367" s="5">
        <v>44743</v>
      </c>
      <c r="J367" s="6">
        <v>0</v>
      </c>
      <c r="K367" s="52">
        <v>0</v>
      </c>
      <c r="L367" s="6">
        <v>0.82899999999999996</v>
      </c>
      <c r="M367" s="52">
        <v>0.82899999999999996</v>
      </c>
      <c r="N367" s="6">
        <v>0.82899999999999996</v>
      </c>
      <c r="O367" s="52">
        <v>0.82899999999999996</v>
      </c>
      <c r="P367" s="6">
        <v>1</v>
      </c>
      <c r="Q367" s="4" t="s">
        <v>26</v>
      </c>
      <c r="R367" s="4">
        <v>0</v>
      </c>
      <c r="S367" s="6">
        <v>0</v>
      </c>
      <c r="T367" s="6">
        <v>46</v>
      </c>
      <c r="U367" s="6">
        <v>84</v>
      </c>
      <c r="V367" s="52">
        <f>IF(ISERROR(VLOOKUP($S$367,'TAR FIN'!$A$1:$O$88,15,0)),0,VLOOKUP($S$367,'TAR FIN'!$A$1:$O$88,15,0))</f>
        <v>0</v>
      </c>
      <c r="W367" s="52">
        <f>IF(ISERROR(VLOOKUP($T$367,'TAR FIN'!$A$1:$O$88,15,0)),0,VLOOKUP($T$367,'TAR FIN'!$A$1:$O$88,15,0))*(1-0.06)</f>
        <v>0</v>
      </c>
      <c r="X367" s="52">
        <f>IF(ISERROR(VLOOKUP($U$367,'TAR FIN'!$A$1:$O$88,15,0)),0,VLOOKUP($U$367,'TAR FIN'!$A$1:$O$88,15,0))*(1-0.06)</f>
        <v>0</v>
      </c>
      <c r="Y367" s="52"/>
      <c r="Z367" s="52">
        <f ca="1">('TUSD BE'!$AM$48+'TUSD BF'!$AM$48+'TUSD CVA'!$AM$48)*1*(1-0.03)</f>
        <v>478.30768649780418</v>
      </c>
      <c r="AA367" s="52">
        <f>('TE BE'!$AB$39+'TE BF'!$AB$39+'TE CVA'!$AB$39)*1*(1-0.03)</f>
        <v>281.81396685565204</v>
      </c>
      <c r="AB367" s="6">
        <f>$K$367*$V$367</f>
        <v>0</v>
      </c>
      <c r="AC367" s="6">
        <f>$M$367*$W$367</f>
        <v>0</v>
      </c>
      <c r="AD367" s="6">
        <f>$O$367*$X$367</f>
        <v>0</v>
      </c>
      <c r="AE367" s="6">
        <f>$K$367*$Y$367</f>
        <v>0</v>
      </c>
      <c r="AF367" s="6">
        <f ca="1">$M$367*$Z$367</f>
        <v>396.51707210667968</v>
      </c>
      <c r="AG367" s="6">
        <f>$O$367*$AA$367</f>
        <v>233.62377852333552</v>
      </c>
    </row>
    <row r="368" spans="1:33" ht="11.25" customHeight="1" x14ac:dyDescent="0.25">
      <c r="A368" s="4" t="s">
        <v>21</v>
      </c>
      <c r="B368" s="4" t="s">
        <v>44</v>
      </c>
      <c r="C368" s="4" t="s">
        <v>23</v>
      </c>
      <c r="D368" s="4" t="s">
        <v>45</v>
      </c>
      <c r="E368" s="4" t="s">
        <v>46</v>
      </c>
      <c r="F368" s="4" t="s">
        <v>25</v>
      </c>
      <c r="G368" s="4" t="s">
        <v>25</v>
      </c>
      <c r="H368" s="4" t="s">
        <v>25</v>
      </c>
      <c r="I368" s="5">
        <v>44409</v>
      </c>
      <c r="J368" s="6">
        <v>0</v>
      </c>
      <c r="K368" s="6">
        <v>0</v>
      </c>
      <c r="L368" s="6">
        <v>30.279</v>
      </c>
      <c r="M368" s="6">
        <v>30.279</v>
      </c>
      <c r="N368" s="6">
        <v>30.279</v>
      </c>
      <c r="O368" s="6">
        <v>30.279</v>
      </c>
      <c r="P368" s="6">
        <v>1</v>
      </c>
      <c r="Q368" s="4" t="s">
        <v>26</v>
      </c>
      <c r="R368" s="4">
        <v>0</v>
      </c>
      <c r="S368" s="6">
        <v>0</v>
      </c>
      <c r="T368" s="6">
        <v>48</v>
      </c>
      <c r="U368" s="6">
        <v>86</v>
      </c>
      <c r="V368" s="6">
        <f>IF(ISERROR(VLOOKUP($S$368,'TAR FIN'!$A$1:$O$88,15,0)),0,VLOOKUP($S$368,'TAR FIN'!$A$1:$O$88,15,0))</f>
        <v>0</v>
      </c>
      <c r="W368" s="6">
        <f>IF(ISERROR(VLOOKUP($T$368,'TAR FIN'!$A$1:$O$88,15,0)),0,VLOOKUP($T$368,'TAR FIN'!$A$1:$O$88,15,0))</f>
        <v>0</v>
      </c>
      <c r="X368" s="6">
        <f>IF(ISERROR(VLOOKUP($U$368,'TAR FIN'!$A$1:$O$88,15,0)),0,VLOOKUP($U$368,'TAR FIN'!$A$1:$O$88,15,0))</f>
        <v>0</v>
      </c>
      <c r="Y368" s="6"/>
      <c r="Z368" s="6">
        <f ca="1">('TUSD BE'!$AM$50+'TUSD BF'!$AM$50+'TUSD CVA'!$AM$50)*1</f>
        <v>271.20538925133229</v>
      </c>
      <c r="AA368" s="6">
        <f>('TE BE'!$AB$41+'TE BF'!$AB$41+'TE CVA'!$AB$41)*1</f>
        <v>159.79142450578209</v>
      </c>
      <c r="AB368" s="6">
        <f>$K$368*$V$368</f>
        <v>0</v>
      </c>
      <c r="AC368" s="6">
        <f>$M$368*$W$368</f>
        <v>0</v>
      </c>
      <c r="AD368" s="6">
        <f>$O$368*$X$368</f>
        <v>0</v>
      </c>
      <c r="AE368" s="6">
        <f>$K$368*$Y$368</f>
        <v>0</v>
      </c>
      <c r="AF368" s="6">
        <f ca="1">$M$368*$Z$368</f>
        <v>8211.8279811410903</v>
      </c>
      <c r="AG368" s="6">
        <f>$O$368*$AA$368</f>
        <v>4838.3245426105759</v>
      </c>
    </row>
    <row r="369" spans="1:33" ht="11.25" customHeight="1" x14ac:dyDescent="0.25">
      <c r="A369" s="4" t="s">
        <v>21</v>
      </c>
      <c r="B369" s="4" t="s">
        <v>44</v>
      </c>
      <c r="C369" s="4" t="s">
        <v>23</v>
      </c>
      <c r="D369" s="4" t="s">
        <v>45</v>
      </c>
      <c r="E369" s="4" t="s">
        <v>46</v>
      </c>
      <c r="F369" s="4" t="s">
        <v>25</v>
      </c>
      <c r="G369" s="4" t="s">
        <v>25</v>
      </c>
      <c r="H369" s="4" t="s">
        <v>25</v>
      </c>
      <c r="I369" s="5">
        <v>44440</v>
      </c>
      <c r="J369" s="6">
        <v>0</v>
      </c>
      <c r="K369" s="6">
        <v>0</v>
      </c>
      <c r="L369" s="6">
        <v>29.314</v>
      </c>
      <c r="M369" s="6">
        <v>29.314</v>
      </c>
      <c r="N369" s="6">
        <v>29.314</v>
      </c>
      <c r="O369" s="6">
        <v>29.314</v>
      </c>
      <c r="P369" s="6">
        <v>1</v>
      </c>
      <c r="Q369" s="4" t="s">
        <v>26</v>
      </c>
      <c r="R369" s="4">
        <v>0</v>
      </c>
      <c r="S369" s="6">
        <v>0</v>
      </c>
      <c r="T369" s="6">
        <v>48</v>
      </c>
      <c r="U369" s="6">
        <v>86</v>
      </c>
      <c r="V369" s="6">
        <f>IF(ISERROR(VLOOKUP($S$369,'TAR FIN'!$A$1:$O$88,15,0)),0,VLOOKUP($S$369,'TAR FIN'!$A$1:$O$88,15,0))</f>
        <v>0</v>
      </c>
      <c r="W369" s="6">
        <f>IF(ISERROR(VLOOKUP($T$369,'TAR FIN'!$A$1:$O$88,15,0)),0,VLOOKUP($T$369,'TAR FIN'!$A$1:$O$88,15,0))</f>
        <v>0</v>
      </c>
      <c r="X369" s="6">
        <f>IF(ISERROR(VLOOKUP($U$369,'TAR FIN'!$A$1:$O$88,15,0)),0,VLOOKUP($U$369,'TAR FIN'!$A$1:$O$88,15,0))</f>
        <v>0</v>
      </c>
      <c r="Y369" s="6"/>
      <c r="Z369" s="6">
        <f ca="1">('TUSD BE'!$AM$50+'TUSD BF'!$AM$50+'TUSD CVA'!$AM$50)*1</f>
        <v>271.20538925133229</v>
      </c>
      <c r="AA369" s="6">
        <f>('TE BE'!$AB$41+'TE BF'!$AB$41+'TE CVA'!$AB$41)*1</f>
        <v>159.79142450578209</v>
      </c>
      <c r="AB369" s="6">
        <f>$K$369*$V$369</f>
        <v>0</v>
      </c>
      <c r="AC369" s="6">
        <f>$M$369*$W$369</f>
        <v>0</v>
      </c>
      <c r="AD369" s="6">
        <f>$O$369*$X$369</f>
        <v>0</v>
      </c>
      <c r="AE369" s="6">
        <f>$K$369*$Y$369</f>
        <v>0</v>
      </c>
      <c r="AF369" s="6">
        <f ca="1">$M$369*$Z$369</f>
        <v>7950.1147805135552</v>
      </c>
      <c r="AG369" s="6">
        <f>$O$369*$AA$369</f>
        <v>4684.1258179624965</v>
      </c>
    </row>
    <row r="370" spans="1:33" ht="11.25" customHeight="1" x14ac:dyDescent="0.25">
      <c r="A370" s="4" t="s">
        <v>21</v>
      </c>
      <c r="B370" s="4" t="s">
        <v>44</v>
      </c>
      <c r="C370" s="4" t="s">
        <v>23</v>
      </c>
      <c r="D370" s="4" t="s">
        <v>45</v>
      </c>
      <c r="E370" s="4" t="s">
        <v>46</v>
      </c>
      <c r="F370" s="4" t="s">
        <v>25</v>
      </c>
      <c r="G370" s="4" t="s">
        <v>25</v>
      </c>
      <c r="H370" s="4" t="s">
        <v>25</v>
      </c>
      <c r="I370" s="5">
        <v>44470</v>
      </c>
      <c r="J370" s="6">
        <v>0</v>
      </c>
      <c r="K370" s="6">
        <v>0</v>
      </c>
      <c r="L370" s="6">
        <v>30.283999999999999</v>
      </c>
      <c r="M370" s="6">
        <v>30.283999999999999</v>
      </c>
      <c r="N370" s="6">
        <v>30.283999999999999</v>
      </c>
      <c r="O370" s="6">
        <v>30.283999999999999</v>
      </c>
      <c r="P370" s="6">
        <v>1</v>
      </c>
      <c r="Q370" s="4" t="s">
        <v>26</v>
      </c>
      <c r="R370" s="4">
        <v>0</v>
      </c>
      <c r="S370" s="6">
        <v>0</v>
      </c>
      <c r="T370" s="6">
        <v>48</v>
      </c>
      <c r="U370" s="6">
        <v>86</v>
      </c>
      <c r="V370" s="6">
        <f>IF(ISERROR(VLOOKUP($S$370,'TAR FIN'!$A$1:$O$88,15,0)),0,VLOOKUP($S$370,'TAR FIN'!$A$1:$O$88,15,0))</f>
        <v>0</v>
      </c>
      <c r="W370" s="6">
        <f>IF(ISERROR(VLOOKUP($T$370,'TAR FIN'!$A$1:$O$88,15,0)),0,VLOOKUP($T$370,'TAR FIN'!$A$1:$O$88,15,0))</f>
        <v>0</v>
      </c>
      <c r="X370" s="6">
        <f>IF(ISERROR(VLOOKUP($U$370,'TAR FIN'!$A$1:$O$88,15,0)),0,VLOOKUP($U$370,'TAR FIN'!$A$1:$O$88,15,0))</f>
        <v>0</v>
      </c>
      <c r="Y370" s="6"/>
      <c r="Z370" s="6">
        <f ca="1">('TUSD BE'!$AM$50+'TUSD BF'!$AM$50+'TUSD CVA'!$AM$50)*1</f>
        <v>271.20538925133229</v>
      </c>
      <c r="AA370" s="6">
        <f>('TE BE'!$AB$41+'TE BF'!$AB$41+'TE CVA'!$AB$41)*1</f>
        <v>159.79142450578209</v>
      </c>
      <c r="AB370" s="6">
        <f>$K$370*$V$370</f>
        <v>0</v>
      </c>
      <c r="AC370" s="6">
        <f>$M$370*$W$370</f>
        <v>0</v>
      </c>
      <c r="AD370" s="6">
        <f>$O$370*$X$370</f>
        <v>0</v>
      </c>
      <c r="AE370" s="6">
        <f>$K$370*$Y$370</f>
        <v>0</v>
      </c>
      <c r="AF370" s="6">
        <f ca="1">$M$370*$Z$370</f>
        <v>8213.1840080873462</v>
      </c>
      <c r="AG370" s="6">
        <f>$O$370*$AA$370</f>
        <v>4839.1234997331048</v>
      </c>
    </row>
    <row r="371" spans="1:33" ht="11.25" customHeight="1" x14ac:dyDescent="0.25">
      <c r="A371" s="4" t="s">
        <v>21</v>
      </c>
      <c r="B371" s="4" t="s">
        <v>44</v>
      </c>
      <c r="C371" s="4" t="s">
        <v>23</v>
      </c>
      <c r="D371" s="4" t="s">
        <v>45</v>
      </c>
      <c r="E371" s="4" t="s">
        <v>46</v>
      </c>
      <c r="F371" s="4" t="s">
        <v>25</v>
      </c>
      <c r="G371" s="4" t="s">
        <v>25</v>
      </c>
      <c r="H371" s="4" t="s">
        <v>25</v>
      </c>
      <c r="I371" s="5">
        <v>44501</v>
      </c>
      <c r="J371" s="6">
        <v>0</v>
      </c>
      <c r="K371" s="6">
        <v>0</v>
      </c>
      <c r="L371" s="6">
        <v>29.344999999999999</v>
      </c>
      <c r="M371" s="6">
        <v>29.344999999999999</v>
      </c>
      <c r="N371" s="6">
        <v>29.344999999999999</v>
      </c>
      <c r="O371" s="6">
        <v>29.344999999999999</v>
      </c>
      <c r="P371" s="6">
        <v>1</v>
      </c>
      <c r="Q371" s="4" t="s">
        <v>26</v>
      </c>
      <c r="R371" s="4">
        <v>0</v>
      </c>
      <c r="S371" s="6">
        <v>0</v>
      </c>
      <c r="T371" s="6">
        <v>48</v>
      </c>
      <c r="U371" s="6">
        <v>86</v>
      </c>
      <c r="V371" s="6">
        <f>IF(ISERROR(VLOOKUP($S$371,'TAR FIN'!$A$1:$O$88,15,0)),0,VLOOKUP($S$371,'TAR FIN'!$A$1:$O$88,15,0))</f>
        <v>0</v>
      </c>
      <c r="W371" s="6">
        <f>IF(ISERROR(VLOOKUP($T$371,'TAR FIN'!$A$1:$O$88,15,0)),0,VLOOKUP($T$371,'TAR FIN'!$A$1:$O$88,15,0))</f>
        <v>0</v>
      </c>
      <c r="X371" s="6">
        <f>IF(ISERROR(VLOOKUP($U$371,'TAR FIN'!$A$1:$O$88,15,0)),0,VLOOKUP($U$371,'TAR FIN'!$A$1:$O$88,15,0))</f>
        <v>0</v>
      </c>
      <c r="Y371" s="6"/>
      <c r="Z371" s="6">
        <f ca="1">('TUSD BE'!$AM$50+'TUSD BF'!$AM$50+'TUSD CVA'!$AM$50)*1</f>
        <v>271.20538925133229</v>
      </c>
      <c r="AA371" s="6">
        <f>('TE BE'!$AB$41+'TE BF'!$AB$41+'TE CVA'!$AB$41)*1</f>
        <v>159.79142450578209</v>
      </c>
      <c r="AB371" s="6">
        <f>$K$371*$V$371</f>
        <v>0</v>
      </c>
      <c r="AC371" s="6">
        <f>$M$371*$W$371</f>
        <v>0</v>
      </c>
      <c r="AD371" s="6">
        <f>$O$371*$X$371</f>
        <v>0</v>
      </c>
      <c r="AE371" s="6">
        <f>$K$371*$Y$371</f>
        <v>0</v>
      </c>
      <c r="AF371" s="6">
        <f ca="1">$M$371*$Z$371</f>
        <v>7958.5221475803455</v>
      </c>
      <c r="AG371" s="6">
        <f>$O$371*$AA$371</f>
        <v>4689.0793521221749</v>
      </c>
    </row>
    <row r="372" spans="1:33" ht="11.25" customHeight="1" x14ac:dyDescent="0.25">
      <c r="A372" s="4" t="s">
        <v>21</v>
      </c>
      <c r="B372" s="4" t="s">
        <v>44</v>
      </c>
      <c r="C372" s="4" t="s">
        <v>23</v>
      </c>
      <c r="D372" s="4" t="s">
        <v>45</v>
      </c>
      <c r="E372" s="4" t="s">
        <v>46</v>
      </c>
      <c r="F372" s="4" t="s">
        <v>25</v>
      </c>
      <c r="G372" s="4" t="s">
        <v>25</v>
      </c>
      <c r="H372" s="4" t="s">
        <v>25</v>
      </c>
      <c r="I372" s="5">
        <v>44531</v>
      </c>
      <c r="J372" s="6">
        <v>0</v>
      </c>
      <c r="K372" s="6">
        <v>0</v>
      </c>
      <c r="L372" s="6">
        <v>31.134</v>
      </c>
      <c r="M372" s="6">
        <v>31.134</v>
      </c>
      <c r="N372" s="6">
        <v>31.134</v>
      </c>
      <c r="O372" s="6">
        <v>31.134</v>
      </c>
      <c r="P372" s="6">
        <v>1</v>
      </c>
      <c r="Q372" s="4" t="s">
        <v>26</v>
      </c>
      <c r="R372" s="4">
        <v>0</v>
      </c>
      <c r="S372" s="6">
        <v>0</v>
      </c>
      <c r="T372" s="6">
        <v>48</v>
      </c>
      <c r="U372" s="6">
        <v>86</v>
      </c>
      <c r="V372" s="6">
        <f>IF(ISERROR(VLOOKUP($S$372,'TAR FIN'!$A$1:$O$88,15,0)),0,VLOOKUP($S$372,'TAR FIN'!$A$1:$O$88,15,0))</f>
        <v>0</v>
      </c>
      <c r="W372" s="6">
        <f>IF(ISERROR(VLOOKUP($T$372,'TAR FIN'!$A$1:$O$88,15,0)),0,VLOOKUP($T$372,'TAR FIN'!$A$1:$O$88,15,0))</f>
        <v>0</v>
      </c>
      <c r="X372" s="6">
        <f>IF(ISERROR(VLOOKUP($U$372,'TAR FIN'!$A$1:$O$88,15,0)),0,VLOOKUP($U$372,'TAR FIN'!$A$1:$O$88,15,0))</f>
        <v>0</v>
      </c>
      <c r="Y372" s="6"/>
      <c r="Z372" s="6">
        <f ca="1">('TUSD BE'!$AM$50+'TUSD BF'!$AM$50+'TUSD CVA'!$AM$50)*1</f>
        <v>271.20538925133229</v>
      </c>
      <c r="AA372" s="6">
        <f>('TE BE'!$AB$41+'TE BF'!$AB$41+'TE CVA'!$AB$41)*1</f>
        <v>159.79142450578209</v>
      </c>
      <c r="AB372" s="6">
        <f>$K$372*$V$372</f>
        <v>0</v>
      </c>
      <c r="AC372" s="6">
        <f>$M$372*$W$372</f>
        <v>0</v>
      </c>
      <c r="AD372" s="6">
        <f>$O$372*$X$372</f>
        <v>0</v>
      </c>
      <c r="AE372" s="6">
        <f>$K$372*$Y$372</f>
        <v>0</v>
      </c>
      <c r="AF372" s="6">
        <f ca="1">$M$372*$Z$372</f>
        <v>8443.7085889509799</v>
      </c>
      <c r="AG372" s="6">
        <f>$O$372*$AA$372</f>
        <v>4974.94621056302</v>
      </c>
    </row>
    <row r="373" spans="1:33" ht="11.25" customHeight="1" x14ac:dyDescent="0.25">
      <c r="A373" s="4" t="s">
        <v>21</v>
      </c>
      <c r="B373" s="4" t="s">
        <v>44</v>
      </c>
      <c r="C373" s="4" t="s">
        <v>23</v>
      </c>
      <c r="D373" s="4" t="s">
        <v>45</v>
      </c>
      <c r="E373" s="4" t="s">
        <v>46</v>
      </c>
      <c r="F373" s="4" t="s">
        <v>25</v>
      </c>
      <c r="G373" s="4" t="s">
        <v>25</v>
      </c>
      <c r="H373" s="4" t="s">
        <v>25</v>
      </c>
      <c r="I373" s="5">
        <v>44562</v>
      </c>
      <c r="J373" s="6">
        <v>0</v>
      </c>
      <c r="K373" s="6">
        <v>0</v>
      </c>
      <c r="L373" s="6">
        <v>30.346</v>
      </c>
      <c r="M373" s="6">
        <v>30.346</v>
      </c>
      <c r="N373" s="6">
        <v>30.346</v>
      </c>
      <c r="O373" s="6">
        <v>30.346</v>
      </c>
      <c r="P373" s="6">
        <v>1</v>
      </c>
      <c r="Q373" s="4" t="s">
        <v>26</v>
      </c>
      <c r="R373" s="4">
        <v>0</v>
      </c>
      <c r="S373" s="6">
        <v>0</v>
      </c>
      <c r="T373" s="6">
        <v>48</v>
      </c>
      <c r="U373" s="6">
        <v>86</v>
      </c>
      <c r="V373" s="6">
        <f>IF(ISERROR(VLOOKUP($S$373,'TAR FIN'!$A$1:$O$88,15,0)),0,VLOOKUP($S$373,'TAR FIN'!$A$1:$O$88,15,0))</f>
        <v>0</v>
      </c>
      <c r="W373" s="6">
        <f>IF(ISERROR(VLOOKUP($T$373,'TAR FIN'!$A$1:$O$88,15,0)),0,VLOOKUP($T$373,'TAR FIN'!$A$1:$O$88,15,0))</f>
        <v>0</v>
      </c>
      <c r="X373" s="6">
        <f>IF(ISERROR(VLOOKUP($U$373,'TAR FIN'!$A$1:$O$88,15,0)),0,VLOOKUP($U$373,'TAR FIN'!$A$1:$O$88,15,0))</f>
        <v>0</v>
      </c>
      <c r="Y373" s="6"/>
      <c r="Z373" s="6">
        <f ca="1">('TUSD BE'!$AM$50+'TUSD BF'!$AM$50+'TUSD CVA'!$AM$50)*1</f>
        <v>271.20538925133229</v>
      </c>
      <c r="AA373" s="6">
        <f>('TE BE'!$AB$41+'TE BF'!$AB$41+'TE CVA'!$AB$41)*1</f>
        <v>159.79142450578209</v>
      </c>
      <c r="AB373" s="6">
        <f>$K$373*$V$373</f>
        <v>0</v>
      </c>
      <c r="AC373" s="6">
        <f>$M$373*$W$373</f>
        <v>0</v>
      </c>
      <c r="AD373" s="6">
        <f>$O$373*$X$373</f>
        <v>0</v>
      </c>
      <c r="AE373" s="6">
        <f>$K$373*$Y$373</f>
        <v>0</v>
      </c>
      <c r="AF373" s="6">
        <f ca="1">$M$373*$Z$373</f>
        <v>8229.9987422209306</v>
      </c>
      <c r="AG373" s="6">
        <f>$O$373*$AA$373</f>
        <v>4849.0305680524634</v>
      </c>
    </row>
    <row r="374" spans="1:33" ht="11.25" customHeight="1" x14ac:dyDescent="0.25">
      <c r="A374" s="4" t="s">
        <v>21</v>
      </c>
      <c r="B374" s="4" t="s">
        <v>44</v>
      </c>
      <c r="C374" s="4" t="s">
        <v>23</v>
      </c>
      <c r="D374" s="4" t="s">
        <v>45</v>
      </c>
      <c r="E374" s="4" t="s">
        <v>46</v>
      </c>
      <c r="F374" s="4" t="s">
        <v>25</v>
      </c>
      <c r="G374" s="4" t="s">
        <v>25</v>
      </c>
      <c r="H374" s="4" t="s">
        <v>25</v>
      </c>
      <c r="I374" s="5">
        <v>44593</v>
      </c>
      <c r="J374" s="6">
        <v>0</v>
      </c>
      <c r="K374" s="6">
        <v>0</v>
      </c>
      <c r="L374" s="6">
        <v>27.167000000000002</v>
      </c>
      <c r="M374" s="6">
        <v>27.167000000000002</v>
      </c>
      <c r="N374" s="6">
        <v>27.167000000000002</v>
      </c>
      <c r="O374" s="6">
        <v>27.167000000000002</v>
      </c>
      <c r="P374" s="6">
        <v>1</v>
      </c>
      <c r="Q374" s="4" t="s">
        <v>26</v>
      </c>
      <c r="R374" s="4">
        <v>0</v>
      </c>
      <c r="S374" s="6">
        <v>0</v>
      </c>
      <c r="T374" s="6">
        <v>48</v>
      </c>
      <c r="U374" s="6">
        <v>86</v>
      </c>
      <c r="V374" s="6">
        <f>IF(ISERROR(VLOOKUP($S$374,'TAR FIN'!$A$1:$O$88,15,0)),0,VLOOKUP($S$374,'TAR FIN'!$A$1:$O$88,15,0))</f>
        <v>0</v>
      </c>
      <c r="W374" s="6">
        <f>IF(ISERROR(VLOOKUP($T$374,'TAR FIN'!$A$1:$O$88,15,0)),0,VLOOKUP($T$374,'TAR FIN'!$A$1:$O$88,15,0))</f>
        <v>0</v>
      </c>
      <c r="X374" s="6">
        <f>IF(ISERROR(VLOOKUP($U$374,'TAR FIN'!$A$1:$O$88,15,0)),0,VLOOKUP($U$374,'TAR FIN'!$A$1:$O$88,15,0))</f>
        <v>0</v>
      </c>
      <c r="Y374" s="6"/>
      <c r="Z374" s="6">
        <f ca="1">('TUSD BE'!$AM$50+'TUSD BF'!$AM$50+'TUSD CVA'!$AM$50)*1</f>
        <v>271.20538925133229</v>
      </c>
      <c r="AA374" s="6">
        <f>('TE BE'!$AB$41+'TE BF'!$AB$41+'TE CVA'!$AB$41)*1</f>
        <v>159.79142450578209</v>
      </c>
      <c r="AB374" s="6">
        <f>$K$374*$V$374</f>
        <v>0</v>
      </c>
      <c r="AC374" s="6">
        <f>$M$374*$W$374</f>
        <v>0</v>
      </c>
      <c r="AD374" s="6">
        <f>$O$374*$X$374</f>
        <v>0</v>
      </c>
      <c r="AE374" s="6">
        <f>$K$374*$Y$374</f>
        <v>0</v>
      </c>
      <c r="AF374" s="6">
        <f ca="1">$M$374*$Z$374</f>
        <v>7367.8368097909452</v>
      </c>
      <c r="AG374" s="6">
        <f>$O$374*$AA$374</f>
        <v>4341.0536295485826</v>
      </c>
    </row>
    <row r="375" spans="1:33" ht="11.25" customHeight="1" x14ac:dyDescent="0.25">
      <c r="A375" s="4" t="s">
        <v>21</v>
      </c>
      <c r="B375" s="4" t="s">
        <v>44</v>
      </c>
      <c r="C375" s="4" t="s">
        <v>23</v>
      </c>
      <c r="D375" s="4" t="s">
        <v>45</v>
      </c>
      <c r="E375" s="4" t="s">
        <v>46</v>
      </c>
      <c r="F375" s="4" t="s">
        <v>25</v>
      </c>
      <c r="G375" s="4" t="s">
        <v>25</v>
      </c>
      <c r="H375" s="4" t="s">
        <v>25</v>
      </c>
      <c r="I375" s="5">
        <v>44621</v>
      </c>
      <c r="J375" s="6">
        <v>0</v>
      </c>
      <c r="K375" s="6">
        <v>0</v>
      </c>
      <c r="L375" s="6">
        <v>30.222000000000001</v>
      </c>
      <c r="M375" s="6">
        <v>30.222000000000001</v>
      </c>
      <c r="N375" s="6">
        <v>30.222000000000001</v>
      </c>
      <c r="O375" s="6">
        <v>30.222000000000001</v>
      </c>
      <c r="P375" s="6">
        <v>1</v>
      </c>
      <c r="Q375" s="4" t="s">
        <v>26</v>
      </c>
      <c r="R375" s="4">
        <v>0</v>
      </c>
      <c r="S375" s="6">
        <v>0</v>
      </c>
      <c r="T375" s="6">
        <v>48</v>
      </c>
      <c r="U375" s="6">
        <v>86</v>
      </c>
      <c r="V375" s="6">
        <f>IF(ISERROR(VLOOKUP($S$375,'TAR FIN'!$A$1:$O$88,15,0)),0,VLOOKUP($S$375,'TAR FIN'!$A$1:$O$88,15,0))</f>
        <v>0</v>
      </c>
      <c r="W375" s="6">
        <f>IF(ISERROR(VLOOKUP($T$375,'TAR FIN'!$A$1:$O$88,15,0)),0,VLOOKUP($T$375,'TAR FIN'!$A$1:$O$88,15,0))</f>
        <v>0</v>
      </c>
      <c r="X375" s="6">
        <f>IF(ISERROR(VLOOKUP($U$375,'TAR FIN'!$A$1:$O$88,15,0)),0,VLOOKUP($U$375,'TAR FIN'!$A$1:$O$88,15,0))</f>
        <v>0</v>
      </c>
      <c r="Y375" s="6"/>
      <c r="Z375" s="6">
        <f ca="1">('TUSD BE'!$AM$50+'TUSD BF'!$AM$50+'TUSD CVA'!$AM$50)*1</f>
        <v>271.20538925133229</v>
      </c>
      <c r="AA375" s="6">
        <f>('TE BE'!$AB$41+'TE BF'!$AB$41+'TE CVA'!$AB$41)*1</f>
        <v>159.79142450578209</v>
      </c>
      <c r="AB375" s="6">
        <f>$K$375*$V$375</f>
        <v>0</v>
      </c>
      <c r="AC375" s="6">
        <f>$M$375*$W$375</f>
        <v>0</v>
      </c>
      <c r="AD375" s="6">
        <f>$O$375*$X$375</f>
        <v>0</v>
      </c>
      <c r="AE375" s="6">
        <f>$K$375*$Y$375</f>
        <v>0</v>
      </c>
      <c r="AF375" s="6">
        <f ca="1">$M$375*$Z$375</f>
        <v>8196.3692739537655</v>
      </c>
      <c r="AG375" s="6">
        <f>$O$375*$AA$375</f>
        <v>4829.2164314137462</v>
      </c>
    </row>
    <row r="376" spans="1:33" ht="11.25" customHeight="1" x14ac:dyDescent="0.25">
      <c r="A376" s="4" t="s">
        <v>21</v>
      </c>
      <c r="B376" s="4" t="s">
        <v>44</v>
      </c>
      <c r="C376" s="4" t="s">
        <v>23</v>
      </c>
      <c r="D376" s="4" t="s">
        <v>45</v>
      </c>
      <c r="E376" s="4" t="s">
        <v>46</v>
      </c>
      <c r="F376" s="4" t="s">
        <v>25</v>
      </c>
      <c r="G376" s="4" t="s">
        <v>25</v>
      </c>
      <c r="H376" s="4" t="s">
        <v>25</v>
      </c>
      <c r="I376" s="5">
        <v>44652</v>
      </c>
      <c r="J376" s="6">
        <v>0</v>
      </c>
      <c r="K376" s="6">
        <v>0</v>
      </c>
      <c r="L376" s="6">
        <v>29.305</v>
      </c>
      <c r="M376" s="6">
        <v>29.305</v>
      </c>
      <c r="N376" s="6">
        <v>29.305</v>
      </c>
      <c r="O376" s="6">
        <v>29.305</v>
      </c>
      <c r="P376" s="6">
        <v>1</v>
      </c>
      <c r="Q376" s="4" t="s">
        <v>26</v>
      </c>
      <c r="R376" s="4">
        <v>0</v>
      </c>
      <c r="S376" s="6">
        <v>0</v>
      </c>
      <c r="T376" s="6">
        <v>48</v>
      </c>
      <c r="U376" s="6">
        <v>86</v>
      </c>
      <c r="V376" s="6">
        <f>IF(ISERROR(VLOOKUP($S$376,'TAR FIN'!$A$1:$O$88,15,0)),0,VLOOKUP($S$376,'TAR FIN'!$A$1:$O$88,15,0))</f>
        <v>0</v>
      </c>
      <c r="W376" s="6">
        <f>IF(ISERROR(VLOOKUP($T$376,'TAR FIN'!$A$1:$O$88,15,0)),0,VLOOKUP($T$376,'TAR FIN'!$A$1:$O$88,15,0))</f>
        <v>0</v>
      </c>
      <c r="X376" s="6">
        <f>IF(ISERROR(VLOOKUP($U$376,'TAR FIN'!$A$1:$O$88,15,0)),0,VLOOKUP($U$376,'TAR FIN'!$A$1:$O$88,15,0))</f>
        <v>0</v>
      </c>
      <c r="Y376" s="6"/>
      <c r="Z376" s="6">
        <f ca="1">('TUSD BE'!$AM$50+'TUSD BF'!$AM$50+'TUSD CVA'!$AM$50)*1</f>
        <v>271.20538925133229</v>
      </c>
      <c r="AA376" s="6">
        <f>('TE BE'!$AB$41+'TE BF'!$AB$41+'TE CVA'!$AB$41)*1</f>
        <v>159.79142450578209</v>
      </c>
      <c r="AB376" s="6">
        <f>$K$376*$V$376</f>
        <v>0</v>
      </c>
      <c r="AC376" s="6">
        <f>$M$376*$W$376</f>
        <v>0</v>
      </c>
      <c r="AD376" s="6">
        <f>$O$376*$X$376</f>
        <v>0</v>
      </c>
      <c r="AE376" s="6">
        <f>$K$376*$Y$376</f>
        <v>0</v>
      </c>
      <c r="AF376" s="6">
        <f ca="1">$M$376*$Z$376</f>
        <v>7947.6739320102924</v>
      </c>
      <c r="AG376" s="6">
        <f>$O$376*$AA$376</f>
        <v>4682.6876951419445</v>
      </c>
    </row>
    <row r="377" spans="1:33" ht="11.25" customHeight="1" x14ac:dyDescent="0.25">
      <c r="A377" s="4" t="s">
        <v>21</v>
      </c>
      <c r="B377" s="4" t="s">
        <v>44</v>
      </c>
      <c r="C377" s="4" t="s">
        <v>23</v>
      </c>
      <c r="D377" s="4" t="s">
        <v>45</v>
      </c>
      <c r="E377" s="4" t="s">
        <v>46</v>
      </c>
      <c r="F377" s="4" t="s">
        <v>25</v>
      </c>
      <c r="G377" s="4" t="s">
        <v>25</v>
      </c>
      <c r="H377" s="4" t="s">
        <v>25</v>
      </c>
      <c r="I377" s="5">
        <v>44682</v>
      </c>
      <c r="J377" s="6">
        <v>0</v>
      </c>
      <c r="K377" s="6">
        <v>0</v>
      </c>
      <c r="L377" s="6">
        <v>30.077000000000002</v>
      </c>
      <c r="M377" s="6">
        <v>30.077000000000002</v>
      </c>
      <c r="N377" s="6">
        <v>30.077000000000002</v>
      </c>
      <c r="O377" s="6">
        <v>30.077000000000002</v>
      </c>
      <c r="P377" s="6">
        <v>1</v>
      </c>
      <c r="Q377" s="4" t="s">
        <v>26</v>
      </c>
      <c r="R377" s="4">
        <v>0</v>
      </c>
      <c r="S377" s="6">
        <v>0</v>
      </c>
      <c r="T377" s="6">
        <v>48</v>
      </c>
      <c r="U377" s="6">
        <v>86</v>
      </c>
      <c r="V377" s="6">
        <f>IF(ISERROR(VLOOKUP($S$377,'TAR FIN'!$A$1:$O$88,15,0)),0,VLOOKUP($S$377,'TAR FIN'!$A$1:$O$88,15,0))</f>
        <v>0</v>
      </c>
      <c r="W377" s="6">
        <f>IF(ISERROR(VLOOKUP($T$377,'TAR FIN'!$A$1:$O$88,15,0)),0,VLOOKUP($T$377,'TAR FIN'!$A$1:$O$88,15,0))</f>
        <v>0</v>
      </c>
      <c r="X377" s="6">
        <f>IF(ISERROR(VLOOKUP($U$377,'TAR FIN'!$A$1:$O$88,15,0)),0,VLOOKUP($U$377,'TAR FIN'!$A$1:$O$88,15,0))</f>
        <v>0</v>
      </c>
      <c r="Y377" s="6"/>
      <c r="Z377" s="6">
        <f ca="1">('TUSD BE'!$AM$50+'TUSD BF'!$AM$50+'TUSD CVA'!$AM$50)*1</f>
        <v>271.20538925133229</v>
      </c>
      <c r="AA377" s="6">
        <f>('TE BE'!$AB$41+'TE BF'!$AB$41+'TE CVA'!$AB$41)*1</f>
        <v>159.79142450578209</v>
      </c>
      <c r="AB377" s="6">
        <f>$K$377*$V$377</f>
        <v>0</v>
      </c>
      <c r="AC377" s="6">
        <f>$M$377*$W$377</f>
        <v>0</v>
      </c>
      <c r="AD377" s="6">
        <f>$O$377*$X$377</f>
        <v>0</v>
      </c>
      <c r="AE377" s="6">
        <f>$K$377*$Y$377</f>
        <v>0</v>
      </c>
      <c r="AF377" s="6">
        <f ca="1">$M$377*$Z$377</f>
        <v>8157.044492512322</v>
      </c>
      <c r="AG377" s="6">
        <f>$O$377*$AA$377</f>
        <v>4806.0466748604085</v>
      </c>
    </row>
    <row r="378" spans="1:33" ht="11.25" customHeight="1" x14ac:dyDescent="0.25">
      <c r="A378" s="4" t="s">
        <v>21</v>
      </c>
      <c r="B378" s="4" t="s">
        <v>44</v>
      </c>
      <c r="C378" s="4" t="s">
        <v>23</v>
      </c>
      <c r="D378" s="4" t="s">
        <v>45</v>
      </c>
      <c r="E378" s="4" t="s">
        <v>46</v>
      </c>
      <c r="F378" s="4" t="s">
        <v>25</v>
      </c>
      <c r="G378" s="4" t="s">
        <v>25</v>
      </c>
      <c r="H378" s="4" t="s">
        <v>25</v>
      </c>
      <c r="I378" s="5">
        <v>44713</v>
      </c>
      <c r="J378" s="6">
        <v>0</v>
      </c>
      <c r="K378" s="6">
        <v>0</v>
      </c>
      <c r="L378" s="6">
        <v>29.158000000000001</v>
      </c>
      <c r="M378" s="6">
        <v>29.158000000000001</v>
      </c>
      <c r="N378" s="6">
        <v>29.158000000000001</v>
      </c>
      <c r="O378" s="6">
        <v>29.158000000000001</v>
      </c>
      <c r="P378" s="6">
        <v>1</v>
      </c>
      <c r="Q378" s="4" t="s">
        <v>26</v>
      </c>
      <c r="R378" s="4">
        <v>0</v>
      </c>
      <c r="S378" s="6">
        <v>0</v>
      </c>
      <c r="T378" s="6">
        <v>48</v>
      </c>
      <c r="U378" s="6">
        <v>86</v>
      </c>
      <c r="V378" s="6">
        <f>IF(ISERROR(VLOOKUP($S$378,'TAR FIN'!$A$1:$O$88,15,0)),0,VLOOKUP($S$378,'TAR FIN'!$A$1:$O$88,15,0))</f>
        <v>0</v>
      </c>
      <c r="W378" s="6">
        <f>IF(ISERROR(VLOOKUP($T$378,'TAR FIN'!$A$1:$O$88,15,0)),0,VLOOKUP($T$378,'TAR FIN'!$A$1:$O$88,15,0))</f>
        <v>0</v>
      </c>
      <c r="X378" s="6">
        <f>IF(ISERROR(VLOOKUP($U$378,'TAR FIN'!$A$1:$O$88,15,0)),0,VLOOKUP($U$378,'TAR FIN'!$A$1:$O$88,15,0))</f>
        <v>0</v>
      </c>
      <c r="Y378" s="6"/>
      <c r="Z378" s="6">
        <f ca="1">('TUSD BE'!$AM$50+'TUSD BF'!$AM$50+'TUSD CVA'!$AM$50)*1</f>
        <v>271.20538925133229</v>
      </c>
      <c r="AA378" s="6">
        <f>('TE BE'!$AB$41+'TE BF'!$AB$41+'TE CVA'!$AB$41)*1</f>
        <v>159.79142450578209</v>
      </c>
      <c r="AB378" s="6">
        <f>$K$378*$V$378</f>
        <v>0</v>
      </c>
      <c r="AC378" s="6">
        <f>$M$378*$W$378</f>
        <v>0</v>
      </c>
      <c r="AD378" s="6">
        <f>$O$378*$X$378</f>
        <v>0</v>
      </c>
      <c r="AE378" s="6">
        <f>$K$378*$Y$378</f>
        <v>0</v>
      </c>
      <c r="AF378" s="6">
        <f ca="1">$M$378*$Z$378</f>
        <v>7907.8067397903469</v>
      </c>
      <c r="AG378" s="6">
        <f>$O$378*$AA$378</f>
        <v>4659.1983557395943</v>
      </c>
    </row>
    <row r="379" spans="1:33" ht="11.25" customHeight="1" x14ac:dyDescent="0.25">
      <c r="A379" s="4" t="s">
        <v>21</v>
      </c>
      <c r="B379" s="4" t="s">
        <v>44</v>
      </c>
      <c r="C379" s="4" t="s">
        <v>23</v>
      </c>
      <c r="D379" s="4" t="s">
        <v>45</v>
      </c>
      <c r="E379" s="4" t="s">
        <v>46</v>
      </c>
      <c r="F379" s="4" t="s">
        <v>25</v>
      </c>
      <c r="G379" s="4" t="s">
        <v>25</v>
      </c>
      <c r="H379" s="4" t="s">
        <v>25</v>
      </c>
      <c r="I379" s="5">
        <v>44743</v>
      </c>
      <c r="J379" s="6">
        <v>0</v>
      </c>
      <c r="K379" s="6">
        <v>0</v>
      </c>
      <c r="L379" s="6">
        <v>30.065000000000001</v>
      </c>
      <c r="M379" s="6">
        <v>30.065000000000001</v>
      </c>
      <c r="N379" s="6">
        <v>30.065000000000001</v>
      </c>
      <c r="O379" s="6">
        <v>30.065000000000001</v>
      </c>
      <c r="P379" s="6">
        <v>1</v>
      </c>
      <c r="Q379" s="4" t="s">
        <v>26</v>
      </c>
      <c r="R379" s="4">
        <v>0</v>
      </c>
      <c r="S379" s="6">
        <v>0</v>
      </c>
      <c r="T379" s="6">
        <v>48</v>
      </c>
      <c r="U379" s="6">
        <v>86</v>
      </c>
      <c r="V379" s="6">
        <f>IF(ISERROR(VLOOKUP($S$379,'TAR FIN'!$A$1:$O$88,15,0)),0,VLOOKUP($S$379,'TAR FIN'!$A$1:$O$88,15,0))</f>
        <v>0</v>
      </c>
      <c r="W379" s="6">
        <f>IF(ISERROR(VLOOKUP($T$379,'TAR FIN'!$A$1:$O$88,15,0)),0,VLOOKUP($T$379,'TAR FIN'!$A$1:$O$88,15,0))</f>
        <v>0</v>
      </c>
      <c r="X379" s="6">
        <f>IF(ISERROR(VLOOKUP($U$379,'TAR FIN'!$A$1:$O$88,15,0)),0,VLOOKUP($U$379,'TAR FIN'!$A$1:$O$88,15,0))</f>
        <v>0</v>
      </c>
      <c r="Y379" s="6"/>
      <c r="Z379" s="6">
        <f ca="1">('TUSD BE'!$AM$50+'TUSD BF'!$AM$50+'TUSD CVA'!$AM$50)*1</f>
        <v>271.20538925133229</v>
      </c>
      <c r="AA379" s="6">
        <f>('TE BE'!$AB$41+'TE BF'!$AB$41+'TE CVA'!$AB$41)*1</f>
        <v>159.79142450578209</v>
      </c>
      <c r="AB379" s="6">
        <f>$K$379*$V$379</f>
        <v>0</v>
      </c>
      <c r="AC379" s="6">
        <f>$M$379*$W$379</f>
        <v>0</v>
      </c>
      <c r="AD379" s="6">
        <f>$O$379*$X$379</f>
        <v>0</v>
      </c>
      <c r="AE379" s="6">
        <f>$K$379*$Y$379</f>
        <v>0</v>
      </c>
      <c r="AF379" s="6">
        <f ca="1">$M$379*$Z$379</f>
        <v>8153.7900278413053</v>
      </c>
      <c r="AG379" s="6">
        <f>$O$379*$AA$379</f>
        <v>4804.1291777663391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8819-DB21-4B1E-A2AA-E592566F50DE}">
  <sheetPr codeName="Planilha18"/>
  <dimension ref="A1:AJ380"/>
  <sheetViews>
    <sheetView showGridLines="0" topLeftCell="AC1" workbookViewId="0">
      <selection activeCell="AJ2" sqref="AJ2:AJ8"/>
    </sheetView>
  </sheetViews>
  <sheetFormatPr defaultColWidth="9.140625" defaultRowHeight="11.25" customHeight="1" x14ac:dyDescent="0.25"/>
  <cols>
    <col min="1" max="1" width="15.8554687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5" width="8.7109375" style="4" bestFit="1" customWidth="1"/>
    <col min="36" max="36" width="12.7109375" style="4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H1" s="34" t="s">
        <v>619</v>
      </c>
      <c r="AI1" s="34" t="s">
        <v>624</v>
      </c>
      <c r="AJ1" s="34" t="s">
        <v>625</v>
      </c>
    </row>
    <row r="2" spans="1:36" ht="11.25" customHeight="1" x14ac:dyDescent="0.25">
      <c r="A2" s="4" t="s">
        <v>21</v>
      </c>
      <c r="B2" s="4" t="s">
        <v>34</v>
      </c>
      <c r="C2" s="4" t="s">
        <v>35</v>
      </c>
      <c r="D2" s="4" t="s">
        <v>33</v>
      </c>
      <c r="E2" s="4" t="s">
        <v>25</v>
      </c>
      <c r="F2" s="4" t="s">
        <v>50</v>
      </c>
      <c r="G2" s="4" t="s">
        <v>25</v>
      </c>
      <c r="H2" s="4" t="s">
        <v>37</v>
      </c>
      <c r="I2" s="5">
        <v>44409</v>
      </c>
      <c r="J2" s="6">
        <v>0</v>
      </c>
      <c r="K2" s="6">
        <v>0</v>
      </c>
      <c r="L2" s="6">
        <v>399.43</v>
      </c>
      <c r="M2" s="6">
        <v>399.43</v>
      </c>
      <c r="N2" s="6">
        <v>0</v>
      </c>
      <c r="O2" s="6">
        <v>0</v>
      </c>
      <c r="P2" s="6">
        <v>0</v>
      </c>
      <c r="Q2" s="4" t="s">
        <v>51</v>
      </c>
      <c r="R2" s="4">
        <v>0</v>
      </c>
      <c r="S2" s="4">
        <v>0</v>
      </c>
      <c r="T2" s="4">
        <v>8</v>
      </c>
      <c r="U2" s="4">
        <v>0</v>
      </c>
      <c r="V2" s="6">
        <f>IF(ISERROR(VLOOKUP($S$2,'TAR FIN'!$A$1:$O$88,15,0)),0,VLOOKUP($S$2,'TAR FIN'!$A$1:$O$88,15,0))</f>
        <v>0</v>
      </c>
      <c r="W2" s="6">
        <f>IF(ISERROR(VLOOKUP($T$2,'TAR FIN'!$A$1:$O$88,15,0)),0,VLOOKUP($T$2,'TAR FIN'!$A$1:$O$88,15,0))</f>
        <v>70.19</v>
      </c>
      <c r="X2" s="6">
        <f>IF(ISERROR(VLOOKUP($U$2,'TAR FIN'!$A$1:$O$88,15,0)),0,VLOOKUP($U$2,'TAR FIN'!$A$1:$O$88,15,0))</f>
        <v>0</v>
      </c>
      <c r="Y2" s="6"/>
      <c r="Z2" s="6">
        <f ca="1">('TUSD BE'!$AM$12+'TUSD BF'!$AM$12+'TUSD CVA'!$AM$12)*1</f>
        <v>110.00224235361931</v>
      </c>
      <c r="AA2" s="6"/>
      <c r="AB2" s="6">
        <f t="shared" ref="AB2:AB33" si="0">(J2-K2)*V2</f>
        <v>0</v>
      </c>
      <c r="AC2" s="6">
        <f t="shared" ref="AC2:AC38" si="1">(L2-M2)*W2+(N2-O2)*X2</f>
        <v>0</v>
      </c>
      <c r="AD2" s="6">
        <f t="shared" ref="AD2:AD33" si="2">(J2-K2)*Y2</f>
        <v>0</v>
      </c>
      <c r="AE2" s="6">
        <f t="shared" ref="AE2:AE38" ca="1" si="3">(L2-M2)*Z2+(N2-O2)*AA2</f>
        <v>0</v>
      </c>
      <c r="AF2" s="4" t="s">
        <v>620</v>
      </c>
      <c r="AH2" s="35" t="s">
        <v>620</v>
      </c>
      <c r="AI2" s="36">
        <f t="shared" ref="AI2:AI9" si="4">SUMIF($AF$2:$AF$380,AH2,$AB$2:$AB$380)+SUMIF($AF$2:$AF$380,AH2,$AC$2:$AC$380)</f>
        <v>537025.46183358226</v>
      </c>
      <c r="AJ2" s="36">
        <f t="shared" ref="AJ2:AJ8" ca="1" si="5">SUMIF($AF$2:$AF$380,AH2,$AD$2:$AD$380)+SUMIF($AF$2:$AF$380,AH2,$AE$2:$AE$380)</f>
        <v>479134.54343941977</v>
      </c>
    </row>
    <row r="3" spans="1:36" ht="11.25" customHeight="1" x14ac:dyDescent="0.25">
      <c r="A3" s="4" t="s">
        <v>21</v>
      </c>
      <c r="B3" s="4" t="s">
        <v>34</v>
      </c>
      <c r="C3" s="4" t="s">
        <v>35</v>
      </c>
      <c r="D3" s="4" t="s">
        <v>33</v>
      </c>
      <c r="E3" s="4" t="s">
        <v>25</v>
      </c>
      <c r="F3" s="4" t="s">
        <v>50</v>
      </c>
      <c r="G3" s="4" t="s">
        <v>25</v>
      </c>
      <c r="H3" s="4" t="s">
        <v>37</v>
      </c>
      <c r="I3" s="5">
        <v>44440</v>
      </c>
      <c r="J3" s="6">
        <v>0</v>
      </c>
      <c r="K3" s="6">
        <v>0</v>
      </c>
      <c r="L3" s="6">
        <v>374.197</v>
      </c>
      <c r="M3" s="6">
        <v>374.197</v>
      </c>
      <c r="N3" s="6">
        <v>0</v>
      </c>
      <c r="O3" s="6">
        <v>0</v>
      </c>
      <c r="P3" s="6">
        <v>0</v>
      </c>
      <c r="Q3" s="4" t="s">
        <v>51</v>
      </c>
      <c r="R3" s="4">
        <v>0</v>
      </c>
      <c r="S3" s="4">
        <v>0</v>
      </c>
      <c r="T3" s="4">
        <v>8</v>
      </c>
      <c r="U3" s="4">
        <v>0</v>
      </c>
      <c r="V3" s="6">
        <f>IF(ISERROR(VLOOKUP($S$3,'TAR FIN'!$A$1:$O$88,15,0)),0,VLOOKUP($S$3,'TAR FIN'!$A$1:$O$88,15,0))</f>
        <v>0</v>
      </c>
      <c r="W3" s="6">
        <f>IF(ISERROR(VLOOKUP($T$3,'TAR FIN'!$A$1:$O$88,15,0)),0,VLOOKUP($T$3,'TAR FIN'!$A$1:$O$88,15,0))</f>
        <v>70.19</v>
      </c>
      <c r="X3" s="6">
        <f>IF(ISERROR(VLOOKUP($U$3,'TAR FIN'!$A$1:$O$88,15,0)),0,VLOOKUP($U$3,'TAR FIN'!$A$1:$O$88,15,0))</f>
        <v>0</v>
      </c>
      <c r="Y3" s="6"/>
      <c r="Z3" s="6">
        <f ca="1">('TUSD BE'!$AM$12+'TUSD BF'!$AM$12+'TUSD CVA'!$AM$12)*1</f>
        <v>110.00224235361931</v>
      </c>
      <c r="AA3" s="6"/>
      <c r="AB3" s="6">
        <f t="shared" si="0"/>
        <v>0</v>
      </c>
      <c r="AC3" s="6">
        <f t="shared" si="1"/>
        <v>0</v>
      </c>
      <c r="AD3" s="6">
        <f t="shared" si="2"/>
        <v>0</v>
      </c>
      <c r="AE3" s="6">
        <f t="shared" ca="1" si="3"/>
        <v>0</v>
      </c>
      <c r="AF3" s="4" t="s">
        <v>620</v>
      </c>
      <c r="AH3" s="35" t="s">
        <v>626</v>
      </c>
      <c r="AI3" s="36">
        <f t="shared" si="4"/>
        <v>0</v>
      </c>
      <c r="AJ3" s="36">
        <f t="shared" si="5"/>
        <v>0</v>
      </c>
    </row>
    <row r="4" spans="1:36" ht="11.25" customHeight="1" x14ac:dyDescent="0.25">
      <c r="A4" s="4" t="s">
        <v>21</v>
      </c>
      <c r="B4" s="4" t="s">
        <v>34</v>
      </c>
      <c r="C4" s="4" t="s">
        <v>35</v>
      </c>
      <c r="D4" s="4" t="s">
        <v>33</v>
      </c>
      <c r="E4" s="4" t="s">
        <v>25</v>
      </c>
      <c r="F4" s="4" t="s">
        <v>50</v>
      </c>
      <c r="G4" s="4" t="s">
        <v>25</v>
      </c>
      <c r="H4" s="4" t="s">
        <v>37</v>
      </c>
      <c r="I4" s="5">
        <v>44470</v>
      </c>
      <c r="J4" s="6">
        <v>0</v>
      </c>
      <c r="K4" s="6">
        <v>0</v>
      </c>
      <c r="L4" s="6">
        <v>383.92899999999997</v>
      </c>
      <c r="M4" s="6">
        <v>383.92899999999997</v>
      </c>
      <c r="N4" s="6">
        <v>0</v>
      </c>
      <c r="O4" s="6">
        <v>0</v>
      </c>
      <c r="P4" s="6">
        <v>0</v>
      </c>
      <c r="Q4" s="4" t="s">
        <v>51</v>
      </c>
      <c r="R4" s="4">
        <v>0</v>
      </c>
      <c r="S4" s="4">
        <v>0</v>
      </c>
      <c r="T4" s="4">
        <v>8</v>
      </c>
      <c r="U4" s="4">
        <v>0</v>
      </c>
      <c r="V4" s="6">
        <f>IF(ISERROR(VLOOKUP($S$4,'TAR FIN'!$A$1:$O$88,15,0)),0,VLOOKUP($S$4,'TAR FIN'!$A$1:$O$88,15,0))</f>
        <v>0</v>
      </c>
      <c r="W4" s="6">
        <f>IF(ISERROR(VLOOKUP($T$4,'TAR FIN'!$A$1:$O$88,15,0)),0,VLOOKUP($T$4,'TAR FIN'!$A$1:$O$88,15,0))</f>
        <v>70.19</v>
      </c>
      <c r="X4" s="6">
        <f>IF(ISERROR(VLOOKUP($U$4,'TAR FIN'!$A$1:$O$88,15,0)),0,VLOOKUP($U$4,'TAR FIN'!$A$1:$O$88,15,0))</f>
        <v>0</v>
      </c>
      <c r="Y4" s="6"/>
      <c r="Z4" s="6">
        <f ca="1">('TUSD BE'!$AM$12+'TUSD BF'!$AM$12+'TUSD CVA'!$AM$12)*1</f>
        <v>110.00224235361931</v>
      </c>
      <c r="AA4" s="6"/>
      <c r="AB4" s="6">
        <f t="shared" si="0"/>
        <v>0</v>
      </c>
      <c r="AC4" s="6">
        <f t="shared" si="1"/>
        <v>0</v>
      </c>
      <c r="AD4" s="6">
        <f t="shared" si="2"/>
        <v>0</v>
      </c>
      <c r="AE4" s="6">
        <f t="shared" ca="1" si="3"/>
        <v>0</v>
      </c>
      <c r="AF4" s="4" t="s">
        <v>620</v>
      </c>
      <c r="AH4" s="35" t="s">
        <v>627</v>
      </c>
      <c r="AI4" s="36">
        <f t="shared" si="4"/>
        <v>0</v>
      </c>
      <c r="AJ4" s="36">
        <f t="shared" si="5"/>
        <v>0</v>
      </c>
    </row>
    <row r="5" spans="1:36" ht="11.25" customHeight="1" x14ac:dyDescent="0.25">
      <c r="A5" s="4" t="s">
        <v>21</v>
      </c>
      <c r="B5" s="4" t="s">
        <v>34</v>
      </c>
      <c r="C5" s="4" t="s">
        <v>35</v>
      </c>
      <c r="D5" s="4" t="s">
        <v>33</v>
      </c>
      <c r="E5" s="4" t="s">
        <v>25</v>
      </c>
      <c r="F5" s="4" t="s">
        <v>50</v>
      </c>
      <c r="G5" s="4" t="s">
        <v>25</v>
      </c>
      <c r="H5" s="4" t="s">
        <v>37</v>
      </c>
      <c r="I5" s="5">
        <v>44501</v>
      </c>
      <c r="J5" s="6">
        <v>0</v>
      </c>
      <c r="K5" s="6">
        <v>0</v>
      </c>
      <c r="L5" s="6">
        <v>492.41399999999999</v>
      </c>
      <c r="M5" s="6">
        <v>492.41399999999999</v>
      </c>
      <c r="N5" s="6">
        <v>0</v>
      </c>
      <c r="O5" s="6">
        <v>0</v>
      </c>
      <c r="P5" s="6">
        <v>0</v>
      </c>
      <c r="Q5" s="4" t="s">
        <v>51</v>
      </c>
      <c r="R5" s="4">
        <v>0</v>
      </c>
      <c r="S5" s="4">
        <v>0</v>
      </c>
      <c r="T5" s="4">
        <v>8</v>
      </c>
      <c r="U5" s="4">
        <v>0</v>
      </c>
      <c r="V5" s="6">
        <f>IF(ISERROR(VLOOKUP($S$5,'TAR FIN'!$A$1:$O$88,15,0)),0,VLOOKUP($S$5,'TAR FIN'!$A$1:$O$88,15,0))</f>
        <v>0</v>
      </c>
      <c r="W5" s="6">
        <f>IF(ISERROR(VLOOKUP($T$5,'TAR FIN'!$A$1:$O$88,15,0)),0,VLOOKUP($T$5,'TAR FIN'!$A$1:$O$88,15,0))</f>
        <v>70.19</v>
      </c>
      <c r="X5" s="6">
        <f>IF(ISERROR(VLOOKUP($U$5,'TAR FIN'!$A$1:$O$88,15,0)),0,VLOOKUP($U$5,'TAR FIN'!$A$1:$O$88,15,0))</f>
        <v>0</v>
      </c>
      <c r="Y5" s="6"/>
      <c r="Z5" s="6">
        <f ca="1">('TUSD BE'!$AM$12+'TUSD BF'!$AM$12+'TUSD CVA'!$AM$12)*1</f>
        <v>110.00224235361931</v>
      </c>
      <c r="AA5" s="6"/>
      <c r="AB5" s="6">
        <f t="shared" si="0"/>
        <v>0</v>
      </c>
      <c r="AC5" s="6">
        <f t="shared" si="1"/>
        <v>0</v>
      </c>
      <c r="AD5" s="6">
        <f t="shared" si="2"/>
        <v>0</v>
      </c>
      <c r="AE5" s="6">
        <f t="shared" ca="1" si="3"/>
        <v>0</v>
      </c>
      <c r="AF5" s="4" t="s">
        <v>620</v>
      </c>
      <c r="AH5" s="35" t="s">
        <v>623</v>
      </c>
      <c r="AI5" s="36">
        <f t="shared" si="4"/>
        <v>0</v>
      </c>
      <c r="AJ5" s="36">
        <f t="shared" ca="1" si="5"/>
        <v>246.82012078014236</v>
      </c>
    </row>
    <row r="6" spans="1:36" ht="11.25" customHeight="1" x14ac:dyDescent="0.25">
      <c r="A6" s="4" t="s">
        <v>21</v>
      </c>
      <c r="B6" s="4" t="s">
        <v>34</v>
      </c>
      <c r="C6" s="4" t="s">
        <v>35</v>
      </c>
      <c r="D6" s="4" t="s">
        <v>33</v>
      </c>
      <c r="E6" s="4" t="s">
        <v>25</v>
      </c>
      <c r="F6" s="4" t="s">
        <v>50</v>
      </c>
      <c r="G6" s="4" t="s">
        <v>25</v>
      </c>
      <c r="H6" s="4" t="s">
        <v>37</v>
      </c>
      <c r="I6" s="5">
        <v>44531</v>
      </c>
      <c r="J6" s="6">
        <v>0</v>
      </c>
      <c r="K6" s="6">
        <v>0</v>
      </c>
      <c r="L6" s="6">
        <v>512.43600000000004</v>
      </c>
      <c r="M6" s="6">
        <v>512.43600000000004</v>
      </c>
      <c r="N6" s="6">
        <v>0</v>
      </c>
      <c r="O6" s="6">
        <v>0</v>
      </c>
      <c r="P6" s="6">
        <v>0</v>
      </c>
      <c r="Q6" s="4" t="s">
        <v>51</v>
      </c>
      <c r="R6" s="4">
        <v>0</v>
      </c>
      <c r="S6" s="4">
        <v>0</v>
      </c>
      <c r="T6" s="4">
        <v>8</v>
      </c>
      <c r="U6" s="4">
        <v>0</v>
      </c>
      <c r="V6" s="6">
        <f>IF(ISERROR(VLOOKUP($S$6,'TAR FIN'!$A$1:$O$88,15,0)),0,VLOOKUP($S$6,'TAR FIN'!$A$1:$O$88,15,0))</f>
        <v>0</v>
      </c>
      <c r="W6" s="6">
        <f>IF(ISERROR(VLOOKUP($T$6,'TAR FIN'!$A$1:$O$88,15,0)),0,VLOOKUP($T$6,'TAR FIN'!$A$1:$O$88,15,0))</f>
        <v>70.19</v>
      </c>
      <c r="X6" s="6">
        <f>IF(ISERROR(VLOOKUP($U$6,'TAR FIN'!$A$1:$O$88,15,0)),0,VLOOKUP($U$6,'TAR FIN'!$A$1:$O$88,15,0))</f>
        <v>0</v>
      </c>
      <c r="Y6" s="6"/>
      <c r="Z6" s="6">
        <f ca="1">('TUSD BE'!$AM$12+'TUSD BF'!$AM$12+'TUSD CVA'!$AM$12)*1</f>
        <v>110.00224235361931</v>
      </c>
      <c r="AA6" s="6"/>
      <c r="AB6" s="6">
        <f t="shared" si="0"/>
        <v>0</v>
      </c>
      <c r="AC6" s="6">
        <f t="shared" si="1"/>
        <v>0</v>
      </c>
      <c r="AD6" s="6">
        <f t="shared" si="2"/>
        <v>0</v>
      </c>
      <c r="AE6" s="6">
        <f t="shared" ca="1" si="3"/>
        <v>0</v>
      </c>
      <c r="AF6" s="4" t="s">
        <v>620</v>
      </c>
      <c r="AH6" s="35" t="s">
        <v>622</v>
      </c>
      <c r="AI6" s="36">
        <f t="shared" si="4"/>
        <v>0</v>
      </c>
      <c r="AJ6" s="36">
        <f t="shared" ca="1" si="5"/>
        <v>556.69115726009841</v>
      </c>
    </row>
    <row r="7" spans="1:36" ht="11.25" customHeight="1" x14ac:dyDescent="0.25">
      <c r="A7" s="4" t="s">
        <v>21</v>
      </c>
      <c r="B7" s="4" t="s">
        <v>34</v>
      </c>
      <c r="C7" s="4" t="s">
        <v>35</v>
      </c>
      <c r="D7" s="4" t="s">
        <v>33</v>
      </c>
      <c r="E7" s="4" t="s">
        <v>25</v>
      </c>
      <c r="F7" s="4" t="s">
        <v>50</v>
      </c>
      <c r="G7" s="4" t="s">
        <v>25</v>
      </c>
      <c r="H7" s="4" t="s">
        <v>37</v>
      </c>
      <c r="I7" s="5">
        <v>44562</v>
      </c>
      <c r="J7" s="6">
        <v>0</v>
      </c>
      <c r="K7" s="6">
        <v>0</v>
      </c>
      <c r="L7" s="6">
        <v>509.79700000000003</v>
      </c>
      <c r="M7" s="6">
        <v>509.79700000000003</v>
      </c>
      <c r="N7" s="6">
        <v>0</v>
      </c>
      <c r="O7" s="6">
        <v>0</v>
      </c>
      <c r="P7" s="6">
        <v>0</v>
      </c>
      <c r="Q7" s="4" t="s">
        <v>51</v>
      </c>
      <c r="R7" s="4">
        <v>0</v>
      </c>
      <c r="S7" s="4">
        <v>0</v>
      </c>
      <c r="T7" s="4">
        <v>8</v>
      </c>
      <c r="U7" s="4">
        <v>0</v>
      </c>
      <c r="V7" s="6">
        <f>IF(ISERROR(VLOOKUP($S$7,'TAR FIN'!$A$1:$O$88,15,0)),0,VLOOKUP($S$7,'TAR FIN'!$A$1:$O$88,15,0))</f>
        <v>0</v>
      </c>
      <c r="W7" s="6">
        <f>IF(ISERROR(VLOOKUP($T$7,'TAR FIN'!$A$1:$O$88,15,0)),0,VLOOKUP($T$7,'TAR FIN'!$A$1:$O$88,15,0))</f>
        <v>70.19</v>
      </c>
      <c r="X7" s="6">
        <f>IF(ISERROR(VLOOKUP($U$7,'TAR FIN'!$A$1:$O$88,15,0)),0,VLOOKUP($U$7,'TAR FIN'!$A$1:$O$88,15,0))</f>
        <v>0</v>
      </c>
      <c r="Y7" s="6"/>
      <c r="Z7" s="6">
        <f ca="1">('TUSD BE'!$AM$12+'TUSD BF'!$AM$12+'TUSD CVA'!$AM$12)*1</f>
        <v>110.00224235361931</v>
      </c>
      <c r="AA7" s="6"/>
      <c r="AB7" s="6">
        <f t="shared" si="0"/>
        <v>0</v>
      </c>
      <c r="AC7" s="6">
        <f t="shared" si="1"/>
        <v>0</v>
      </c>
      <c r="AD7" s="6">
        <f t="shared" si="2"/>
        <v>0</v>
      </c>
      <c r="AE7" s="6">
        <f t="shared" ca="1" si="3"/>
        <v>0</v>
      </c>
      <c r="AF7" s="4" t="s">
        <v>620</v>
      </c>
      <c r="AH7" s="35" t="s">
        <v>628</v>
      </c>
      <c r="AI7" s="36">
        <f t="shared" si="4"/>
        <v>0</v>
      </c>
      <c r="AJ7" s="36">
        <f t="shared" si="5"/>
        <v>0</v>
      </c>
    </row>
    <row r="8" spans="1:36" ht="11.25" customHeight="1" x14ac:dyDescent="0.25">
      <c r="A8" s="4" t="s">
        <v>21</v>
      </c>
      <c r="B8" s="4" t="s">
        <v>34</v>
      </c>
      <c r="C8" s="4" t="s">
        <v>35</v>
      </c>
      <c r="D8" s="4" t="s">
        <v>33</v>
      </c>
      <c r="E8" s="4" t="s">
        <v>25</v>
      </c>
      <c r="F8" s="4" t="s">
        <v>50</v>
      </c>
      <c r="G8" s="4" t="s">
        <v>25</v>
      </c>
      <c r="H8" s="4" t="s">
        <v>37</v>
      </c>
      <c r="I8" s="5">
        <v>44593</v>
      </c>
      <c r="J8" s="6">
        <v>0</v>
      </c>
      <c r="K8" s="6">
        <v>0</v>
      </c>
      <c r="L8" s="6">
        <v>511.16399999999999</v>
      </c>
      <c r="M8" s="6">
        <v>511.16399999999999</v>
      </c>
      <c r="N8" s="6">
        <v>0</v>
      </c>
      <c r="O8" s="6">
        <v>0</v>
      </c>
      <c r="P8" s="6">
        <v>0</v>
      </c>
      <c r="Q8" s="4" t="s">
        <v>51</v>
      </c>
      <c r="R8" s="4">
        <v>0</v>
      </c>
      <c r="S8" s="4">
        <v>0</v>
      </c>
      <c r="T8" s="4">
        <v>8</v>
      </c>
      <c r="U8" s="4">
        <v>0</v>
      </c>
      <c r="V8" s="6">
        <f>IF(ISERROR(VLOOKUP($S$8,'TAR FIN'!$A$1:$O$88,15,0)),0,VLOOKUP($S$8,'TAR FIN'!$A$1:$O$88,15,0))</f>
        <v>0</v>
      </c>
      <c r="W8" s="6">
        <f>IF(ISERROR(VLOOKUP($T$8,'TAR FIN'!$A$1:$O$88,15,0)),0,VLOOKUP($T$8,'TAR FIN'!$A$1:$O$88,15,0))</f>
        <v>70.19</v>
      </c>
      <c r="X8" s="6">
        <f>IF(ISERROR(VLOOKUP($U$8,'TAR FIN'!$A$1:$O$88,15,0)),0,VLOOKUP($U$8,'TAR FIN'!$A$1:$O$88,15,0))</f>
        <v>0</v>
      </c>
      <c r="Y8" s="6"/>
      <c r="Z8" s="6">
        <f ca="1">('TUSD BE'!$AM$12+'TUSD BF'!$AM$12+'TUSD CVA'!$AM$12)*1</f>
        <v>110.00224235361931</v>
      </c>
      <c r="AA8" s="6"/>
      <c r="AB8" s="6">
        <f t="shared" si="0"/>
        <v>0</v>
      </c>
      <c r="AC8" s="6">
        <f t="shared" si="1"/>
        <v>0</v>
      </c>
      <c r="AD8" s="6">
        <f t="shared" si="2"/>
        <v>0</v>
      </c>
      <c r="AE8" s="6">
        <f t="shared" ca="1" si="3"/>
        <v>0</v>
      </c>
      <c r="AF8" s="4" t="s">
        <v>620</v>
      </c>
      <c r="AH8" s="35" t="s">
        <v>621</v>
      </c>
      <c r="AI8" s="36">
        <f t="shared" si="4"/>
        <v>0</v>
      </c>
      <c r="AJ8" s="36">
        <f t="shared" ca="1" si="5"/>
        <v>147454.40792267205</v>
      </c>
    </row>
    <row r="9" spans="1:36" ht="11.25" customHeight="1" x14ac:dyDescent="0.25">
      <c r="A9" s="4" t="s">
        <v>21</v>
      </c>
      <c r="B9" s="4" t="s">
        <v>34</v>
      </c>
      <c r="C9" s="4" t="s">
        <v>35</v>
      </c>
      <c r="D9" s="4" t="s">
        <v>33</v>
      </c>
      <c r="E9" s="4" t="s">
        <v>25</v>
      </c>
      <c r="F9" s="4" t="s">
        <v>50</v>
      </c>
      <c r="G9" s="4" t="s">
        <v>25</v>
      </c>
      <c r="H9" s="4" t="s">
        <v>37</v>
      </c>
      <c r="I9" s="5">
        <v>44621</v>
      </c>
      <c r="J9" s="6">
        <v>0</v>
      </c>
      <c r="K9" s="6">
        <v>0</v>
      </c>
      <c r="L9" s="6">
        <v>573.44500000000005</v>
      </c>
      <c r="M9" s="6">
        <v>573.44500000000005</v>
      </c>
      <c r="N9" s="6">
        <v>0</v>
      </c>
      <c r="O9" s="6">
        <v>0</v>
      </c>
      <c r="P9" s="6">
        <v>0</v>
      </c>
      <c r="Q9" s="4" t="s">
        <v>51</v>
      </c>
      <c r="R9" s="4">
        <v>0</v>
      </c>
      <c r="S9" s="4">
        <v>0</v>
      </c>
      <c r="T9" s="4">
        <v>8</v>
      </c>
      <c r="U9" s="4">
        <v>0</v>
      </c>
      <c r="V9" s="6">
        <f>IF(ISERROR(VLOOKUP($S$9,'TAR FIN'!$A$1:$O$88,15,0)),0,VLOOKUP($S$9,'TAR FIN'!$A$1:$O$88,15,0))</f>
        <v>0</v>
      </c>
      <c r="W9" s="6">
        <f>IF(ISERROR(VLOOKUP($T$9,'TAR FIN'!$A$1:$O$88,15,0)),0,VLOOKUP($T$9,'TAR FIN'!$A$1:$O$88,15,0))</f>
        <v>70.19</v>
      </c>
      <c r="X9" s="6">
        <f>IF(ISERROR(VLOOKUP($U$9,'TAR FIN'!$A$1:$O$88,15,0)),0,VLOOKUP($U$9,'TAR FIN'!$A$1:$O$88,15,0))</f>
        <v>0</v>
      </c>
      <c r="Y9" s="6"/>
      <c r="Z9" s="6">
        <f ca="1">('TUSD BE'!$AM$12+'TUSD BF'!$AM$12+'TUSD CVA'!$AM$12)*1</f>
        <v>110.00224235361931</v>
      </c>
      <c r="AA9" s="6"/>
      <c r="AB9" s="6">
        <f t="shared" si="0"/>
        <v>0</v>
      </c>
      <c r="AC9" s="6">
        <f t="shared" si="1"/>
        <v>0</v>
      </c>
      <c r="AD9" s="6">
        <f t="shared" si="2"/>
        <v>0</v>
      </c>
      <c r="AE9" s="6">
        <f t="shared" ca="1" si="3"/>
        <v>0</v>
      </c>
      <c r="AF9" s="4" t="s">
        <v>620</v>
      </c>
      <c r="AH9" s="35" t="s">
        <v>799</v>
      </c>
      <c r="AI9" s="36">
        <f t="shared" si="4"/>
        <v>0</v>
      </c>
      <c r="AJ9" s="36">
        <f ca="1">EFEITO!$AU$9 - EFEITO_350!$AU$9</f>
        <v>2711048.8497605026</v>
      </c>
    </row>
    <row r="10" spans="1:36" ht="11.25" customHeight="1" x14ac:dyDescent="0.25">
      <c r="A10" s="4" t="s">
        <v>21</v>
      </c>
      <c r="B10" s="4" t="s">
        <v>34</v>
      </c>
      <c r="C10" s="4" t="s">
        <v>35</v>
      </c>
      <c r="D10" s="4" t="s">
        <v>33</v>
      </c>
      <c r="E10" s="4" t="s">
        <v>25</v>
      </c>
      <c r="F10" s="4" t="s">
        <v>50</v>
      </c>
      <c r="G10" s="4" t="s">
        <v>25</v>
      </c>
      <c r="H10" s="4" t="s">
        <v>37</v>
      </c>
      <c r="I10" s="5">
        <v>44652</v>
      </c>
      <c r="J10" s="6">
        <v>0</v>
      </c>
      <c r="K10" s="6">
        <v>0</v>
      </c>
      <c r="L10" s="6">
        <v>505.69200000000001</v>
      </c>
      <c r="M10" s="6">
        <v>505.69200000000001</v>
      </c>
      <c r="N10" s="6">
        <v>0</v>
      </c>
      <c r="O10" s="6">
        <v>0</v>
      </c>
      <c r="P10" s="6">
        <v>0</v>
      </c>
      <c r="Q10" s="4" t="s">
        <v>51</v>
      </c>
      <c r="R10" s="4">
        <v>0</v>
      </c>
      <c r="S10" s="4">
        <v>0</v>
      </c>
      <c r="T10" s="4">
        <v>8</v>
      </c>
      <c r="U10" s="4">
        <v>0</v>
      </c>
      <c r="V10" s="6">
        <f>IF(ISERROR(VLOOKUP($S$10,'TAR FIN'!$A$1:$O$88,15,0)),0,VLOOKUP($S$10,'TAR FIN'!$A$1:$O$88,15,0))</f>
        <v>0</v>
      </c>
      <c r="W10" s="6">
        <f>IF(ISERROR(VLOOKUP($T$10,'TAR FIN'!$A$1:$O$88,15,0)),0,VLOOKUP($T$10,'TAR FIN'!$A$1:$O$88,15,0))</f>
        <v>70.19</v>
      </c>
      <c r="X10" s="6">
        <f>IF(ISERROR(VLOOKUP($U$10,'TAR FIN'!$A$1:$O$88,15,0)),0,VLOOKUP($U$10,'TAR FIN'!$A$1:$O$88,15,0))</f>
        <v>0</v>
      </c>
      <c r="Y10" s="6"/>
      <c r="Z10" s="6">
        <f ca="1">('TUSD BE'!$AM$12+'TUSD BF'!$AM$12+'TUSD CVA'!$AM$12)*1</f>
        <v>110.00224235361931</v>
      </c>
      <c r="AA10" s="6"/>
      <c r="AB10" s="6">
        <f t="shared" si="0"/>
        <v>0</v>
      </c>
      <c r="AC10" s="6">
        <f t="shared" si="1"/>
        <v>0</v>
      </c>
      <c r="AD10" s="6">
        <f t="shared" si="2"/>
        <v>0</v>
      </c>
      <c r="AE10" s="6">
        <f t="shared" ca="1" si="3"/>
        <v>0</v>
      </c>
      <c r="AF10" s="4" t="s">
        <v>620</v>
      </c>
    </row>
    <row r="11" spans="1:36" ht="11.25" customHeight="1" x14ac:dyDescent="0.25">
      <c r="A11" s="4" t="s">
        <v>21</v>
      </c>
      <c r="B11" s="4" t="s">
        <v>34</v>
      </c>
      <c r="C11" s="4" t="s">
        <v>35</v>
      </c>
      <c r="D11" s="4" t="s">
        <v>33</v>
      </c>
      <c r="E11" s="4" t="s">
        <v>25</v>
      </c>
      <c r="F11" s="4" t="s">
        <v>50</v>
      </c>
      <c r="G11" s="4" t="s">
        <v>25</v>
      </c>
      <c r="H11" s="4" t="s">
        <v>37</v>
      </c>
      <c r="I11" s="5">
        <v>44682</v>
      </c>
      <c r="J11" s="6">
        <v>0</v>
      </c>
      <c r="K11" s="6">
        <v>0</v>
      </c>
      <c r="L11" s="6">
        <v>515.16200000000003</v>
      </c>
      <c r="M11" s="6">
        <v>515.16200000000003</v>
      </c>
      <c r="N11" s="6">
        <v>0</v>
      </c>
      <c r="O11" s="6">
        <v>0</v>
      </c>
      <c r="P11" s="6">
        <v>0</v>
      </c>
      <c r="Q11" s="4" t="s">
        <v>51</v>
      </c>
      <c r="R11" s="4">
        <v>0</v>
      </c>
      <c r="S11" s="4">
        <v>0</v>
      </c>
      <c r="T11" s="4">
        <v>8</v>
      </c>
      <c r="U11" s="4">
        <v>0</v>
      </c>
      <c r="V11" s="6">
        <f>IF(ISERROR(VLOOKUP($S$11,'TAR FIN'!$A$1:$O$88,15,0)),0,VLOOKUP($S$11,'TAR FIN'!$A$1:$O$88,15,0))</f>
        <v>0</v>
      </c>
      <c r="W11" s="6">
        <f>IF(ISERROR(VLOOKUP($T$11,'TAR FIN'!$A$1:$O$88,15,0)),0,VLOOKUP($T$11,'TAR FIN'!$A$1:$O$88,15,0))</f>
        <v>70.19</v>
      </c>
      <c r="X11" s="6">
        <f>IF(ISERROR(VLOOKUP($U$11,'TAR FIN'!$A$1:$O$88,15,0)),0,VLOOKUP($U$11,'TAR FIN'!$A$1:$O$88,15,0))</f>
        <v>0</v>
      </c>
      <c r="Y11" s="6"/>
      <c r="Z11" s="6">
        <f ca="1">('TUSD BE'!$AM$12+'TUSD BF'!$AM$12+'TUSD CVA'!$AM$12)*1</f>
        <v>110.00224235361931</v>
      </c>
      <c r="AA11" s="6"/>
      <c r="AB11" s="6">
        <f t="shared" si="0"/>
        <v>0</v>
      </c>
      <c r="AC11" s="6">
        <f t="shared" si="1"/>
        <v>0</v>
      </c>
      <c r="AD11" s="6">
        <f t="shared" si="2"/>
        <v>0</v>
      </c>
      <c r="AE11" s="6">
        <f t="shared" ca="1" si="3"/>
        <v>0</v>
      </c>
      <c r="AF11" s="4" t="s">
        <v>620</v>
      </c>
    </row>
    <row r="12" spans="1:36" ht="11.25" customHeight="1" x14ac:dyDescent="0.25">
      <c r="A12" s="4" t="s">
        <v>21</v>
      </c>
      <c r="B12" s="4" t="s">
        <v>34</v>
      </c>
      <c r="C12" s="4" t="s">
        <v>35</v>
      </c>
      <c r="D12" s="4" t="s">
        <v>33</v>
      </c>
      <c r="E12" s="4" t="s">
        <v>25</v>
      </c>
      <c r="F12" s="4" t="s">
        <v>50</v>
      </c>
      <c r="G12" s="4" t="s">
        <v>25</v>
      </c>
      <c r="H12" s="4" t="s">
        <v>37</v>
      </c>
      <c r="I12" s="5">
        <v>44713</v>
      </c>
      <c r="J12" s="6">
        <v>0</v>
      </c>
      <c r="K12" s="6">
        <v>0</v>
      </c>
      <c r="L12" s="6">
        <v>514.71199999999999</v>
      </c>
      <c r="M12" s="6">
        <v>514.71199999999999</v>
      </c>
      <c r="N12" s="6">
        <v>0</v>
      </c>
      <c r="O12" s="6">
        <v>0</v>
      </c>
      <c r="P12" s="6">
        <v>0</v>
      </c>
      <c r="Q12" s="4" t="s">
        <v>51</v>
      </c>
      <c r="R12" s="4">
        <v>0</v>
      </c>
      <c r="S12" s="4">
        <v>0</v>
      </c>
      <c r="T12" s="4">
        <v>8</v>
      </c>
      <c r="U12" s="4">
        <v>0</v>
      </c>
      <c r="V12" s="6">
        <f>IF(ISERROR(VLOOKUP($S$12,'TAR FIN'!$A$1:$O$88,15,0)),0,VLOOKUP($S$12,'TAR FIN'!$A$1:$O$88,15,0))</f>
        <v>0</v>
      </c>
      <c r="W12" s="6">
        <f>IF(ISERROR(VLOOKUP($T$12,'TAR FIN'!$A$1:$O$88,15,0)),0,VLOOKUP($T$12,'TAR FIN'!$A$1:$O$88,15,0))</f>
        <v>70.19</v>
      </c>
      <c r="X12" s="6">
        <f>IF(ISERROR(VLOOKUP($U$12,'TAR FIN'!$A$1:$O$88,15,0)),0,VLOOKUP($U$12,'TAR FIN'!$A$1:$O$88,15,0))</f>
        <v>0</v>
      </c>
      <c r="Y12" s="6"/>
      <c r="Z12" s="6">
        <f ca="1">('TUSD BE'!$AM$12+'TUSD BF'!$AM$12+'TUSD CVA'!$AM$12)*1</f>
        <v>110.00224235361931</v>
      </c>
      <c r="AA12" s="6"/>
      <c r="AB12" s="6">
        <f t="shared" si="0"/>
        <v>0</v>
      </c>
      <c r="AC12" s="6">
        <f t="shared" si="1"/>
        <v>0</v>
      </c>
      <c r="AD12" s="6">
        <f t="shared" si="2"/>
        <v>0</v>
      </c>
      <c r="AE12" s="6">
        <f t="shared" ca="1" si="3"/>
        <v>0</v>
      </c>
      <c r="AF12" s="4" t="s">
        <v>620</v>
      </c>
    </row>
    <row r="13" spans="1:36" ht="11.25" customHeight="1" x14ac:dyDescent="0.25">
      <c r="A13" s="4" t="s">
        <v>21</v>
      </c>
      <c r="B13" s="4" t="s">
        <v>34</v>
      </c>
      <c r="C13" s="4" t="s">
        <v>35</v>
      </c>
      <c r="D13" s="4" t="s">
        <v>33</v>
      </c>
      <c r="E13" s="4" t="s">
        <v>25</v>
      </c>
      <c r="F13" s="4" t="s">
        <v>50</v>
      </c>
      <c r="G13" s="4" t="s">
        <v>25</v>
      </c>
      <c r="H13" s="4" t="s">
        <v>37</v>
      </c>
      <c r="I13" s="5">
        <v>44743</v>
      </c>
      <c r="J13" s="6">
        <v>0</v>
      </c>
      <c r="K13" s="6">
        <v>0</v>
      </c>
      <c r="L13" s="6">
        <v>525.48800000000006</v>
      </c>
      <c r="M13" s="6">
        <v>525.48800000000006</v>
      </c>
      <c r="N13" s="6">
        <v>0</v>
      </c>
      <c r="O13" s="6">
        <v>0</v>
      </c>
      <c r="P13" s="6">
        <v>0</v>
      </c>
      <c r="Q13" s="4" t="s">
        <v>51</v>
      </c>
      <c r="R13" s="4">
        <v>0</v>
      </c>
      <c r="S13" s="4">
        <v>0</v>
      </c>
      <c r="T13" s="4">
        <v>8</v>
      </c>
      <c r="U13" s="4">
        <v>0</v>
      </c>
      <c r="V13" s="6">
        <f>IF(ISERROR(VLOOKUP($S$13,'TAR FIN'!$A$1:$O$88,15,0)),0,VLOOKUP($S$13,'TAR FIN'!$A$1:$O$88,15,0))</f>
        <v>0</v>
      </c>
      <c r="W13" s="6">
        <f>IF(ISERROR(VLOOKUP($T$13,'TAR FIN'!$A$1:$O$88,15,0)),0,VLOOKUP($T$13,'TAR FIN'!$A$1:$O$88,15,0))</f>
        <v>70.19</v>
      </c>
      <c r="X13" s="6">
        <f>IF(ISERROR(VLOOKUP($U$13,'TAR FIN'!$A$1:$O$88,15,0)),0,VLOOKUP($U$13,'TAR FIN'!$A$1:$O$88,15,0))</f>
        <v>0</v>
      </c>
      <c r="Y13" s="6"/>
      <c r="Z13" s="6">
        <f ca="1">('TUSD BE'!$AM$12+'TUSD BF'!$AM$12+'TUSD CVA'!$AM$12)*1</f>
        <v>110.00224235361931</v>
      </c>
      <c r="AA13" s="6"/>
      <c r="AB13" s="6">
        <f t="shared" si="0"/>
        <v>0</v>
      </c>
      <c r="AC13" s="6">
        <f t="shared" si="1"/>
        <v>0</v>
      </c>
      <c r="AD13" s="6">
        <f t="shared" si="2"/>
        <v>0</v>
      </c>
      <c r="AE13" s="6">
        <f t="shared" ca="1" si="3"/>
        <v>0</v>
      </c>
      <c r="AF13" s="4" t="s">
        <v>620</v>
      </c>
    </row>
    <row r="14" spans="1:36" ht="11.25" customHeight="1" x14ac:dyDescent="0.25">
      <c r="A14" s="4" t="s">
        <v>21</v>
      </c>
      <c r="B14" s="4" t="s">
        <v>34</v>
      </c>
      <c r="C14" s="4" t="s">
        <v>35</v>
      </c>
      <c r="D14" s="4" t="s">
        <v>33</v>
      </c>
      <c r="E14" s="4" t="s">
        <v>25</v>
      </c>
      <c r="F14" s="4" t="s">
        <v>50</v>
      </c>
      <c r="G14" s="4" t="s">
        <v>25</v>
      </c>
      <c r="H14" s="4" t="s">
        <v>25</v>
      </c>
      <c r="I14" s="5">
        <v>44409</v>
      </c>
      <c r="J14" s="6">
        <v>1300</v>
      </c>
      <c r="K14" s="6">
        <v>703.09371599999997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4" t="s">
        <v>51</v>
      </c>
      <c r="R14" s="4">
        <v>0</v>
      </c>
      <c r="S14" s="4">
        <v>6</v>
      </c>
      <c r="T14" s="4">
        <v>0</v>
      </c>
      <c r="U14" s="4">
        <v>0</v>
      </c>
      <c r="V14" s="6">
        <f>IF(ISERROR(VLOOKUP($S$14,'TAR FIN'!$A$1:$O$88,15,0)),0,VLOOKUP($S$14,'TAR FIN'!$A$1:$O$88,15,0))</f>
        <v>20.43</v>
      </c>
      <c r="W14" s="6">
        <f>IF(ISERROR(VLOOKUP($T$14,'TAR FIN'!$A$1:$O$88,15,0)),0,VLOOKUP($T$14,'TAR FIN'!$A$1:$O$88,15,0))</f>
        <v>0</v>
      </c>
      <c r="X14" s="6">
        <f>IF(ISERROR(VLOOKUP($U$14,'TAR FIN'!$A$1:$O$88,15,0)),0,VLOOKUP($U$14,'TAR FIN'!$A$1:$O$88,15,0))</f>
        <v>0</v>
      </c>
      <c r="Y14" s="6">
        <f ca="1">('TUSD BE'!$AM$10+'TUSD BF'!$AM$10+'TUSD CVA'!$AM$10)*1</f>
        <v>17.702312702839738</v>
      </c>
      <c r="Z14" s="6"/>
      <c r="AA14" s="6"/>
      <c r="AB14" s="6">
        <f t="shared" si="0"/>
        <v>12194.795382120001</v>
      </c>
      <c r="AC14" s="6">
        <f t="shared" si="1"/>
        <v>0</v>
      </c>
      <c r="AD14" s="6">
        <f t="shared" ca="1" si="2"/>
        <v>10566.621693658064</v>
      </c>
      <c r="AE14" s="6">
        <f t="shared" si="3"/>
        <v>0</v>
      </c>
      <c r="AF14" s="4" t="s">
        <v>620</v>
      </c>
    </row>
    <row r="15" spans="1:36" ht="11.25" customHeight="1" x14ac:dyDescent="0.25">
      <c r="A15" s="4" t="s">
        <v>21</v>
      </c>
      <c r="B15" s="4" t="s">
        <v>34</v>
      </c>
      <c r="C15" s="4" t="s">
        <v>35</v>
      </c>
      <c r="D15" s="4" t="s">
        <v>33</v>
      </c>
      <c r="E15" s="4" t="s">
        <v>25</v>
      </c>
      <c r="F15" s="4" t="s">
        <v>50</v>
      </c>
      <c r="G15" s="4" t="s">
        <v>25</v>
      </c>
      <c r="H15" s="4" t="s">
        <v>25</v>
      </c>
      <c r="I15" s="5">
        <v>44440</v>
      </c>
      <c r="J15" s="6">
        <v>1300</v>
      </c>
      <c r="K15" s="6">
        <v>710.24843499999997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4" t="s">
        <v>51</v>
      </c>
      <c r="R15" s="4">
        <v>0</v>
      </c>
      <c r="S15" s="4">
        <v>6</v>
      </c>
      <c r="T15" s="4">
        <v>0</v>
      </c>
      <c r="U15" s="4">
        <v>0</v>
      </c>
      <c r="V15" s="6">
        <f>IF(ISERROR(VLOOKUP($S$15,'TAR FIN'!$A$1:$O$88,15,0)),0,VLOOKUP($S$15,'TAR FIN'!$A$1:$O$88,15,0))</f>
        <v>20.43</v>
      </c>
      <c r="W15" s="6">
        <f>IF(ISERROR(VLOOKUP($T$15,'TAR FIN'!$A$1:$O$88,15,0)),0,VLOOKUP($T$15,'TAR FIN'!$A$1:$O$88,15,0))</f>
        <v>0</v>
      </c>
      <c r="X15" s="6">
        <f>IF(ISERROR(VLOOKUP($U$15,'TAR FIN'!$A$1:$O$88,15,0)),0,VLOOKUP($U$15,'TAR FIN'!$A$1:$O$88,15,0))</f>
        <v>0</v>
      </c>
      <c r="Y15" s="6">
        <f ca="1">('TUSD BE'!$AM$10+'TUSD BF'!$AM$10+'TUSD CVA'!$AM$10)*1</f>
        <v>17.702312702839738</v>
      </c>
      <c r="Z15" s="6"/>
      <c r="AA15" s="6"/>
      <c r="AB15" s="6">
        <f t="shared" si="0"/>
        <v>12048.624472950001</v>
      </c>
      <c r="AC15" s="6">
        <f t="shared" si="1"/>
        <v>0</v>
      </c>
      <c r="AD15" s="6">
        <f t="shared" ca="1" si="2"/>
        <v>10439.966620619116</v>
      </c>
      <c r="AE15" s="6">
        <f t="shared" si="3"/>
        <v>0</v>
      </c>
      <c r="AF15" s="4" t="s">
        <v>620</v>
      </c>
    </row>
    <row r="16" spans="1:36" ht="11.25" customHeight="1" x14ac:dyDescent="0.25">
      <c r="A16" s="4" t="s">
        <v>21</v>
      </c>
      <c r="B16" s="4" t="s">
        <v>34</v>
      </c>
      <c r="C16" s="4" t="s">
        <v>35</v>
      </c>
      <c r="D16" s="4" t="s">
        <v>33</v>
      </c>
      <c r="E16" s="4" t="s">
        <v>25</v>
      </c>
      <c r="F16" s="4" t="s">
        <v>50</v>
      </c>
      <c r="G16" s="4" t="s">
        <v>25</v>
      </c>
      <c r="H16" s="4" t="s">
        <v>25</v>
      </c>
      <c r="I16" s="5">
        <v>44470</v>
      </c>
      <c r="J16" s="6">
        <v>1300</v>
      </c>
      <c r="K16" s="6">
        <v>713.766482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4" t="s">
        <v>51</v>
      </c>
      <c r="R16" s="4">
        <v>0</v>
      </c>
      <c r="S16" s="4">
        <v>6</v>
      </c>
      <c r="T16" s="4">
        <v>0</v>
      </c>
      <c r="U16" s="4">
        <v>0</v>
      </c>
      <c r="V16" s="6">
        <f>IF(ISERROR(VLOOKUP($S$16,'TAR FIN'!$A$1:$O$88,15,0)),0,VLOOKUP($S$16,'TAR FIN'!$A$1:$O$88,15,0))</f>
        <v>20.43</v>
      </c>
      <c r="W16" s="6">
        <f>IF(ISERROR(VLOOKUP($T$16,'TAR FIN'!$A$1:$O$88,15,0)),0,VLOOKUP($T$16,'TAR FIN'!$A$1:$O$88,15,0))</f>
        <v>0</v>
      </c>
      <c r="X16" s="6">
        <f>IF(ISERROR(VLOOKUP($U$16,'TAR FIN'!$A$1:$O$88,15,0)),0,VLOOKUP($U$16,'TAR FIN'!$A$1:$O$88,15,0))</f>
        <v>0</v>
      </c>
      <c r="Y16" s="6">
        <f ca="1">('TUSD BE'!$AM$10+'TUSD BF'!$AM$10+'TUSD CVA'!$AM$10)*1</f>
        <v>17.702312702839738</v>
      </c>
      <c r="Z16" s="6"/>
      <c r="AA16" s="6"/>
      <c r="AB16" s="6">
        <f t="shared" si="0"/>
        <v>11976.750772740001</v>
      </c>
      <c r="AC16" s="6">
        <f t="shared" si="1"/>
        <v>0</v>
      </c>
      <c r="AD16" s="6">
        <f t="shared" ca="1" si="2"/>
        <v>10377.689052521828</v>
      </c>
      <c r="AE16" s="6">
        <f t="shared" si="3"/>
        <v>0</v>
      </c>
      <c r="AF16" s="4" t="s">
        <v>620</v>
      </c>
    </row>
    <row r="17" spans="1:32" ht="11.25" customHeight="1" x14ac:dyDescent="0.25">
      <c r="A17" s="4" t="s">
        <v>21</v>
      </c>
      <c r="B17" s="4" t="s">
        <v>34</v>
      </c>
      <c r="C17" s="4" t="s">
        <v>35</v>
      </c>
      <c r="D17" s="4" t="s">
        <v>33</v>
      </c>
      <c r="E17" s="4" t="s">
        <v>25</v>
      </c>
      <c r="F17" s="4" t="s">
        <v>50</v>
      </c>
      <c r="G17" s="4" t="s">
        <v>25</v>
      </c>
      <c r="H17" s="4" t="s">
        <v>25</v>
      </c>
      <c r="I17" s="5">
        <v>44501</v>
      </c>
      <c r="J17" s="6">
        <v>1387</v>
      </c>
      <c r="K17" s="6">
        <v>698.92776097000001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4" t="s">
        <v>51</v>
      </c>
      <c r="R17" s="4">
        <v>0</v>
      </c>
      <c r="S17" s="4">
        <v>6</v>
      </c>
      <c r="T17" s="4">
        <v>0</v>
      </c>
      <c r="U17" s="4">
        <v>0</v>
      </c>
      <c r="V17" s="6">
        <f>IF(ISERROR(VLOOKUP($S$17,'TAR FIN'!$A$1:$O$88,15,0)),0,VLOOKUP($S$17,'TAR FIN'!$A$1:$O$88,15,0))</f>
        <v>20.43</v>
      </c>
      <c r="W17" s="6">
        <f>IF(ISERROR(VLOOKUP($T$17,'TAR FIN'!$A$1:$O$88,15,0)),0,VLOOKUP($T$17,'TAR FIN'!$A$1:$O$88,15,0))</f>
        <v>0</v>
      </c>
      <c r="X17" s="6">
        <f>IF(ISERROR(VLOOKUP($U$17,'TAR FIN'!$A$1:$O$88,15,0)),0,VLOOKUP($U$17,'TAR FIN'!$A$1:$O$88,15,0))</f>
        <v>0</v>
      </c>
      <c r="Y17" s="6">
        <f ca="1">('TUSD BE'!$AM$10+'TUSD BF'!$AM$10+'TUSD CVA'!$AM$10)*1</f>
        <v>17.702312702839738</v>
      </c>
      <c r="Z17" s="6"/>
      <c r="AA17" s="6"/>
      <c r="AB17" s="6">
        <f t="shared" si="0"/>
        <v>14057.315843382899</v>
      </c>
      <c r="AC17" s="6">
        <f t="shared" si="1"/>
        <v>0</v>
      </c>
      <c r="AD17" s="6">
        <f t="shared" ca="1" si="2"/>
        <v>12180.46993745215</v>
      </c>
      <c r="AE17" s="6">
        <f t="shared" si="3"/>
        <v>0</v>
      </c>
      <c r="AF17" s="4" t="s">
        <v>620</v>
      </c>
    </row>
    <row r="18" spans="1:32" ht="11.25" customHeight="1" x14ac:dyDescent="0.25">
      <c r="A18" s="4" t="s">
        <v>21</v>
      </c>
      <c r="B18" s="4" t="s">
        <v>34</v>
      </c>
      <c r="C18" s="4" t="s">
        <v>35</v>
      </c>
      <c r="D18" s="4" t="s">
        <v>33</v>
      </c>
      <c r="E18" s="4" t="s">
        <v>25</v>
      </c>
      <c r="F18" s="4" t="s">
        <v>50</v>
      </c>
      <c r="G18" s="4" t="s">
        <v>25</v>
      </c>
      <c r="H18" s="4" t="s">
        <v>25</v>
      </c>
      <c r="I18" s="5">
        <v>44531</v>
      </c>
      <c r="J18" s="6">
        <v>1556</v>
      </c>
      <c r="K18" s="6">
        <v>813.63548088000005</v>
      </c>
      <c r="L18" s="6">
        <v>0</v>
      </c>
      <c r="M18" s="6">
        <v>0</v>
      </c>
      <c r="N18" s="6">
        <v>0</v>
      </c>
      <c r="O18" s="6">
        <v>0</v>
      </c>
      <c r="P18" s="6">
        <v>3</v>
      </c>
      <c r="Q18" s="4" t="s">
        <v>51</v>
      </c>
      <c r="R18" s="4">
        <v>0</v>
      </c>
      <c r="S18" s="4">
        <v>6</v>
      </c>
      <c r="T18" s="4">
        <v>0</v>
      </c>
      <c r="U18" s="4">
        <v>0</v>
      </c>
      <c r="V18" s="6">
        <f>IF(ISERROR(VLOOKUP($S$18,'TAR FIN'!$A$1:$O$88,15,0)),0,VLOOKUP($S$18,'TAR FIN'!$A$1:$O$88,15,0))</f>
        <v>20.43</v>
      </c>
      <c r="W18" s="6">
        <f>IF(ISERROR(VLOOKUP($T$18,'TAR FIN'!$A$1:$O$88,15,0)),0,VLOOKUP($T$18,'TAR FIN'!$A$1:$O$88,15,0))</f>
        <v>0</v>
      </c>
      <c r="X18" s="6">
        <f>IF(ISERROR(VLOOKUP($U$18,'TAR FIN'!$A$1:$O$88,15,0)),0,VLOOKUP($U$18,'TAR FIN'!$A$1:$O$88,15,0))</f>
        <v>0</v>
      </c>
      <c r="Y18" s="6">
        <f ca="1">('TUSD BE'!$AM$10+'TUSD BF'!$AM$10+'TUSD CVA'!$AM$10)*1</f>
        <v>17.702312702839738</v>
      </c>
      <c r="Z18" s="6"/>
      <c r="AA18" s="6"/>
      <c r="AB18" s="6">
        <f t="shared" si="0"/>
        <v>15166.5071256216</v>
      </c>
      <c r="AC18" s="6">
        <f t="shared" si="1"/>
        <v>0</v>
      </c>
      <c r="AD18" s="6">
        <f t="shared" ca="1" si="2"/>
        <v>13141.568856955488</v>
      </c>
      <c r="AE18" s="6">
        <f t="shared" si="3"/>
        <v>0</v>
      </c>
      <c r="AF18" s="4" t="s">
        <v>620</v>
      </c>
    </row>
    <row r="19" spans="1:32" ht="11.25" customHeight="1" x14ac:dyDescent="0.25">
      <c r="A19" s="4" t="s">
        <v>21</v>
      </c>
      <c r="B19" s="4" t="s">
        <v>34</v>
      </c>
      <c r="C19" s="4" t="s">
        <v>35</v>
      </c>
      <c r="D19" s="4" t="s">
        <v>33</v>
      </c>
      <c r="E19" s="4" t="s">
        <v>25</v>
      </c>
      <c r="F19" s="4" t="s">
        <v>50</v>
      </c>
      <c r="G19" s="4" t="s">
        <v>25</v>
      </c>
      <c r="H19" s="4" t="s">
        <v>25</v>
      </c>
      <c r="I19" s="5">
        <v>44562</v>
      </c>
      <c r="J19" s="6">
        <v>1548</v>
      </c>
      <c r="K19" s="6">
        <v>802.55984148000005</v>
      </c>
      <c r="L19" s="6">
        <v>0</v>
      </c>
      <c r="M19" s="6">
        <v>0</v>
      </c>
      <c r="N19" s="6">
        <v>0</v>
      </c>
      <c r="O19" s="6">
        <v>0</v>
      </c>
      <c r="P19" s="6">
        <v>3</v>
      </c>
      <c r="Q19" s="4" t="s">
        <v>51</v>
      </c>
      <c r="R19" s="4">
        <v>0</v>
      </c>
      <c r="S19" s="4">
        <v>6</v>
      </c>
      <c r="T19" s="4">
        <v>0</v>
      </c>
      <c r="U19" s="4">
        <v>0</v>
      </c>
      <c r="V19" s="6">
        <f>IF(ISERROR(VLOOKUP($S$19,'TAR FIN'!$A$1:$O$88,15,0)),0,VLOOKUP($S$19,'TAR FIN'!$A$1:$O$88,15,0))</f>
        <v>20.43</v>
      </c>
      <c r="W19" s="6">
        <f>IF(ISERROR(VLOOKUP($T$19,'TAR FIN'!$A$1:$O$88,15,0)),0,VLOOKUP($T$19,'TAR FIN'!$A$1:$O$88,15,0))</f>
        <v>0</v>
      </c>
      <c r="X19" s="6">
        <f>IF(ISERROR(VLOOKUP($U$19,'TAR FIN'!$A$1:$O$88,15,0)),0,VLOOKUP($U$19,'TAR FIN'!$A$1:$O$88,15,0))</f>
        <v>0</v>
      </c>
      <c r="Y19" s="6">
        <f ca="1">('TUSD BE'!$AM$10+'TUSD BF'!$AM$10+'TUSD CVA'!$AM$10)*1</f>
        <v>17.702312702839738</v>
      </c>
      <c r="Z19" s="6"/>
      <c r="AA19" s="6"/>
      <c r="AB19" s="6">
        <f t="shared" si="0"/>
        <v>15229.342438563599</v>
      </c>
      <c r="AC19" s="6">
        <f t="shared" si="1"/>
        <v>0</v>
      </c>
      <c r="AD19" s="6">
        <f t="shared" ca="1" si="2"/>
        <v>13196.014787375463</v>
      </c>
      <c r="AE19" s="6">
        <f t="shared" si="3"/>
        <v>0</v>
      </c>
      <c r="AF19" s="4" t="s">
        <v>620</v>
      </c>
    </row>
    <row r="20" spans="1:32" ht="11.25" customHeight="1" x14ac:dyDescent="0.25">
      <c r="A20" s="4" t="s">
        <v>21</v>
      </c>
      <c r="B20" s="4" t="s">
        <v>34</v>
      </c>
      <c r="C20" s="4" t="s">
        <v>35</v>
      </c>
      <c r="D20" s="4" t="s">
        <v>33</v>
      </c>
      <c r="E20" s="4" t="s">
        <v>25</v>
      </c>
      <c r="F20" s="4" t="s">
        <v>50</v>
      </c>
      <c r="G20" s="4" t="s">
        <v>25</v>
      </c>
      <c r="H20" s="4" t="s">
        <v>25</v>
      </c>
      <c r="I20" s="5">
        <v>44593</v>
      </c>
      <c r="J20" s="6">
        <v>1538</v>
      </c>
      <c r="K20" s="6">
        <v>802.99662871999999</v>
      </c>
      <c r="L20" s="6">
        <v>0</v>
      </c>
      <c r="M20" s="6">
        <v>0</v>
      </c>
      <c r="N20" s="6">
        <v>0</v>
      </c>
      <c r="O20" s="6">
        <v>0</v>
      </c>
      <c r="P20" s="6">
        <v>3</v>
      </c>
      <c r="Q20" s="4" t="s">
        <v>51</v>
      </c>
      <c r="R20" s="4">
        <v>0</v>
      </c>
      <c r="S20" s="4">
        <v>6</v>
      </c>
      <c r="T20" s="4">
        <v>0</v>
      </c>
      <c r="U20" s="4">
        <v>0</v>
      </c>
      <c r="V20" s="6">
        <f>IF(ISERROR(VLOOKUP($S$20,'TAR FIN'!$A$1:$O$88,15,0)),0,VLOOKUP($S$20,'TAR FIN'!$A$1:$O$88,15,0))</f>
        <v>20.43</v>
      </c>
      <c r="W20" s="6">
        <f>IF(ISERROR(VLOOKUP($T$20,'TAR FIN'!$A$1:$O$88,15,0)),0,VLOOKUP($T$20,'TAR FIN'!$A$1:$O$88,15,0))</f>
        <v>0</v>
      </c>
      <c r="X20" s="6">
        <f>IF(ISERROR(VLOOKUP($U$20,'TAR FIN'!$A$1:$O$88,15,0)),0,VLOOKUP($U$20,'TAR FIN'!$A$1:$O$88,15,0))</f>
        <v>0</v>
      </c>
      <c r="Y20" s="6">
        <f ca="1">('TUSD BE'!$AM$10+'TUSD BF'!$AM$10+'TUSD CVA'!$AM$10)*1</f>
        <v>17.702312702839738</v>
      </c>
      <c r="Z20" s="6"/>
      <c r="AA20" s="6"/>
      <c r="AB20" s="6">
        <f t="shared" si="0"/>
        <v>15016.1188752504</v>
      </c>
      <c r="AC20" s="6">
        <f t="shared" si="1"/>
        <v>0</v>
      </c>
      <c r="AD20" s="6">
        <f t="shared" ca="1" si="2"/>
        <v>13011.259516039976</v>
      </c>
      <c r="AE20" s="6">
        <f t="shared" si="3"/>
        <v>0</v>
      </c>
      <c r="AF20" s="4" t="s">
        <v>620</v>
      </c>
    </row>
    <row r="21" spans="1:32" ht="11.25" customHeight="1" x14ac:dyDescent="0.25">
      <c r="A21" s="4" t="s">
        <v>21</v>
      </c>
      <c r="B21" s="4" t="s">
        <v>34</v>
      </c>
      <c r="C21" s="4" t="s">
        <v>35</v>
      </c>
      <c r="D21" s="4" t="s">
        <v>33</v>
      </c>
      <c r="E21" s="4" t="s">
        <v>25</v>
      </c>
      <c r="F21" s="4" t="s">
        <v>50</v>
      </c>
      <c r="G21" s="4" t="s">
        <v>25</v>
      </c>
      <c r="H21" s="4" t="s">
        <v>25</v>
      </c>
      <c r="I21" s="5">
        <v>44621</v>
      </c>
      <c r="J21" s="6">
        <v>1621</v>
      </c>
      <c r="K21" s="6">
        <v>816.28692136999996</v>
      </c>
      <c r="L21" s="6">
        <v>0</v>
      </c>
      <c r="M21" s="6">
        <v>0</v>
      </c>
      <c r="N21" s="6">
        <v>0</v>
      </c>
      <c r="O21" s="6">
        <v>0</v>
      </c>
      <c r="P21" s="6">
        <v>3</v>
      </c>
      <c r="Q21" s="4" t="s">
        <v>51</v>
      </c>
      <c r="R21" s="4">
        <v>0</v>
      </c>
      <c r="S21" s="4">
        <v>6</v>
      </c>
      <c r="T21" s="4">
        <v>0</v>
      </c>
      <c r="U21" s="4">
        <v>0</v>
      </c>
      <c r="V21" s="6">
        <f>IF(ISERROR(VLOOKUP($S$21,'TAR FIN'!$A$1:$O$88,15,0)),0,VLOOKUP($S$21,'TAR FIN'!$A$1:$O$88,15,0))</f>
        <v>20.43</v>
      </c>
      <c r="W21" s="6">
        <f>IF(ISERROR(VLOOKUP($T$21,'TAR FIN'!$A$1:$O$88,15,0)),0,VLOOKUP($T$21,'TAR FIN'!$A$1:$O$88,15,0))</f>
        <v>0</v>
      </c>
      <c r="X21" s="6">
        <f>IF(ISERROR(VLOOKUP($U$21,'TAR FIN'!$A$1:$O$88,15,0)),0,VLOOKUP($U$21,'TAR FIN'!$A$1:$O$88,15,0))</f>
        <v>0</v>
      </c>
      <c r="Y21" s="6">
        <f ca="1">('TUSD BE'!$AM$10+'TUSD BF'!$AM$10+'TUSD CVA'!$AM$10)*1</f>
        <v>17.702312702839738</v>
      </c>
      <c r="Z21" s="6"/>
      <c r="AA21" s="6"/>
      <c r="AB21" s="6">
        <f t="shared" si="0"/>
        <v>16440.2881964109</v>
      </c>
      <c r="AC21" s="6">
        <f t="shared" si="1"/>
        <v>0</v>
      </c>
      <c r="AD21" s="6">
        <f t="shared" ca="1" si="2"/>
        <v>14245.282553973122</v>
      </c>
      <c r="AE21" s="6">
        <f t="shared" si="3"/>
        <v>0</v>
      </c>
      <c r="AF21" s="4" t="s">
        <v>620</v>
      </c>
    </row>
    <row r="22" spans="1:32" ht="11.25" customHeight="1" x14ac:dyDescent="0.25">
      <c r="A22" s="4" t="s">
        <v>21</v>
      </c>
      <c r="B22" s="4" t="s">
        <v>34</v>
      </c>
      <c r="C22" s="4" t="s">
        <v>35</v>
      </c>
      <c r="D22" s="4" t="s">
        <v>33</v>
      </c>
      <c r="E22" s="4" t="s">
        <v>25</v>
      </c>
      <c r="F22" s="4" t="s">
        <v>50</v>
      </c>
      <c r="G22" s="4" t="s">
        <v>25</v>
      </c>
      <c r="H22" s="4" t="s">
        <v>25</v>
      </c>
      <c r="I22" s="5">
        <v>44652</v>
      </c>
      <c r="J22" s="6">
        <v>1572</v>
      </c>
      <c r="K22" s="6">
        <v>822.37163124000006</v>
      </c>
      <c r="L22" s="6">
        <v>0</v>
      </c>
      <c r="M22" s="6">
        <v>0</v>
      </c>
      <c r="N22" s="6">
        <v>0</v>
      </c>
      <c r="O22" s="6">
        <v>0</v>
      </c>
      <c r="P22" s="6">
        <v>3</v>
      </c>
      <c r="Q22" s="4" t="s">
        <v>51</v>
      </c>
      <c r="R22" s="4">
        <v>0</v>
      </c>
      <c r="S22" s="4">
        <v>6</v>
      </c>
      <c r="T22" s="4">
        <v>0</v>
      </c>
      <c r="U22" s="4">
        <v>0</v>
      </c>
      <c r="V22" s="6">
        <f>IF(ISERROR(VLOOKUP($S$22,'TAR FIN'!$A$1:$O$88,15,0)),0,VLOOKUP($S$22,'TAR FIN'!$A$1:$O$88,15,0))</f>
        <v>20.43</v>
      </c>
      <c r="W22" s="6">
        <f>IF(ISERROR(VLOOKUP($T$22,'TAR FIN'!$A$1:$O$88,15,0)),0,VLOOKUP($T$22,'TAR FIN'!$A$1:$O$88,15,0))</f>
        <v>0</v>
      </c>
      <c r="X22" s="6">
        <f>IF(ISERROR(VLOOKUP($U$22,'TAR FIN'!$A$1:$O$88,15,0)),0,VLOOKUP($U$22,'TAR FIN'!$A$1:$O$88,15,0))</f>
        <v>0</v>
      </c>
      <c r="Y22" s="6">
        <f ca="1">('TUSD BE'!$AM$10+'TUSD BF'!$AM$10+'TUSD CVA'!$AM$10)*1</f>
        <v>17.702312702839738</v>
      </c>
      <c r="Z22" s="6"/>
      <c r="AA22" s="6"/>
      <c r="AB22" s="6">
        <f t="shared" si="0"/>
        <v>15314.907573766799</v>
      </c>
      <c r="AC22" s="6">
        <f t="shared" si="1"/>
        <v>0</v>
      </c>
      <c r="AD22" s="6">
        <f t="shared" ca="1" si="2"/>
        <v>13270.155794709179</v>
      </c>
      <c r="AE22" s="6">
        <f t="shared" si="3"/>
        <v>0</v>
      </c>
      <c r="AF22" s="4" t="s">
        <v>620</v>
      </c>
    </row>
    <row r="23" spans="1:32" ht="11.25" customHeight="1" x14ac:dyDescent="0.25">
      <c r="A23" s="4" t="s">
        <v>21</v>
      </c>
      <c r="B23" s="4" t="s">
        <v>34</v>
      </c>
      <c r="C23" s="4" t="s">
        <v>35</v>
      </c>
      <c r="D23" s="4" t="s">
        <v>33</v>
      </c>
      <c r="E23" s="4" t="s">
        <v>25</v>
      </c>
      <c r="F23" s="4" t="s">
        <v>50</v>
      </c>
      <c r="G23" s="4" t="s">
        <v>25</v>
      </c>
      <c r="H23" s="4" t="s">
        <v>25</v>
      </c>
      <c r="I23" s="5">
        <v>44682</v>
      </c>
      <c r="J23" s="6">
        <v>1602</v>
      </c>
      <c r="K23" s="6">
        <v>803.84548842000004</v>
      </c>
      <c r="L23" s="6">
        <v>0</v>
      </c>
      <c r="M23" s="6">
        <v>0</v>
      </c>
      <c r="N23" s="6">
        <v>0</v>
      </c>
      <c r="O23" s="6">
        <v>0</v>
      </c>
      <c r="P23" s="6">
        <v>3</v>
      </c>
      <c r="Q23" s="4" t="s">
        <v>51</v>
      </c>
      <c r="R23" s="4">
        <v>0</v>
      </c>
      <c r="S23" s="4">
        <v>6</v>
      </c>
      <c r="T23" s="4">
        <v>0</v>
      </c>
      <c r="U23" s="4">
        <v>0</v>
      </c>
      <c r="V23" s="6">
        <f>IF(ISERROR(VLOOKUP($S$23,'TAR FIN'!$A$1:$O$88,15,0)),0,VLOOKUP($S$23,'TAR FIN'!$A$1:$O$88,15,0))</f>
        <v>20.43</v>
      </c>
      <c r="W23" s="6">
        <f>IF(ISERROR(VLOOKUP($T$23,'TAR FIN'!$A$1:$O$88,15,0)),0,VLOOKUP($T$23,'TAR FIN'!$A$1:$O$88,15,0))</f>
        <v>0</v>
      </c>
      <c r="X23" s="6">
        <f>IF(ISERROR(VLOOKUP($U$23,'TAR FIN'!$A$1:$O$88,15,0)),0,VLOOKUP($U$23,'TAR FIN'!$A$1:$O$88,15,0))</f>
        <v>0</v>
      </c>
      <c r="Y23" s="6">
        <f ca="1">('TUSD BE'!$AM$10+'TUSD BF'!$AM$10+'TUSD CVA'!$AM$10)*1</f>
        <v>17.702312702839738</v>
      </c>
      <c r="Z23" s="6"/>
      <c r="AA23" s="6"/>
      <c r="AB23" s="6">
        <f t="shared" si="0"/>
        <v>16306.296671579399</v>
      </c>
      <c r="AC23" s="6">
        <f t="shared" si="1"/>
        <v>0</v>
      </c>
      <c r="AD23" s="6">
        <f t="shared" ca="1" si="2"/>
        <v>14129.180749171479</v>
      </c>
      <c r="AE23" s="6">
        <f t="shared" si="3"/>
        <v>0</v>
      </c>
      <c r="AF23" s="4" t="s">
        <v>620</v>
      </c>
    </row>
    <row r="24" spans="1:32" ht="11.25" customHeight="1" x14ac:dyDescent="0.25">
      <c r="A24" s="4" t="s">
        <v>21</v>
      </c>
      <c r="B24" s="4" t="s">
        <v>34</v>
      </c>
      <c r="C24" s="4" t="s">
        <v>35</v>
      </c>
      <c r="D24" s="4" t="s">
        <v>33</v>
      </c>
      <c r="E24" s="4" t="s">
        <v>25</v>
      </c>
      <c r="F24" s="4" t="s">
        <v>50</v>
      </c>
      <c r="G24" s="4" t="s">
        <v>25</v>
      </c>
      <c r="H24" s="4" t="s">
        <v>25</v>
      </c>
      <c r="I24" s="5">
        <v>44713</v>
      </c>
      <c r="J24" s="6">
        <v>1549</v>
      </c>
      <c r="K24" s="6">
        <v>810.33947633000002</v>
      </c>
      <c r="L24" s="6">
        <v>0</v>
      </c>
      <c r="M24" s="6">
        <v>0</v>
      </c>
      <c r="N24" s="6">
        <v>0</v>
      </c>
      <c r="O24" s="6">
        <v>0</v>
      </c>
      <c r="P24" s="6">
        <v>3</v>
      </c>
      <c r="Q24" s="4" t="s">
        <v>51</v>
      </c>
      <c r="R24" s="4">
        <v>0</v>
      </c>
      <c r="S24" s="4">
        <v>6</v>
      </c>
      <c r="T24" s="4">
        <v>0</v>
      </c>
      <c r="U24" s="4">
        <v>0</v>
      </c>
      <c r="V24" s="6">
        <f>IF(ISERROR(VLOOKUP($S$24,'TAR FIN'!$A$1:$O$88,15,0)),0,VLOOKUP($S$24,'TAR FIN'!$A$1:$O$88,15,0))</f>
        <v>20.43</v>
      </c>
      <c r="W24" s="6">
        <f>IF(ISERROR(VLOOKUP($T$24,'TAR FIN'!$A$1:$O$88,15,0)),0,VLOOKUP($T$24,'TAR FIN'!$A$1:$O$88,15,0))</f>
        <v>0</v>
      </c>
      <c r="X24" s="6">
        <f>IF(ISERROR(VLOOKUP($U$24,'TAR FIN'!$A$1:$O$88,15,0)),0,VLOOKUP($U$24,'TAR FIN'!$A$1:$O$88,15,0))</f>
        <v>0</v>
      </c>
      <c r="Y24" s="6">
        <f ca="1">('TUSD BE'!$AM$10+'TUSD BF'!$AM$10+'TUSD CVA'!$AM$10)*1</f>
        <v>17.702312702839738</v>
      </c>
      <c r="Z24" s="6"/>
      <c r="AA24" s="6"/>
      <c r="AB24" s="6">
        <f t="shared" si="0"/>
        <v>15090.834498578099</v>
      </c>
      <c r="AC24" s="6">
        <f t="shared" si="1"/>
        <v>0</v>
      </c>
      <c r="AD24" s="6">
        <f t="shared" ca="1" si="2"/>
        <v>13075.999571249693</v>
      </c>
      <c r="AE24" s="6">
        <f t="shared" si="3"/>
        <v>0</v>
      </c>
      <c r="AF24" s="4" t="s">
        <v>620</v>
      </c>
    </row>
    <row r="25" spans="1:32" ht="11.25" customHeight="1" x14ac:dyDescent="0.25">
      <c r="A25" s="4" t="s">
        <v>21</v>
      </c>
      <c r="B25" s="4" t="s">
        <v>34</v>
      </c>
      <c r="C25" s="4" t="s">
        <v>35</v>
      </c>
      <c r="D25" s="4" t="s">
        <v>33</v>
      </c>
      <c r="E25" s="4" t="s">
        <v>25</v>
      </c>
      <c r="F25" s="4" t="s">
        <v>50</v>
      </c>
      <c r="G25" s="4" t="s">
        <v>25</v>
      </c>
      <c r="H25" s="4" t="s">
        <v>25</v>
      </c>
      <c r="I25" s="5">
        <v>44743</v>
      </c>
      <c r="J25" s="6">
        <v>1559</v>
      </c>
      <c r="K25" s="6">
        <v>782.26911139000003</v>
      </c>
      <c r="L25" s="6">
        <v>0</v>
      </c>
      <c r="M25" s="6">
        <v>0</v>
      </c>
      <c r="N25" s="6">
        <v>0</v>
      </c>
      <c r="O25" s="6">
        <v>0</v>
      </c>
      <c r="P25" s="6">
        <v>3</v>
      </c>
      <c r="Q25" s="4" t="s">
        <v>51</v>
      </c>
      <c r="R25" s="4">
        <v>0</v>
      </c>
      <c r="S25" s="4">
        <v>6</v>
      </c>
      <c r="T25" s="4">
        <v>0</v>
      </c>
      <c r="U25" s="4">
        <v>0</v>
      </c>
      <c r="V25" s="6">
        <f>IF(ISERROR(VLOOKUP($S$25,'TAR FIN'!$A$1:$O$88,15,0)),0,VLOOKUP($S$25,'TAR FIN'!$A$1:$O$88,15,0))</f>
        <v>20.43</v>
      </c>
      <c r="W25" s="6">
        <f>IF(ISERROR(VLOOKUP($T$25,'TAR FIN'!$A$1:$O$88,15,0)),0,VLOOKUP($T$25,'TAR FIN'!$A$1:$O$88,15,0))</f>
        <v>0</v>
      </c>
      <c r="X25" s="6">
        <f>IF(ISERROR(VLOOKUP($U$25,'TAR FIN'!$A$1:$O$88,15,0)),0,VLOOKUP($U$25,'TAR FIN'!$A$1:$O$88,15,0))</f>
        <v>0</v>
      </c>
      <c r="Y25" s="6">
        <f ca="1">('TUSD BE'!$AM$10+'TUSD BF'!$AM$10+'TUSD CVA'!$AM$10)*1</f>
        <v>17.702312702839738</v>
      </c>
      <c r="Z25" s="6"/>
      <c r="AA25" s="6"/>
      <c r="AB25" s="6">
        <f t="shared" si="0"/>
        <v>15868.612054302299</v>
      </c>
      <c r="AC25" s="6">
        <f t="shared" si="1"/>
        <v>0</v>
      </c>
      <c r="AD25" s="6">
        <f t="shared" ca="1" si="2"/>
        <v>13749.9330761288</v>
      </c>
      <c r="AE25" s="6">
        <f t="shared" si="3"/>
        <v>0</v>
      </c>
      <c r="AF25" s="4" t="s">
        <v>620</v>
      </c>
    </row>
    <row r="26" spans="1:32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50</v>
      </c>
      <c r="G26" s="4" t="s">
        <v>25</v>
      </c>
      <c r="H26" s="4" t="s">
        <v>36</v>
      </c>
      <c r="I26" s="5">
        <v>44409</v>
      </c>
      <c r="J26" s="6">
        <v>0</v>
      </c>
      <c r="K26" s="6">
        <v>0</v>
      </c>
      <c r="L26" s="6">
        <v>37.838000000000001</v>
      </c>
      <c r="M26" s="6">
        <v>21.19501094348</v>
      </c>
      <c r="N26" s="6">
        <v>0</v>
      </c>
      <c r="O26" s="6">
        <v>0</v>
      </c>
      <c r="P26" s="6">
        <v>0</v>
      </c>
      <c r="Q26" s="4" t="s">
        <v>51</v>
      </c>
      <c r="R26" s="4">
        <v>0</v>
      </c>
      <c r="S26" s="4">
        <v>0</v>
      </c>
      <c r="T26" s="4">
        <v>7</v>
      </c>
      <c r="U26" s="4">
        <v>0</v>
      </c>
      <c r="V26" s="6">
        <f>IF(ISERROR(VLOOKUP($S$26,'TAR FIN'!$A$1:$O$88,15,0)),0,VLOOKUP($S$26,'TAR FIN'!$A$1:$O$88,15,0))</f>
        <v>0</v>
      </c>
      <c r="W26" s="6">
        <f>IF(ISERROR(VLOOKUP($T$26,'TAR FIN'!$A$1:$O$88,15,0)),0,VLOOKUP($T$26,'TAR FIN'!$A$1:$O$88,15,0))</f>
        <v>1419.25</v>
      </c>
      <c r="X26" s="6">
        <f>IF(ISERROR(VLOOKUP($U$26,'TAR FIN'!$A$1:$O$88,15,0)),0,VLOOKUP($U$26,'TAR FIN'!$A$1:$O$88,15,0))</f>
        <v>0</v>
      </c>
      <c r="Y26" s="6"/>
      <c r="Z26" s="6">
        <f ca="1">('TUSD BE'!$AM$11+'TUSD BF'!$AM$11+'TUSD CVA'!$AM$11)*1</f>
        <v>1283.8542973241515</v>
      </c>
      <c r="AA26" s="6"/>
      <c r="AB26" s="6">
        <f t="shared" si="0"/>
        <v>0</v>
      </c>
      <c r="AC26" s="6">
        <f t="shared" si="1"/>
        <v>23620.562218466013</v>
      </c>
      <c r="AD26" s="6">
        <f t="shared" si="2"/>
        <v>0</v>
      </c>
      <c r="AE26" s="6">
        <f t="shared" ca="1" si="3"/>
        <v>21367.173020532031</v>
      </c>
      <c r="AF26" s="4" t="s">
        <v>620</v>
      </c>
    </row>
    <row r="27" spans="1:32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50</v>
      </c>
      <c r="G27" s="4" t="s">
        <v>25</v>
      </c>
      <c r="H27" s="4" t="s">
        <v>36</v>
      </c>
      <c r="I27" s="5">
        <v>44440</v>
      </c>
      <c r="J27" s="6">
        <v>0</v>
      </c>
      <c r="K27" s="6">
        <v>0</v>
      </c>
      <c r="L27" s="6">
        <v>34.56</v>
      </c>
      <c r="M27" s="6">
        <v>19.6570637568</v>
      </c>
      <c r="N27" s="6">
        <v>0</v>
      </c>
      <c r="O27" s="6">
        <v>0</v>
      </c>
      <c r="P27" s="6">
        <v>0</v>
      </c>
      <c r="Q27" s="4" t="s">
        <v>51</v>
      </c>
      <c r="R27" s="4">
        <v>0</v>
      </c>
      <c r="S27" s="4">
        <v>0</v>
      </c>
      <c r="T27" s="4">
        <v>7</v>
      </c>
      <c r="U27" s="4">
        <v>0</v>
      </c>
      <c r="V27" s="6">
        <f>IF(ISERROR(VLOOKUP($S$27,'TAR FIN'!$A$1:$O$88,15,0)),0,VLOOKUP($S$27,'TAR FIN'!$A$1:$O$88,15,0))</f>
        <v>0</v>
      </c>
      <c r="W27" s="6">
        <f>IF(ISERROR(VLOOKUP($T$27,'TAR FIN'!$A$1:$O$88,15,0)),0,VLOOKUP($T$27,'TAR FIN'!$A$1:$O$88,15,0))</f>
        <v>1419.25</v>
      </c>
      <c r="X27" s="6">
        <f>IF(ISERROR(VLOOKUP($U$27,'TAR FIN'!$A$1:$O$88,15,0)),0,VLOOKUP($U$27,'TAR FIN'!$A$1:$O$88,15,0))</f>
        <v>0</v>
      </c>
      <c r="Y27" s="6"/>
      <c r="Z27" s="6">
        <f ca="1">('TUSD BE'!$AM$11+'TUSD BF'!$AM$11+'TUSD CVA'!$AM$11)*1</f>
        <v>1283.8542973241515</v>
      </c>
      <c r="AA27" s="6"/>
      <c r="AB27" s="6">
        <f t="shared" si="0"/>
        <v>0</v>
      </c>
      <c r="AC27" s="6">
        <f t="shared" si="1"/>
        <v>21150.992263161603</v>
      </c>
      <c r="AD27" s="6">
        <f t="shared" si="2"/>
        <v>0</v>
      </c>
      <c r="AE27" s="6">
        <f t="shared" ca="1" si="3"/>
        <v>19133.198738580169</v>
      </c>
      <c r="AF27" s="4" t="s">
        <v>620</v>
      </c>
    </row>
    <row r="28" spans="1:32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50</v>
      </c>
      <c r="G28" s="4" t="s">
        <v>25</v>
      </c>
      <c r="H28" s="4" t="s">
        <v>36</v>
      </c>
      <c r="I28" s="5">
        <v>44470</v>
      </c>
      <c r="J28" s="6">
        <v>0</v>
      </c>
      <c r="K28" s="6">
        <v>0</v>
      </c>
      <c r="L28" s="6">
        <v>34.85</v>
      </c>
      <c r="M28" s="6">
        <v>19.911656580500001</v>
      </c>
      <c r="N28" s="6">
        <v>0</v>
      </c>
      <c r="O28" s="6">
        <v>0</v>
      </c>
      <c r="P28" s="6">
        <v>0</v>
      </c>
      <c r="Q28" s="4" t="s">
        <v>51</v>
      </c>
      <c r="R28" s="4">
        <v>0</v>
      </c>
      <c r="S28" s="4">
        <v>0</v>
      </c>
      <c r="T28" s="4">
        <v>7</v>
      </c>
      <c r="U28" s="4">
        <v>0</v>
      </c>
      <c r="V28" s="6">
        <f>IF(ISERROR(VLOOKUP($S$28,'TAR FIN'!$A$1:$O$88,15,0)),0,VLOOKUP($S$28,'TAR FIN'!$A$1:$O$88,15,0))</f>
        <v>0</v>
      </c>
      <c r="W28" s="6">
        <f>IF(ISERROR(VLOOKUP($T$28,'TAR FIN'!$A$1:$O$88,15,0)),0,VLOOKUP($T$28,'TAR FIN'!$A$1:$O$88,15,0))</f>
        <v>1419.25</v>
      </c>
      <c r="X28" s="6">
        <f>IF(ISERROR(VLOOKUP($U$28,'TAR FIN'!$A$1:$O$88,15,0)),0,VLOOKUP($U$28,'TAR FIN'!$A$1:$O$88,15,0))</f>
        <v>0</v>
      </c>
      <c r="Y28" s="6"/>
      <c r="Z28" s="6">
        <f ca="1">('TUSD BE'!$AM$11+'TUSD BF'!$AM$11+'TUSD CVA'!$AM$11)*1</f>
        <v>1283.8542973241515</v>
      </c>
      <c r="AA28" s="6"/>
      <c r="AB28" s="6">
        <f t="shared" si="0"/>
        <v>0</v>
      </c>
      <c r="AC28" s="6">
        <f t="shared" si="1"/>
        <v>21201.243898125376</v>
      </c>
      <c r="AD28" s="6">
        <f t="shared" si="2"/>
        <v>0</v>
      </c>
      <c r="AE28" s="6">
        <f t="shared" ca="1" si="3"/>
        <v>19178.656394029036</v>
      </c>
      <c r="AF28" s="4" t="s">
        <v>620</v>
      </c>
    </row>
    <row r="29" spans="1:32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50</v>
      </c>
      <c r="G29" s="4" t="s">
        <v>25</v>
      </c>
      <c r="H29" s="4" t="s">
        <v>36</v>
      </c>
      <c r="I29" s="5">
        <v>44501</v>
      </c>
      <c r="J29" s="6">
        <v>0</v>
      </c>
      <c r="K29" s="6">
        <v>0</v>
      </c>
      <c r="L29" s="6">
        <v>45.478000000000002</v>
      </c>
      <c r="M29" s="6">
        <v>24.032740862360001</v>
      </c>
      <c r="N29" s="6">
        <v>0</v>
      </c>
      <c r="O29" s="6">
        <v>0</v>
      </c>
      <c r="P29" s="6">
        <v>0</v>
      </c>
      <c r="Q29" s="4" t="s">
        <v>51</v>
      </c>
      <c r="R29" s="4">
        <v>0</v>
      </c>
      <c r="S29" s="4">
        <v>0</v>
      </c>
      <c r="T29" s="4">
        <v>7</v>
      </c>
      <c r="U29" s="4">
        <v>0</v>
      </c>
      <c r="V29" s="6">
        <f>IF(ISERROR(VLOOKUP($S$29,'TAR FIN'!$A$1:$O$88,15,0)),0,VLOOKUP($S$29,'TAR FIN'!$A$1:$O$88,15,0))</f>
        <v>0</v>
      </c>
      <c r="W29" s="6">
        <f>IF(ISERROR(VLOOKUP($T$29,'TAR FIN'!$A$1:$O$88,15,0)),0,VLOOKUP($T$29,'TAR FIN'!$A$1:$O$88,15,0))</f>
        <v>1419.25</v>
      </c>
      <c r="X29" s="6">
        <f>IF(ISERROR(VLOOKUP($U$29,'TAR FIN'!$A$1:$O$88,15,0)),0,VLOOKUP($U$29,'TAR FIN'!$A$1:$O$88,15,0))</f>
        <v>0</v>
      </c>
      <c r="Y29" s="6"/>
      <c r="Z29" s="6">
        <f ca="1">('TUSD BE'!$AM$11+'TUSD BF'!$AM$11+'TUSD CVA'!$AM$11)*1</f>
        <v>1283.8542973241515</v>
      </c>
      <c r="AA29" s="6"/>
      <c r="AB29" s="6">
        <f t="shared" si="0"/>
        <v>0</v>
      </c>
      <c r="AC29" s="6">
        <f t="shared" si="1"/>
        <v>30436.18403109557</v>
      </c>
      <c r="AD29" s="6">
        <f t="shared" si="2"/>
        <v>0</v>
      </c>
      <c r="AE29" s="6">
        <f t="shared" ca="1" si="3"/>
        <v>27532.588101089143</v>
      </c>
      <c r="AF29" s="4" t="s">
        <v>620</v>
      </c>
    </row>
    <row r="30" spans="1:32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50</v>
      </c>
      <c r="G30" s="4" t="s">
        <v>25</v>
      </c>
      <c r="H30" s="4" t="s">
        <v>36</v>
      </c>
      <c r="I30" s="5">
        <v>44531</v>
      </c>
      <c r="J30" s="6">
        <v>0</v>
      </c>
      <c r="K30" s="6">
        <v>0</v>
      </c>
      <c r="L30" s="6">
        <v>52.598999999999997</v>
      </c>
      <c r="M30" s="6">
        <v>28.7452062228</v>
      </c>
      <c r="N30" s="6">
        <v>0</v>
      </c>
      <c r="O30" s="6">
        <v>0</v>
      </c>
      <c r="P30" s="6">
        <v>0</v>
      </c>
      <c r="Q30" s="4" t="s">
        <v>51</v>
      </c>
      <c r="R30" s="4">
        <v>0</v>
      </c>
      <c r="S30" s="4">
        <v>0</v>
      </c>
      <c r="T30" s="4">
        <v>7</v>
      </c>
      <c r="U30" s="4">
        <v>0</v>
      </c>
      <c r="V30" s="6">
        <f>IF(ISERROR(VLOOKUP($S$30,'TAR FIN'!$A$1:$O$88,15,0)),0,VLOOKUP($S$30,'TAR FIN'!$A$1:$O$88,15,0))</f>
        <v>0</v>
      </c>
      <c r="W30" s="6">
        <f>IF(ISERROR(VLOOKUP($T$30,'TAR FIN'!$A$1:$O$88,15,0)),0,VLOOKUP($T$30,'TAR FIN'!$A$1:$O$88,15,0))</f>
        <v>1419.25</v>
      </c>
      <c r="X30" s="6">
        <f>IF(ISERROR(VLOOKUP($U$30,'TAR FIN'!$A$1:$O$88,15,0)),0,VLOOKUP($U$30,'TAR FIN'!$A$1:$O$88,15,0))</f>
        <v>0</v>
      </c>
      <c r="Y30" s="6"/>
      <c r="Z30" s="6">
        <f ca="1">('TUSD BE'!$AM$11+'TUSD BF'!$AM$11+'TUSD CVA'!$AM$11)*1</f>
        <v>1283.8542973241515</v>
      </c>
      <c r="AA30" s="6"/>
      <c r="AB30" s="6">
        <f t="shared" si="0"/>
        <v>0</v>
      </c>
      <c r="AC30" s="6">
        <f t="shared" si="1"/>
        <v>33854.496818291096</v>
      </c>
      <c r="AD30" s="6">
        <f t="shared" si="2"/>
        <v>0</v>
      </c>
      <c r="AE30" s="6">
        <f t="shared" ca="1" si="3"/>
        <v>30624.795648342319</v>
      </c>
      <c r="AF30" s="4" t="s">
        <v>620</v>
      </c>
    </row>
    <row r="31" spans="1:32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50</v>
      </c>
      <c r="G31" s="4" t="s">
        <v>25</v>
      </c>
      <c r="H31" s="4" t="s">
        <v>36</v>
      </c>
      <c r="I31" s="5">
        <v>44562</v>
      </c>
      <c r="J31" s="6">
        <v>0</v>
      </c>
      <c r="K31" s="6">
        <v>0</v>
      </c>
      <c r="L31" s="6">
        <v>51.326999999999998</v>
      </c>
      <c r="M31" s="6">
        <v>27.832831548840002</v>
      </c>
      <c r="N31" s="6">
        <v>0</v>
      </c>
      <c r="O31" s="6">
        <v>0</v>
      </c>
      <c r="P31" s="6">
        <v>0</v>
      </c>
      <c r="Q31" s="4" t="s">
        <v>51</v>
      </c>
      <c r="R31" s="4">
        <v>0</v>
      </c>
      <c r="S31" s="4">
        <v>0</v>
      </c>
      <c r="T31" s="4">
        <v>7</v>
      </c>
      <c r="U31" s="4">
        <v>0</v>
      </c>
      <c r="V31" s="6">
        <f>IF(ISERROR(VLOOKUP($S$31,'TAR FIN'!$A$1:$O$88,15,0)),0,VLOOKUP($S$31,'TAR FIN'!$A$1:$O$88,15,0))</f>
        <v>0</v>
      </c>
      <c r="W31" s="6">
        <f>IF(ISERROR(VLOOKUP($T$31,'TAR FIN'!$A$1:$O$88,15,0)),0,VLOOKUP($T$31,'TAR FIN'!$A$1:$O$88,15,0))</f>
        <v>1419.25</v>
      </c>
      <c r="X31" s="6">
        <f>IF(ISERROR(VLOOKUP($U$31,'TAR FIN'!$A$1:$O$88,15,0)),0,VLOOKUP($U$31,'TAR FIN'!$A$1:$O$88,15,0))</f>
        <v>0</v>
      </c>
      <c r="Y31" s="6"/>
      <c r="Z31" s="6">
        <f ca="1">('TUSD BE'!$AM$11+'TUSD BF'!$AM$11+'TUSD CVA'!$AM$11)*1</f>
        <v>1283.8542973241515</v>
      </c>
      <c r="AA31" s="6"/>
      <c r="AB31" s="6">
        <f t="shared" si="0"/>
        <v>0</v>
      </c>
      <c r="AC31" s="6">
        <f t="shared" si="1"/>
        <v>33344.098574308824</v>
      </c>
      <c r="AD31" s="6">
        <f t="shared" si="2"/>
        <v>0</v>
      </c>
      <c r="AE31" s="6">
        <f t="shared" ca="1" si="3"/>
        <v>30163.089128079268</v>
      </c>
      <c r="AF31" s="4" t="s">
        <v>620</v>
      </c>
    </row>
    <row r="32" spans="1:32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50</v>
      </c>
      <c r="G32" s="4" t="s">
        <v>25</v>
      </c>
      <c r="H32" s="4" t="s">
        <v>36</v>
      </c>
      <c r="I32" s="5">
        <v>44593</v>
      </c>
      <c r="J32" s="6">
        <v>0</v>
      </c>
      <c r="K32" s="6">
        <v>0</v>
      </c>
      <c r="L32" s="6">
        <v>50.866999999999997</v>
      </c>
      <c r="M32" s="6">
        <v>27.760110799700001</v>
      </c>
      <c r="N32" s="6">
        <v>0</v>
      </c>
      <c r="O32" s="6">
        <v>0</v>
      </c>
      <c r="P32" s="6">
        <v>0</v>
      </c>
      <c r="Q32" s="4" t="s">
        <v>51</v>
      </c>
      <c r="R32" s="4">
        <v>0</v>
      </c>
      <c r="S32" s="4">
        <v>0</v>
      </c>
      <c r="T32" s="4">
        <v>7</v>
      </c>
      <c r="U32" s="4">
        <v>0</v>
      </c>
      <c r="V32" s="6">
        <f>IF(ISERROR(VLOOKUP($S$32,'TAR FIN'!$A$1:$O$88,15,0)),0,VLOOKUP($S$32,'TAR FIN'!$A$1:$O$88,15,0))</f>
        <v>0</v>
      </c>
      <c r="W32" s="6">
        <f>IF(ISERROR(VLOOKUP($T$32,'TAR FIN'!$A$1:$O$88,15,0)),0,VLOOKUP($T$32,'TAR FIN'!$A$1:$O$88,15,0))</f>
        <v>1419.25</v>
      </c>
      <c r="X32" s="6">
        <f>IF(ISERROR(VLOOKUP($U$32,'TAR FIN'!$A$1:$O$88,15,0)),0,VLOOKUP($U$32,'TAR FIN'!$A$1:$O$88,15,0))</f>
        <v>0</v>
      </c>
      <c r="Y32" s="6"/>
      <c r="Z32" s="6">
        <f ca="1">('TUSD BE'!$AM$11+'TUSD BF'!$AM$11+'TUSD CVA'!$AM$11)*1</f>
        <v>1283.8542973241515</v>
      </c>
      <c r="AA32" s="6"/>
      <c r="AB32" s="6">
        <f t="shared" si="0"/>
        <v>0</v>
      </c>
      <c r="AC32" s="6">
        <f t="shared" si="1"/>
        <v>32794.452497525766</v>
      </c>
      <c r="AD32" s="6">
        <f t="shared" si="2"/>
        <v>0</v>
      </c>
      <c r="AE32" s="6">
        <f t="shared" ca="1" si="3"/>
        <v>29665.878997598178</v>
      </c>
      <c r="AF32" s="4" t="s">
        <v>620</v>
      </c>
    </row>
    <row r="33" spans="1:32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50</v>
      </c>
      <c r="G33" s="4" t="s">
        <v>25</v>
      </c>
      <c r="H33" s="4" t="s">
        <v>36</v>
      </c>
      <c r="I33" s="5">
        <v>44621</v>
      </c>
      <c r="J33" s="6">
        <v>0</v>
      </c>
      <c r="K33" s="6">
        <v>0</v>
      </c>
      <c r="L33" s="6">
        <v>57.411999999999999</v>
      </c>
      <c r="M33" s="6">
        <v>30.320498353240001</v>
      </c>
      <c r="N33" s="6">
        <v>0</v>
      </c>
      <c r="O33" s="6">
        <v>0</v>
      </c>
      <c r="P33" s="6">
        <v>0</v>
      </c>
      <c r="Q33" s="4" t="s">
        <v>51</v>
      </c>
      <c r="R33" s="4">
        <v>0</v>
      </c>
      <c r="S33" s="4">
        <v>0</v>
      </c>
      <c r="T33" s="4">
        <v>7</v>
      </c>
      <c r="U33" s="4">
        <v>0</v>
      </c>
      <c r="V33" s="6">
        <f>IF(ISERROR(VLOOKUP($S$33,'TAR FIN'!$A$1:$O$88,15,0)),0,VLOOKUP($S$33,'TAR FIN'!$A$1:$O$88,15,0))</f>
        <v>0</v>
      </c>
      <c r="W33" s="6">
        <f>IF(ISERROR(VLOOKUP($T$33,'TAR FIN'!$A$1:$O$88,15,0)),0,VLOOKUP($T$33,'TAR FIN'!$A$1:$O$88,15,0))</f>
        <v>1419.25</v>
      </c>
      <c r="X33" s="6">
        <f>IF(ISERROR(VLOOKUP($U$33,'TAR FIN'!$A$1:$O$88,15,0)),0,VLOOKUP($U$33,'TAR FIN'!$A$1:$O$88,15,0))</f>
        <v>0</v>
      </c>
      <c r="Y33" s="6"/>
      <c r="Z33" s="6">
        <f ca="1">('TUSD BE'!$AM$11+'TUSD BF'!$AM$11+'TUSD CVA'!$AM$11)*1</f>
        <v>1283.8542973241515</v>
      </c>
      <c r="AA33" s="6"/>
      <c r="AB33" s="6">
        <f t="shared" si="0"/>
        <v>0</v>
      </c>
      <c r="AC33" s="6">
        <f t="shared" si="1"/>
        <v>38449.61371216413</v>
      </c>
      <c r="AD33" s="6">
        <f t="shared" si="2"/>
        <v>0</v>
      </c>
      <c r="AE33" s="6">
        <f t="shared" ca="1" si="3"/>
        <v>34781.540810157152</v>
      </c>
      <c r="AF33" s="4" t="s">
        <v>620</v>
      </c>
    </row>
    <row r="34" spans="1:32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50</v>
      </c>
      <c r="G34" s="4" t="s">
        <v>25</v>
      </c>
      <c r="H34" s="4" t="s">
        <v>36</v>
      </c>
      <c r="I34" s="5">
        <v>44652</v>
      </c>
      <c r="J34" s="6">
        <v>0</v>
      </c>
      <c r="K34" s="6">
        <v>0</v>
      </c>
      <c r="L34" s="6">
        <v>46.329000000000001</v>
      </c>
      <c r="M34" s="6">
        <v>25.329025626749999</v>
      </c>
      <c r="N34" s="6">
        <v>0</v>
      </c>
      <c r="O34" s="6">
        <v>0</v>
      </c>
      <c r="P34" s="6">
        <v>0</v>
      </c>
      <c r="Q34" s="4" t="s">
        <v>51</v>
      </c>
      <c r="R34" s="4">
        <v>0</v>
      </c>
      <c r="S34" s="4">
        <v>0</v>
      </c>
      <c r="T34" s="4">
        <v>7</v>
      </c>
      <c r="U34" s="4">
        <v>0</v>
      </c>
      <c r="V34" s="6">
        <f>IF(ISERROR(VLOOKUP($S$34,'TAR FIN'!$A$1:$O$88,15,0)),0,VLOOKUP($S$34,'TAR FIN'!$A$1:$O$88,15,0))</f>
        <v>0</v>
      </c>
      <c r="W34" s="6">
        <f>IF(ISERROR(VLOOKUP($T$34,'TAR FIN'!$A$1:$O$88,15,0)),0,VLOOKUP($T$34,'TAR FIN'!$A$1:$O$88,15,0))</f>
        <v>1419.25</v>
      </c>
      <c r="X34" s="6">
        <f>IF(ISERROR(VLOOKUP($U$34,'TAR FIN'!$A$1:$O$88,15,0)),0,VLOOKUP($U$34,'TAR FIN'!$A$1:$O$88,15,0))</f>
        <v>0</v>
      </c>
      <c r="Y34" s="6"/>
      <c r="Z34" s="6">
        <f ca="1">('TUSD BE'!$AM$11+'TUSD BF'!$AM$11+'TUSD CVA'!$AM$11)*1</f>
        <v>1283.8542973241515</v>
      </c>
      <c r="AA34" s="6"/>
      <c r="AB34" s="6">
        <f t="shared" ref="AB34:AB65" si="6">(J34-K34)*V34</f>
        <v>0</v>
      </c>
      <c r="AC34" s="6">
        <f t="shared" si="1"/>
        <v>29804.213629235066</v>
      </c>
      <c r="AD34" s="6">
        <f t="shared" ref="AD34:AD65" si="7">(J34-K34)*Y34</f>
        <v>0</v>
      </c>
      <c r="AE34" s="6">
        <f t="shared" ca="1" si="3"/>
        <v>26960.907342794071</v>
      </c>
      <c r="AF34" s="4" t="s">
        <v>620</v>
      </c>
    </row>
    <row r="35" spans="1:32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50</v>
      </c>
      <c r="G35" s="4" t="s">
        <v>25</v>
      </c>
      <c r="H35" s="4" t="s">
        <v>36</v>
      </c>
      <c r="I35" s="5">
        <v>44682</v>
      </c>
      <c r="J35" s="6">
        <v>0</v>
      </c>
      <c r="K35" s="6">
        <v>0</v>
      </c>
      <c r="L35" s="6">
        <v>48.935000000000002</v>
      </c>
      <c r="M35" s="6">
        <v>25.7601777257</v>
      </c>
      <c r="N35" s="6">
        <v>0</v>
      </c>
      <c r="O35" s="6">
        <v>0</v>
      </c>
      <c r="P35" s="6">
        <v>0</v>
      </c>
      <c r="Q35" s="4" t="s">
        <v>51</v>
      </c>
      <c r="R35" s="4">
        <v>0</v>
      </c>
      <c r="S35" s="4">
        <v>0</v>
      </c>
      <c r="T35" s="4">
        <v>7</v>
      </c>
      <c r="U35" s="4">
        <v>0</v>
      </c>
      <c r="V35" s="6">
        <f>IF(ISERROR(VLOOKUP($S$35,'TAR FIN'!$A$1:$O$88,15,0)),0,VLOOKUP($S$35,'TAR FIN'!$A$1:$O$88,15,0))</f>
        <v>0</v>
      </c>
      <c r="W35" s="6">
        <f>IF(ISERROR(VLOOKUP($T$35,'TAR FIN'!$A$1:$O$88,15,0)),0,VLOOKUP($T$35,'TAR FIN'!$A$1:$O$88,15,0))</f>
        <v>1419.25</v>
      </c>
      <c r="X35" s="6">
        <f>IF(ISERROR(VLOOKUP($U$35,'TAR FIN'!$A$1:$O$88,15,0)),0,VLOOKUP($U$35,'TAR FIN'!$A$1:$O$88,15,0))</f>
        <v>0</v>
      </c>
      <c r="Y35" s="6"/>
      <c r="Z35" s="6">
        <f ca="1">('TUSD BE'!$AM$11+'TUSD BF'!$AM$11+'TUSD CVA'!$AM$11)*1</f>
        <v>1283.8542973241515</v>
      </c>
      <c r="AA35" s="6"/>
      <c r="AB35" s="6">
        <f t="shared" si="6"/>
        <v>0</v>
      </c>
      <c r="AC35" s="6">
        <f t="shared" si="1"/>
        <v>32890.866512800276</v>
      </c>
      <c r="AD35" s="6">
        <f t="shared" si="7"/>
        <v>0</v>
      </c>
      <c r="AE35" s="6">
        <f t="shared" ca="1" si="3"/>
        <v>29753.095166583524</v>
      </c>
      <c r="AF35" s="4" t="s">
        <v>620</v>
      </c>
    </row>
    <row r="36" spans="1:32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50</v>
      </c>
      <c r="G36" s="4" t="s">
        <v>25</v>
      </c>
      <c r="H36" s="4" t="s">
        <v>36</v>
      </c>
      <c r="I36" s="5">
        <v>44713</v>
      </c>
      <c r="J36" s="6">
        <v>0</v>
      </c>
      <c r="K36" s="6">
        <v>0</v>
      </c>
      <c r="L36" s="6">
        <v>49.697000000000003</v>
      </c>
      <c r="M36" s="6">
        <v>27.17038111275</v>
      </c>
      <c r="N36" s="6">
        <v>0</v>
      </c>
      <c r="O36" s="6">
        <v>0</v>
      </c>
      <c r="P36" s="6">
        <v>0</v>
      </c>
      <c r="Q36" s="4" t="s">
        <v>51</v>
      </c>
      <c r="R36" s="4">
        <v>0</v>
      </c>
      <c r="S36" s="4">
        <v>0</v>
      </c>
      <c r="T36" s="4">
        <v>7</v>
      </c>
      <c r="U36" s="4">
        <v>0</v>
      </c>
      <c r="V36" s="6">
        <f>IF(ISERROR(VLOOKUP($S$36,'TAR FIN'!$A$1:$O$88,15,0)),0,VLOOKUP($S$36,'TAR FIN'!$A$1:$O$88,15,0))</f>
        <v>0</v>
      </c>
      <c r="W36" s="6">
        <f>IF(ISERROR(VLOOKUP($T$36,'TAR FIN'!$A$1:$O$88,15,0)),0,VLOOKUP($T$36,'TAR FIN'!$A$1:$O$88,15,0))</f>
        <v>1419.25</v>
      </c>
      <c r="X36" s="6">
        <f>IF(ISERROR(VLOOKUP($U$36,'TAR FIN'!$A$1:$O$88,15,0)),0,VLOOKUP($U$36,'TAR FIN'!$A$1:$O$88,15,0))</f>
        <v>0</v>
      </c>
      <c r="Y36" s="6"/>
      <c r="Z36" s="6">
        <f ca="1">('TUSD BE'!$AM$11+'TUSD BF'!$AM$11+'TUSD CVA'!$AM$11)*1</f>
        <v>1283.8542973241515</v>
      </c>
      <c r="AA36" s="6"/>
      <c r="AB36" s="6">
        <f t="shared" si="6"/>
        <v>0</v>
      </c>
      <c r="AC36" s="6">
        <f t="shared" si="1"/>
        <v>31970.903855729564</v>
      </c>
      <c r="AD36" s="6">
        <f t="shared" si="7"/>
        <v>0</v>
      </c>
      <c r="AE36" s="6">
        <f t="shared" ca="1" si="3"/>
        <v>28920.896462579312</v>
      </c>
      <c r="AF36" s="4" t="s">
        <v>620</v>
      </c>
    </row>
    <row r="37" spans="1:32" ht="11.25" customHeight="1" x14ac:dyDescent="0.25">
      <c r="A37" s="4" t="s">
        <v>21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50</v>
      </c>
      <c r="G37" s="4" t="s">
        <v>25</v>
      </c>
      <c r="H37" s="4" t="s">
        <v>36</v>
      </c>
      <c r="I37" s="5">
        <v>44743</v>
      </c>
      <c r="J37" s="6">
        <v>0</v>
      </c>
      <c r="K37" s="6">
        <v>0</v>
      </c>
      <c r="L37" s="6">
        <v>48.795999999999999</v>
      </c>
      <c r="M37" s="6">
        <v>25.68700587112</v>
      </c>
      <c r="N37" s="6">
        <v>0</v>
      </c>
      <c r="O37" s="6">
        <v>0</v>
      </c>
      <c r="P37" s="6">
        <v>0</v>
      </c>
      <c r="Q37" s="4" t="s">
        <v>51</v>
      </c>
      <c r="R37" s="4">
        <v>0</v>
      </c>
      <c r="S37" s="4">
        <v>0</v>
      </c>
      <c r="T37" s="4">
        <v>7</v>
      </c>
      <c r="U37" s="4">
        <v>0</v>
      </c>
      <c r="V37" s="6">
        <f>IF(ISERROR(VLOOKUP($S$37,'TAR FIN'!$A$1:$O$88,15,0)),0,VLOOKUP($S$37,'TAR FIN'!$A$1:$O$88,15,0))</f>
        <v>0</v>
      </c>
      <c r="W37" s="6">
        <f>IF(ISERROR(VLOOKUP($T$37,'TAR FIN'!$A$1:$O$88,15,0)),0,VLOOKUP($T$37,'TAR FIN'!$A$1:$O$88,15,0))</f>
        <v>1419.25</v>
      </c>
      <c r="X37" s="6">
        <f>IF(ISERROR(VLOOKUP($U$37,'TAR FIN'!$A$1:$O$88,15,0)),0,VLOOKUP($U$37,'TAR FIN'!$A$1:$O$88,15,0))</f>
        <v>0</v>
      </c>
      <c r="Y37" s="6"/>
      <c r="Z37" s="6">
        <f ca="1">('TUSD BE'!$AM$11+'TUSD BF'!$AM$11+'TUSD CVA'!$AM$11)*1</f>
        <v>1283.8542973241515</v>
      </c>
      <c r="AA37" s="6"/>
      <c r="AB37" s="6">
        <f t="shared" si="6"/>
        <v>0</v>
      </c>
      <c r="AC37" s="6">
        <f t="shared" si="1"/>
        <v>32797.439917412936</v>
      </c>
      <c r="AD37" s="6">
        <f t="shared" si="7"/>
        <v>0</v>
      </c>
      <c r="AE37" s="6">
        <f t="shared" ca="1" si="3"/>
        <v>29668.581419201175</v>
      </c>
      <c r="AF37" s="4" t="s">
        <v>620</v>
      </c>
    </row>
    <row r="38" spans="1:32" ht="11.25" customHeight="1" x14ac:dyDescent="0.25">
      <c r="A38" s="4" t="s">
        <v>21</v>
      </c>
      <c r="B38" s="4" t="s">
        <v>22</v>
      </c>
      <c r="C38" s="4" t="s">
        <v>23</v>
      </c>
      <c r="D38" s="4" t="s">
        <v>24</v>
      </c>
      <c r="E38" s="4" t="s">
        <v>24</v>
      </c>
      <c r="F38" s="4" t="s">
        <v>25</v>
      </c>
      <c r="G38" s="4" t="s">
        <v>25</v>
      </c>
      <c r="H38" s="4" t="s">
        <v>25</v>
      </c>
      <c r="I38" s="5">
        <v>44409</v>
      </c>
      <c r="J38" s="6">
        <v>0</v>
      </c>
      <c r="K38" s="6">
        <v>0</v>
      </c>
      <c r="L38" s="6">
        <v>542.63900000000001</v>
      </c>
      <c r="M38" s="6">
        <v>542.63900000000001</v>
      </c>
      <c r="N38" s="6">
        <v>542.63900000000001</v>
      </c>
      <c r="O38" s="6">
        <v>542.63900000000001</v>
      </c>
      <c r="P38" s="6">
        <v>2963</v>
      </c>
      <c r="Q38" s="4" t="s">
        <v>26</v>
      </c>
      <c r="R38" s="4">
        <v>0</v>
      </c>
      <c r="S38" s="4">
        <v>0</v>
      </c>
      <c r="T38" s="4">
        <v>18</v>
      </c>
      <c r="U38" s="4">
        <v>56</v>
      </c>
      <c r="V38" s="6">
        <f>IF(ISERROR(VLOOKUP($S$38,'TAR FIN'!$A$1:$O$88,15,0)),0,VLOOKUP($S$38,'TAR FIN'!$A$1:$O$88,15,0))</f>
        <v>0</v>
      </c>
      <c r="W38" s="6">
        <f>IF(ISERROR(VLOOKUP($T$38,'TAR FIN'!$A$1:$O$88,15,0)),0,VLOOKUP($T$38,'TAR FIN'!$A$1:$O$88,15,0))</f>
        <v>0</v>
      </c>
      <c r="X38" s="6">
        <f>IF(ISERROR(VLOOKUP($U$38,'TAR FIN'!$A$1:$O$88,15,0)),0,VLOOKUP($U$38,'TAR FIN'!$A$1:$O$88,15,0))</f>
        <v>0</v>
      </c>
      <c r="Y38" s="6"/>
      <c r="Z38" s="6">
        <f ca="1">('TUSD BE'!$AM$20+'TUSD BF'!$AM$20+'TUSD CVA'!$AM$20)*1</f>
        <v>493.10070772969505</v>
      </c>
      <c r="AA38" s="6">
        <f>('TE BE'!$AB$11+'TE BF'!$AB$11+'TE CVA'!$AB$11)*1</f>
        <v>290.52986273778561</v>
      </c>
      <c r="AB38" s="6">
        <f t="shared" si="6"/>
        <v>0</v>
      </c>
      <c r="AC38" s="6">
        <f t="shared" si="1"/>
        <v>0</v>
      </c>
      <c r="AD38" s="6">
        <f t="shared" si="7"/>
        <v>0</v>
      </c>
      <c r="AE38" s="6">
        <f t="shared" ca="1" si="3"/>
        <v>0</v>
      </c>
    </row>
    <row r="39" spans="1:32" ht="11.25" customHeight="1" x14ac:dyDescent="0.25">
      <c r="A39" s="4" t="s">
        <v>21</v>
      </c>
      <c r="B39" s="4" t="s">
        <v>22</v>
      </c>
      <c r="C39" s="4" t="s">
        <v>23</v>
      </c>
      <c r="D39" s="4" t="s">
        <v>24</v>
      </c>
      <c r="E39" s="4" t="s">
        <v>28</v>
      </c>
      <c r="F39" s="4" t="s">
        <v>25</v>
      </c>
      <c r="G39" s="4" t="s">
        <v>25</v>
      </c>
      <c r="H39" s="4" t="s">
        <v>25</v>
      </c>
      <c r="I39" s="5">
        <v>44409</v>
      </c>
      <c r="J39" s="6">
        <v>0</v>
      </c>
      <c r="K39" s="6">
        <v>0</v>
      </c>
      <c r="L39" s="6">
        <v>10.5</v>
      </c>
      <c r="M39" s="6">
        <v>10.5</v>
      </c>
      <c r="N39" s="6">
        <v>10.5</v>
      </c>
      <c r="O39" s="6">
        <v>10.5</v>
      </c>
      <c r="P39" s="6">
        <v>12</v>
      </c>
      <c r="Q39" s="4" t="s">
        <v>26</v>
      </c>
      <c r="R39" s="4">
        <v>0</v>
      </c>
      <c r="S39" s="4">
        <v>0</v>
      </c>
      <c r="T39" s="4">
        <v>19</v>
      </c>
      <c r="U39" s="4">
        <v>57</v>
      </c>
      <c r="V39" s="6">
        <f>IF(ISERROR(VLOOKUP($S$39,'TAR FIN'!$A$1:$O$88,15,0)),0,VLOOKUP($S$39,'TAR FIN'!$A$1:$O$88,15,0))</f>
        <v>0</v>
      </c>
      <c r="W39" s="6">
        <f>IF(ISERROR(VLOOKUP($T$39,'TAR FIN'!$A$1:$O$88,15,0)),0,VLOOKUP($T$39,'TAR FIN'!$A$1:$O$88,15,0))</f>
        <v>0</v>
      </c>
      <c r="X39" s="6">
        <f>IF(ISERROR(VLOOKUP($U$39,'TAR FIN'!$A$1:$O$88,15,0)),0,VLOOKUP($U$39,'TAR FIN'!$A$1:$O$88,15,0))</f>
        <v>0</v>
      </c>
      <c r="Y39" s="6"/>
      <c r="Z39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39" s="6">
        <f>('TE BE'!$AB$12+'TE BF'!$AB$12+'TE CVA'!$AB$12)*(1-CUSTOS!$M$34)</f>
        <v>101.68545195822496</v>
      </c>
      <c r="AB39" s="6">
        <f t="shared" si="6"/>
        <v>0</v>
      </c>
      <c r="AC39" s="6">
        <f>(L39-M39)*(W39+X39)+($W$75+$X$75-$W$39-$X$39)*(L39)</f>
        <v>0</v>
      </c>
      <c r="AD39" s="6">
        <f t="shared" si="7"/>
        <v>0</v>
      </c>
      <c r="AE39" s="6">
        <f ca="1">(L39-M39)*(Z39+AA39)+($Z$75+$AA$75-$Z$39-$AA$39)*(L39)</f>
        <v>4502.9514805959416</v>
      </c>
      <c r="AF39" s="4" t="s">
        <v>621</v>
      </c>
    </row>
    <row r="40" spans="1:32" ht="11.25" customHeight="1" x14ac:dyDescent="0.25">
      <c r="A40" s="4" t="s">
        <v>21</v>
      </c>
      <c r="B40" s="4" t="s">
        <v>22</v>
      </c>
      <c r="C40" s="4" t="s">
        <v>23</v>
      </c>
      <c r="D40" s="4" t="s">
        <v>24</v>
      </c>
      <c r="E40" s="4" t="s">
        <v>28</v>
      </c>
      <c r="F40" s="4" t="s">
        <v>25</v>
      </c>
      <c r="G40" s="4" t="s">
        <v>25</v>
      </c>
      <c r="H40" s="4" t="s">
        <v>25</v>
      </c>
      <c r="I40" s="5">
        <v>44440</v>
      </c>
      <c r="J40" s="6">
        <v>0</v>
      </c>
      <c r="K40" s="6">
        <v>0</v>
      </c>
      <c r="L40" s="6">
        <v>10.35</v>
      </c>
      <c r="M40" s="6">
        <v>10.35</v>
      </c>
      <c r="N40" s="6">
        <v>10.35</v>
      </c>
      <c r="O40" s="6">
        <v>10.35</v>
      </c>
      <c r="P40" s="6">
        <v>12</v>
      </c>
      <c r="Q40" s="4" t="s">
        <v>26</v>
      </c>
      <c r="R40" s="4">
        <v>0</v>
      </c>
      <c r="S40" s="4">
        <v>0</v>
      </c>
      <c r="T40" s="4">
        <v>19</v>
      </c>
      <c r="U40" s="4">
        <v>57</v>
      </c>
      <c r="V40" s="6">
        <f>IF(ISERROR(VLOOKUP($S$40,'TAR FIN'!$A$1:$O$88,15,0)),0,VLOOKUP($S$40,'TAR FIN'!$A$1:$O$88,15,0))</f>
        <v>0</v>
      </c>
      <c r="W40" s="6">
        <f>IF(ISERROR(VLOOKUP($T$40,'TAR FIN'!$A$1:$O$88,15,0)),0,VLOOKUP($T$40,'TAR FIN'!$A$1:$O$88,15,0))</f>
        <v>0</v>
      </c>
      <c r="X40" s="6">
        <f>IF(ISERROR(VLOOKUP($U$40,'TAR FIN'!$A$1:$O$88,15,0)),0,VLOOKUP($U$40,'TAR FIN'!$A$1:$O$88,15,0))</f>
        <v>0</v>
      </c>
      <c r="Y40" s="6"/>
      <c r="Z40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0" s="6">
        <f>('TE BE'!$AB$12+'TE BF'!$AB$12+'TE CVA'!$AB$12)*(1-CUSTOS!$M$34)</f>
        <v>101.68545195822496</v>
      </c>
      <c r="AB40" s="6">
        <f t="shared" si="6"/>
        <v>0</v>
      </c>
      <c r="AC40" s="6">
        <f>(L40-M40)*(W40+X40)+($W$75+$X$75-$W$40-$X$40)*(L40)</f>
        <v>0</v>
      </c>
      <c r="AD40" s="6">
        <f t="shared" si="7"/>
        <v>0</v>
      </c>
      <c r="AE40" s="6">
        <f ca="1">(L40-M40)*(Z40+AA40)+($Z$75+$AA$75-$Z$40-$AA$40)*(L40)</f>
        <v>4438.6236023017136</v>
      </c>
      <c r="AF40" s="4" t="s">
        <v>621</v>
      </c>
    </row>
    <row r="41" spans="1:32" ht="11.25" customHeight="1" x14ac:dyDescent="0.25">
      <c r="A41" s="4" t="s">
        <v>21</v>
      </c>
      <c r="B41" s="4" t="s">
        <v>22</v>
      </c>
      <c r="C41" s="4" t="s">
        <v>23</v>
      </c>
      <c r="D41" s="4" t="s">
        <v>24</v>
      </c>
      <c r="E41" s="4" t="s">
        <v>28</v>
      </c>
      <c r="F41" s="4" t="s">
        <v>25</v>
      </c>
      <c r="G41" s="4" t="s">
        <v>25</v>
      </c>
      <c r="H41" s="4" t="s">
        <v>25</v>
      </c>
      <c r="I41" s="5">
        <v>44470</v>
      </c>
      <c r="J41" s="6">
        <v>0</v>
      </c>
      <c r="K41" s="6">
        <v>0</v>
      </c>
      <c r="L41" s="6">
        <v>10.38</v>
      </c>
      <c r="M41" s="6">
        <v>10.38</v>
      </c>
      <c r="N41" s="6">
        <v>10.38</v>
      </c>
      <c r="O41" s="6">
        <v>10.38</v>
      </c>
      <c r="P41" s="6">
        <v>10</v>
      </c>
      <c r="Q41" s="4" t="s">
        <v>26</v>
      </c>
      <c r="R41" s="4">
        <v>0</v>
      </c>
      <c r="S41" s="4">
        <v>0</v>
      </c>
      <c r="T41" s="4">
        <v>19</v>
      </c>
      <c r="U41" s="4">
        <v>57</v>
      </c>
      <c r="V41" s="6">
        <f>IF(ISERROR(VLOOKUP($S$41,'TAR FIN'!$A$1:$O$88,15,0)),0,VLOOKUP($S$41,'TAR FIN'!$A$1:$O$88,15,0))</f>
        <v>0</v>
      </c>
      <c r="W41" s="6">
        <f>IF(ISERROR(VLOOKUP($T$41,'TAR FIN'!$A$1:$O$88,15,0)),0,VLOOKUP($T$41,'TAR FIN'!$A$1:$O$88,15,0))</f>
        <v>0</v>
      </c>
      <c r="X41" s="6">
        <f>IF(ISERROR(VLOOKUP($U$41,'TAR FIN'!$A$1:$O$88,15,0)),0,VLOOKUP($U$41,'TAR FIN'!$A$1:$O$88,15,0))</f>
        <v>0</v>
      </c>
      <c r="Y41" s="6"/>
      <c r="Z41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1" s="6">
        <f>('TE BE'!$AB$12+'TE BF'!$AB$12+'TE CVA'!$AB$12)*(1-CUSTOS!$M$34)</f>
        <v>101.68545195822496</v>
      </c>
      <c r="AB41" s="6">
        <f t="shared" si="6"/>
        <v>0</v>
      </c>
      <c r="AC41" s="6">
        <f>(L41-M41)*(W41+X41)+($W$75+$X$75-$W$41-$X$41)*(L41)</f>
        <v>0</v>
      </c>
      <c r="AD41" s="6">
        <f t="shared" si="7"/>
        <v>0</v>
      </c>
      <c r="AE41" s="6">
        <f ca="1">(L41-M41)*(Z41+AA41)+($Z$75+$AA$75-$Z$41-$AA$41)*(L41)</f>
        <v>4451.4891779605596</v>
      </c>
      <c r="AF41" s="4" t="s">
        <v>621</v>
      </c>
    </row>
    <row r="42" spans="1:32" ht="11.25" customHeight="1" x14ac:dyDescent="0.25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28</v>
      </c>
      <c r="F42" s="4" t="s">
        <v>25</v>
      </c>
      <c r="G42" s="4" t="s">
        <v>25</v>
      </c>
      <c r="H42" s="4" t="s">
        <v>25</v>
      </c>
      <c r="I42" s="5">
        <v>44501</v>
      </c>
      <c r="J42" s="6">
        <v>0</v>
      </c>
      <c r="K42" s="6">
        <v>0</v>
      </c>
      <c r="L42" s="6">
        <v>10.59</v>
      </c>
      <c r="M42" s="6">
        <v>10.59</v>
      </c>
      <c r="N42" s="6">
        <v>10.59</v>
      </c>
      <c r="O42" s="6">
        <v>10.59</v>
      </c>
      <c r="P42" s="6">
        <v>10</v>
      </c>
      <c r="Q42" s="4" t="s">
        <v>26</v>
      </c>
      <c r="R42" s="4">
        <v>0</v>
      </c>
      <c r="S42" s="4">
        <v>0</v>
      </c>
      <c r="T42" s="4">
        <v>19</v>
      </c>
      <c r="U42" s="4">
        <v>57</v>
      </c>
      <c r="V42" s="6">
        <f>IF(ISERROR(VLOOKUP($S$42,'TAR FIN'!$A$1:$O$88,15,0)),0,VLOOKUP($S$42,'TAR FIN'!$A$1:$O$88,15,0))</f>
        <v>0</v>
      </c>
      <c r="W42" s="6">
        <f>IF(ISERROR(VLOOKUP($T$42,'TAR FIN'!$A$1:$O$88,15,0)),0,VLOOKUP($T$42,'TAR FIN'!$A$1:$O$88,15,0))</f>
        <v>0</v>
      </c>
      <c r="X42" s="6">
        <f>IF(ISERROR(VLOOKUP($U$42,'TAR FIN'!$A$1:$O$88,15,0)),0,VLOOKUP($U$42,'TAR FIN'!$A$1:$O$88,15,0))</f>
        <v>0</v>
      </c>
      <c r="Y42" s="6"/>
      <c r="Z42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2" s="6">
        <f>('TE BE'!$AB$12+'TE BF'!$AB$12+'TE CVA'!$AB$12)*(1-CUSTOS!$M$34)</f>
        <v>101.68545195822496</v>
      </c>
      <c r="AB42" s="6">
        <f t="shared" si="6"/>
        <v>0</v>
      </c>
      <c r="AC42" s="6">
        <f>(L42-M42)*(W42+X42)+($W$75+$X$75-$W$42-$X$42)*(L42)</f>
        <v>0</v>
      </c>
      <c r="AD42" s="6">
        <f t="shared" si="7"/>
        <v>0</v>
      </c>
      <c r="AE42" s="6">
        <f ca="1">(L42-M42)*(Z42+AA42)+($Z$75+$AA$75-$Z$42-$AA$42)*(L42)</f>
        <v>4541.5482075724776</v>
      </c>
      <c r="AF42" s="4" t="s">
        <v>621</v>
      </c>
    </row>
    <row r="43" spans="1:32" ht="11.25" customHeight="1" x14ac:dyDescent="0.25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28</v>
      </c>
      <c r="F43" s="4" t="s">
        <v>25</v>
      </c>
      <c r="G43" s="4" t="s">
        <v>25</v>
      </c>
      <c r="H43" s="4" t="s">
        <v>25</v>
      </c>
      <c r="I43" s="5">
        <v>44531</v>
      </c>
      <c r="J43" s="6">
        <v>0</v>
      </c>
      <c r="K43" s="6">
        <v>0</v>
      </c>
      <c r="L43" s="6">
        <v>10.74</v>
      </c>
      <c r="M43" s="6">
        <v>10.74</v>
      </c>
      <c r="N43" s="6">
        <v>10.74</v>
      </c>
      <c r="O43" s="6">
        <v>10.74</v>
      </c>
      <c r="P43" s="6">
        <v>6</v>
      </c>
      <c r="Q43" s="4" t="s">
        <v>26</v>
      </c>
      <c r="R43" s="4">
        <v>0</v>
      </c>
      <c r="S43" s="4">
        <v>0</v>
      </c>
      <c r="T43" s="4">
        <v>19</v>
      </c>
      <c r="U43" s="4">
        <v>57</v>
      </c>
      <c r="V43" s="6">
        <f>IF(ISERROR(VLOOKUP($S$43,'TAR FIN'!$A$1:$O$88,15,0)),0,VLOOKUP($S$43,'TAR FIN'!$A$1:$O$88,15,0))</f>
        <v>0</v>
      </c>
      <c r="W43" s="6">
        <f>IF(ISERROR(VLOOKUP($T$43,'TAR FIN'!$A$1:$O$88,15,0)),0,VLOOKUP($T$43,'TAR FIN'!$A$1:$O$88,15,0))</f>
        <v>0</v>
      </c>
      <c r="X43" s="6">
        <f>IF(ISERROR(VLOOKUP($U$43,'TAR FIN'!$A$1:$O$88,15,0)),0,VLOOKUP($U$43,'TAR FIN'!$A$1:$O$88,15,0))</f>
        <v>0</v>
      </c>
      <c r="Y43" s="6"/>
      <c r="Z43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3" s="6">
        <f>('TE BE'!$AB$12+'TE BF'!$AB$12+'TE CVA'!$AB$12)*(1-CUSTOS!$M$34)</f>
        <v>101.68545195822496</v>
      </c>
      <c r="AB43" s="6">
        <f t="shared" si="6"/>
        <v>0</v>
      </c>
      <c r="AC43" s="6">
        <f>(L43-M43)*(W43+X43)+($W$75+$X$75-$W$43-$X$43)*(L43)</f>
        <v>0</v>
      </c>
      <c r="AD43" s="6">
        <f t="shared" si="7"/>
        <v>0</v>
      </c>
      <c r="AE43" s="6">
        <f ca="1">(L43-M43)*(Z43+AA43)+($Z$75+$AA$75-$Z$43-$AA$43)*(L43)</f>
        <v>4605.8760858667056</v>
      </c>
      <c r="AF43" s="4" t="s">
        <v>621</v>
      </c>
    </row>
    <row r="44" spans="1:32" ht="11.25" customHeight="1" x14ac:dyDescent="0.25">
      <c r="A44" s="4" t="s">
        <v>21</v>
      </c>
      <c r="B44" s="4" t="s">
        <v>22</v>
      </c>
      <c r="C44" s="4" t="s">
        <v>23</v>
      </c>
      <c r="D44" s="4" t="s">
        <v>24</v>
      </c>
      <c r="E44" s="4" t="s">
        <v>28</v>
      </c>
      <c r="F44" s="4" t="s">
        <v>25</v>
      </c>
      <c r="G44" s="4" t="s">
        <v>25</v>
      </c>
      <c r="H44" s="4" t="s">
        <v>25</v>
      </c>
      <c r="I44" s="5">
        <v>44562</v>
      </c>
      <c r="J44" s="6">
        <v>0</v>
      </c>
      <c r="K44" s="6">
        <v>0</v>
      </c>
      <c r="L44" s="6">
        <v>10.8</v>
      </c>
      <c r="M44" s="6">
        <v>10.8</v>
      </c>
      <c r="N44" s="6">
        <v>10.8</v>
      </c>
      <c r="O44" s="6">
        <v>10.8</v>
      </c>
      <c r="P44" s="6">
        <v>9</v>
      </c>
      <c r="Q44" s="4" t="s">
        <v>26</v>
      </c>
      <c r="R44" s="4">
        <v>0</v>
      </c>
      <c r="S44" s="4">
        <v>0</v>
      </c>
      <c r="T44" s="4">
        <v>19</v>
      </c>
      <c r="U44" s="4">
        <v>57</v>
      </c>
      <c r="V44" s="6">
        <f>IF(ISERROR(VLOOKUP($S$44,'TAR FIN'!$A$1:$O$88,15,0)),0,VLOOKUP($S$44,'TAR FIN'!$A$1:$O$88,15,0))</f>
        <v>0</v>
      </c>
      <c r="W44" s="6">
        <f>IF(ISERROR(VLOOKUP($T$44,'TAR FIN'!$A$1:$O$88,15,0)),0,VLOOKUP($T$44,'TAR FIN'!$A$1:$O$88,15,0))</f>
        <v>0</v>
      </c>
      <c r="X44" s="6">
        <f>IF(ISERROR(VLOOKUP($U$44,'TAR FIN'!$A$1:$O$88,15,0)),0,VLOOKUP($U$44,'TAR FIN'!$A$1:$O$88,15,0))</f>
        <v>0</v>
      </c>
      <c r="Y44" s="6"/>
      <c r="Z44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4" s="6">
        <f>('TE BE'!$AB$12+'TE BF'!$AB$12+'TE CVA'!$AB$12)*(1-CUSTOS!$M$34)</f>
        <v>101.68545195822496</v>
      </c>
      <c r="AB44" s="6">
        <f t="shared" si="6"/>
        <v>0</v>
      </c>
      <c r="AC44" s="6">
        <f>(L44-M44)*(W44+X44)+($W$75+$X$75-$W$44-$X$44)*(L44)</f>
        <v>0</v>
      </c>
      <c r="AD44" s="6">
        <f t="shared" si="7"/>
        <v>0</v>
      </c>
      <c r="AE44" s="6">
        <f ca="1">(L44-M44)*(Z44+AA44)+($Z$75+$AA$75-$Z$44-$AA$44)*(L44)</f>
        <v>4631.6072371843975</v>
      </c>
      <c r="AF44" s="4" t="s">
        <v>621</v>
      </c>
    </row>
    <row r="45" spans="1:32" ht="11.25" customHeight="1" x14ac:dyDescent="0.25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28</v>
      </c>
      <c r="F45" s="4" t="s">
        <v>25</v>
      </c>
      <c r="G45" s="4" t="s">
        <v>25</v>
      </c>
      <c r="H45" s="4" t="s">
        <v>25</v>
      </c>
      <c r="I45" s="5">
        <v>44593</v>
      </c>
      <c r="J45" s="6">
        <v>0</v>
      </c>
      <c r="K45" s="6">
        <v>0</v>
      </c>
      <c r="L45" s="6">
        <v>10.8</v>
      </c>
      <c r="M45" s="6">
        <v>10.8</v>
      </c>
      <c r="N45" s="6">
        <v>10.8</v>
      </c>
      <c r="O45" s="6">
        <v>10.8</v>
      </c>
      <c r="P45" s="6">
        <v>7</v>
      </c>
      <c r="Q45" s="4" t="s">
        <v>26</v>
      </c>
      <c r="R45" s="4">
        <v>0</v>
      </c>
      <c r="S45" s="4">
        <v>0</v>
      </c>
      <c r="T45" s="4">
        <v>19</v>
      </c>
      <c r="U45" s="4">
        <v>57</v>
      </c>
      <c r="V45" s="6">
        <f>IF(ISERROR(VLOOKUP($S$45,'TAR FIN'!$A$1:$O$88,15,0)),0,VLOOKUP($S$45,'TAR FIN'!$A$1:$O$88,15,0))</f>
        <v>0</v>
      </c>
      <c r="W45" s="6">
        <f>IF(ISERROR(VLOOKUP($T$45,'TAR FIN'!$A$1:$O$88,15,0)),0,VLOOKUP($T$45,'TAR FIN'!$A$1:$O$88,15,0))</f>
        <v>0</v>
      </c>
      <c r="X45" s="6">
        <f>IF(ISERROR(VLOOKUP($U$45,'TAR FIN'!$A$1:$O$88,15,0)),0,VLOOKUP($U$45,'TAR FIN'!$A$1:$O$88,15,0))</f>
        <v>0</v>
      </c>
      <c r="Y45" s="6"/>
      <c r="Z45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5" s="6">
        <f>('TE BE'!$AB$12+'TE BF'!$AB$12+'TE CVA'!$AB$12)*(1-CUSTOS!$M$34)</f>
        <v>101.68545195822496</v>
      </c>
      <c r="AB45" s="6">
        <f t="shared" si="6"/>
        <v>0</v>
      </c>
      <c r="AC45" s="6">
        <f>(L45-M45)*(W45+X45)+($W$75+$X$75-$W$45-$X$45)*(L45)</f>
        <v>0</v>
      </c>
      <c r="AD45" s="6">
        <f t="shared" si="7"/>
        <v>0</v>
      </c>
      <c r="AE45" s="6">
        <f ca="1">(L45-M45)*(Z45+AA45)+($Z$75+$AA$75-$Z$45-$AA$45)*(L45)</f>
        <v>4631.6072371843975</v>
      </c>
      <c r="AF45" s="4" t="s">
        <v>621</v>
      </c>
    </row>
    <row r="46" spans="1:32" ht="11.25" customHeight="1" x14ac:dyDescent="0.25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28</v>
      </c>
      <c r="F46" s="4" t="s">
        <v>25</v>
      </c>
      <c r="G46" s="4" t="s">
        <v>25</v>
      </c>
      <c r="H46" s="4" t="s">
        <v>25</v>
      </c>
      <c r="I46" s="5">
        <v>44621</v>
      </c>
      <c r="J46" s="6">
        <v>0</v>
      </c>
      <c r="K46" s="6">
        <v>0</v>
      </c>
      <c r="L46" s="6">
        <v>10.92</v>
      </c>
      <c r="M46" s="6">
        <v>10.92</v>
      </c>
      <c r="N46" s="6">
        <v>10.92</v>
      </c>
      <c r="O46" s="6">
        <v>10.92</v>
      </c>
      <c r="P46" s="6">
        <v>8</v>
      </c>
      <c r="Q46" s="4" t="s">
        <v>26</v>
      </c>
      <c r="R46" s="4">
        <v>0</v>
      </c>
      <c r="S46" s="4">
        <v>0</v>
      </c>
      <c r="T46" s="4">
        <v>19</v>
      </c>
      <c r="U46" s="4">
        <v>57</v>
      </c>
      <c r="V46" s="6">
        <f>IF(ISERROR(VLOOKUP($S$46,'TAR FIN'!$A$1:$O$88,15,0)),0,VLOOKUP($S$46,'TAR FIN'!$A$1:$O$88,15,0))</f>
        <v>0</v>
      </c>
      <c r="W46" s="6">
        <f>IF(ISERROR(VLOOKUP($T$46,'TAR FIN'!$A$1:$O$88,15,0)),0,VLOOKUP($T$46,'TAR FIN'!$A$1:$O$88,15,0))</f>
        <v>0</v>
      </c>
      <c r="X46" s="6">
        <f>IF(ISERROR(VLOOKUP($U$46,'TAR FIN'!$A$1:$O$88,15,0)),0,VLOOKUP($U$46,'TAR FIN'!$A$1:$O$88,15,0))</f>
        <v>0</v>
      </c>
      <c r="Y46" s="6"/>
      <c r="Z46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6" s="6">
        <f>('TE BE'!$AB$12+'TE BF'!$AB$12+'TE CVA'!$AB$12)*(1-CUSTOS!$M$34)</f>
        <v>101.68545195822496</v>
      </c>
      <c r="AB46" s="6">
        <f t="shared" si="6"/>
        <v>0</v>
      </c>
      <c r="AC46" s="6">
        <f>(L46-M46)*(W46+X46)+($W$75+$X$75-$W$46-$X$46)*(L46)</f>
        <v>0</v>
      </c>
      <c r="AD46" s="6">
        <f t="shared" si="7"/>
        <v>0</v>
      </c>
      <c r="AE46" s="6">
        <f ca="1">(L46-M46)*(Z46+AA46)+($Z$75+$AA$75-$Z$46-$AA$46)*(L46)</f>
        <v>4683.0695398197786</v>
      </c>
      <c r="AF46" s="4" t="s">
        <v>621</v>
      </c>
    </row>
    <row r="47" spans="1:32" ht="11.25" customHeight="1" x14ac:dyDescent="0.25">
      <c r="A47" s="4" t="s">
        <v>21</v>
      </c>
      <c r="B47" s="4" t="s">
        <v>22</v>
      </c>
      <c r="C47" s="4" t="s">
        <v>23</v>
      </c>
      <c r="D47" s="4" t="s">
        <v>24</v>
      </c>
      <c r="E47" s="4" t="s">
        <v>28</v>
      </c>
      <c r="F47" s="4" t="s">
        <v>25</v>
      </c>
      <c r="G47" s="4" t="s">
        <v>25</v>
      </c>
      <c r="H47" s="4" t="s">
        <v>25</v>
      </c>
      <c r="I47" s="5">
        <v>44652</v>
      </c>
      <c r="J47" s="6">
        <v>0</v>
      </c>
      <c r="K47" s="6">
        <v>0</v>
      </c>
      <c r="L47" s="6">
        <v>11.13</v>
      </c>
      <c r="M47" s="6">
        <v>11.13</v>
      </c>
      <c r="N47" s="6">
        <v>11.13</v>
      </c>
      <c r="O47" s="6">
        <v>11.13</v>
      </c>
      <c r="P47" s="6">
        <v>9</v>
      </c>
      <c r="Q47" s="4" t="s">
        <v>26</v>
      </c>
      <c r="R47" s="4">
        <v>0</v>
      </c>
      <c r="S47" s="4">
        <v>0</v>
      </c>
      <c r="T47" s="4">
        <v>19</v>
      </c>
      <c r="U47" s="4">
        <v>57</v>
      </c>
      <c r="V47" s="6">
        <f>IF(ISERROR(VLOOKUP($S$47,'TAR FIN'!$A$1:$O$88,15,0)),0,VLOOKUP($S$47,'TAR FIN'!$A$1:$O$88,15,0))</f>
        <v>0</v>
      </c>
      <c r="W47" s="6">
        <f>IF(ISERROR(VLOOKUP($T$47,'TAR FIN'!$A$1:$O$88,15,0)),0,VLOOKUP($T$47,'TAR FIN'!$A$1:$O$88,15,0))</f>
        <v>0</v>
      </c>
      <c r="X47" s="6">
        <f>IF(ISERROR(VLOOKUP($U$47,'TAR FIN'!$A$1:$O$88,15,0)),0,VLOOKUP($U$47,'TAR FIN'!$A$1:$O$88,15,0))</f>
        <v>0</v>
      </c>
      <c r="Y47" s="6"/>
      <c r="Z47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7" s="6">
        <f>('TE BE'!$AB$12+'TE BF'!$AB$12+'TE CVA'!$AB$12)*(1-CUSTOS!$M$34)</f>
        <v>101.68545195822496</v>
      </c>
      <c r="AB47" s="6">
        <f t="shared" si="6"/>
        <v>0</v>
      </c>
      <c r="AC47" s="6">
        <f>(L47-M47)*(W47+X47)+($W$75+$X$75-$W$47-$X$47)*(L47)</f>
        <v>0</v>
      </c>
      <c r="AD47" s="6">
        <f t="shared" si="7"/>
        <v>0</v>
      </c>
      <c r="AE47" s="6">
        <f ca="1">(L47-M47)*(Z47+AA47)+($Z$75+$AA$75-$Z$47-$AA$47)*(L47)</f>
        <v>4773.1285694316985</v>
      </c>
      <c r="AF47" s="4" t="s">
        <v>621</v>
      </c>
    </row>
    <row r="48" spans="1:32" ht="11.25" customHeight="1" x14ac:dyDescent="0.25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28</v>
      </c>
      <c r="F48" s="4" t="s">
        <v>25</v>
      </c>
      <c r="G48" s="4" t="s">
        <v>25</v>
      </c>
      <c r="H48" s="4" t="s">
        <v>25</v>
      </c>
      <c r="I48" s="5">
        <v>44682</v>
      </c>
      <c r="J48" s="6">
        <v>0</v>
      </c>
      <c r="K48" s="6">
        <v>0</v>
      </c>
      <c r="L48" s="6">
        <v>11.34</v>
      </c>
      <c r="M48" s="6">
        <v>11.34</v>
      </c>
      <c r="N48" s="6">
        <v>11.34</v>
      </c>
      <c r="O48" s="6">
        <v>11.34</v>
      </c>
      <c r="P48" s="6">
        <v>10</v>
      </c>
      <c r="Q48" s="4" t="s">
        <v>26</v>
      </c>
      <c r="R48" s="4">
        <v>0</v>
      </c>
      <c r="S48" s="4">
        <v>0</v>
      </c>
      <c r="T48" s="4">
        <v>19</v>
      </c>
      <c r="U48" s="4">
        <v>57</v>
      </c>
      <c r="V48" s="6">
        <f>IF(ISERROR(VLOOKUP($S$48,'TAR FIN'!$A$1:$O$88,15,0)),0,VLOOKUP($S$48,'TAR FIN'!$A$1:$O$88,15,0))</f>
        <v>0</v>
      </c>
      <c r="W48" s="6">
        <f>IF(ISERROR(VLOOKUP($T$48,'TAR FIN'!$A$1:$O$88,15,0)),0,VLOOKUP($T$48,'TAR FIN'!$A$1:$O$88,15,0))</f>
        <v>0</v>
      </c>
      <c r="X48" s="6">
        <f>IF(ISERROR(VLOOKUP($U$48,'TAR FIN'!$A$1:$O$88,15,0)),0,VLOOKUP($U$48,'TAR FIN'!$A$1:$O$88,15,0))</f>
        <v>0</v>
      </c>
      <c r="Y48" s="6"/>
      <c r="Z48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8" s="6">
        <f>('TE BE'!$AB$12+'TE BF'!$AB$12+'TE CVA'!$AB$12)*(1-CUSTOS!$M$34)</f>
        <v>101.68545195822496</v>
      </c>
      <c r="AB48" s="6">
        <f t="shared" si="6"/>
        <v>0</v>
      </c>
      <c r="AC48" s="6">
        <f>(L48-M48)*(W48+X48)+($W$75+$X$75-$W$48-$X$48)*(L48)</f>
        <v>0</v>
      </c>
      <c r="AD48" s="6">
        <f t="shared" si="7"/>
        <v>0</v>
      </c>
      <c r="AE48" s="6">
        <f ca="1">(L48-M48)*(Z48+AA48)+($Z$75+$AA$75-$Z$48-$AA$48)*(L48)</f>
        <v>4863.1875990436165</v>
      </c>
      <c r="AF48" s="4" t="s">
        <v>621</v>
      </c>
    </row>
    <row r="49" spans="1:32" ht="11.25" customHeight="1" x14ac:dyDescent="0.25">
      <c r="A49" s="4" t="s">
        <v>21</v>
      </c>
      <c r="B49" s="4" t="s">
        <v>22</v>
      </c>
      <c r="C49" s="4" t="s">
        <v>23</v>
      </c>
      <c r="D49" s="4" t="s">
        <v>24</v>
      </c>
      <c r="E49" s="4" t="s">
        <v>28</v>
      </c>
      <c r="F49" s="4" t="s">
        <v>25</v>
      </c>
      <c r="G49" s="4" t="s">
        <v>25</v>
      </c>
      <c r="H49" s="4" t="s">
        <v>25</v>
      </c>
      <c r="I49" s="5">
        <v>44713</v>
      </c>
      <c r="J49" s="6">
        <v>0</v>
      </c>
      <c r="K49" s="6">
        <v>0</v>
      </c>
      <c r="L49" s="6">
        <v>9.99</v>
      </c>
      <c r="M49" s="6">
        <v>9.99</v>
      </c>
      <c r="N49" s="6">
        <v>9.99</v>
      </c>
      <c r="O49" s="6">
        <v>9.99</v>
      </c>
      <c r="P49" s="6">
        <v>5</v>
      </c>
      <c r="Q49" s="4" t="s">
        <v>26</v>
      </c>
      <c r="R49" s="4">
        <v>0</v>
      </c>
      <c r="S49" s="4">
        <v>0</v>
      </c>
      <c r="T49" s="4">
        <v>19</v>
      </c>
      <c r="U49" s="4">
        <v>57</v>
      </c>
      <c r="V49" s="6">
        <f>IF(ISERROR(VLOOKUP($S$49,'TAR FIN'!$A$1:$O$88,15,0)),0,VLOOKUP($S$49,'TAR FIN'!$A$1:$O$88,15,0))</f>
        <v>0</v>
      </c>
      <c r="W49" s="6">
        <f>IF(ISERROR(VLOOKUP($T$49,'TAR FIN'!$A$1:$O$88,15,0)),0,VLOOKUP($T$49,'TAR FIN'!$A$1:$O$88,15,0))</f>
        <v>0</v>
      </c>
      <c r="X49" s="6">
        <f>IF(ISERROR(VLOOKUP($U$49,'TAR FIN'!$A$1:$O$88,15,0)),0,VLOOKUP($U$49,'TAR FIN'!$A$1:$O$88,15,0))</f>
        <v>0</v>
      </c>
      <c r="Y49" s="6"/>
      <c r="Z49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49" s="6">
        <f>('TE BE'!$AB$12+'TE BF'!$AB$12+'TE CVA'!$AB$12)*(1-CUSTOS!$M$34)</f>
        <v>101.68545195822496</v>
      </c>
      <c r="AB49" s="6">
        <f t="shared" si="6"/>
        <v>0</v>
      </c>
      <c r="AC49" s="6">
        <f>(L49-M49)*(W49+X49)+($W$75+$X$75-$W$49-$X$49)*(L49)</f>
        <v>0</v>
      </c>
      <c r="AD49" s="6">
        <f t="shared" si="7"/>
        <v>0</v>
      </c>
      <c r="AE49" s="6">
        <f ca="1">(L49-M49)*(Z49+AA49)+($Z$75+$AA$75-$Z$49-$AA$49)*(L49)</f>
        <v>4284.2366943955667</v>
      </c>
      <c r="AF49" s="4" t="s">
        <v>621</v>
      </c>
    </row>
    <row r="50" spans="1:32" ht="11.25" customHeight="1" x14ac:dyDescent="0.25">
      <c r="A50" s="4" t="s">
        <v>21</v>
      </c>
      <c r="B50" s="4" t="s">
        <v>22</v>
      </c>
      <c r="C50" s="4" t="s">
        <v>23</v>
      </c>
      <c r="D50" s="4" t="s">
        <v>24</v>
      </c>
      <c r="E50" s="4" t="s">
        <v>28</v>
      </c>
      <c r="F50" s="4" t="s">
        <v>25</v>
      </c>
      <c r="G50" s="4" t="s">
        <v>25</v>
      </c>
      <c r="H50" s="4" t="s">
        <v>25</v>
      </c>
      <c r="I50" s="5">
        <v>44743</v>
      </c>
      <c r="J50" s="6">
        <v>0</v>
      </c>
      <c r="K50" s="6">
        <v>0</v>
      </c>
      <c r="L50" s="6">
        <v>9.8699999999999992</v>
      </c>
      <c r="M50" s="6">
        <v>9.8699999999999992</v>
      </c>
      <c r="N50" s="6">
        <v>9.8699999999999992</v>
      </c>
      <c r="O50" s="6">
        <v>9.8699999999999992</v>
      </c>
      <c r="P50" s="6">
        <v>7</v>
      </c>
      <c r="Q50" s="4" t="s">
        <v>26</v>
      </c>
      <c r="R50" s="4">
        <v>0</v>
      </c>
      <c r="S50" s="4">
        <v>0</v>
      </c>
      <c r="T50" s="4">
        <v>19</v>
      </c>
      <c r="U50" s="4">
        <v>57</v>
      </c>
      <c r="V50" s="6">
        <f>IF(ISERROR(VLOOKUP($S$50,'TAR FIN'!$A$1:$O$88,15,0)),0,VLOOKUP($S$50,'TAR FIN'!$A$1:$O$88,15,0))</f>
        <v>0</v>
      </c>
      <c r="W50" s="6">
        <f>IF(ISERROR(VLOOKUP($T$50,'TAR FIN'!$A$1:$O$88,15,0)),0,VLOOKUP($T$50,'TAR FIN'!$A$1:$O$88,15,0))</f>
        <v>0</v>
      </c>
      <c r="X50" s="6">
        <f>IF(ISERROR(VLOOKUP($U$50,'TAR FIN'!$A$1:$O$88,15,0)),0,VLOOKUP($U$50,'TAR FIN'!$A$1:$O$88,15,0))</f>
        <v>0</v>
      </c>
      <c r="Y50" s="6"/>
      <c r="Z50" s="6">
        <f ca="1">('TUSD BE'!$AM$21+'TUSD BF'!$AM$21+'TUSD CVA'!$AM$21-('TUSD BE'!$P$21+'TUSD BF'!$P$21+'TUSD CVA'!$P$21)-('TUSD BE'!$Q$21+'TUSD BF'!$Q$21+'TUSD CVA'!$Q$21)-('TUSD BE'!$R$21+'TUSD BF'!$R$21+'TUSD CVA'!$R$21))*(1-CUSTOS!$M$34)</f>
        <v>129.23513679028486</v>
      </c>
      <c r="AA50" s="6">
        <f>('TE BE'!$AB$12+'TE BF'!$AB$12+'TE CVA'!$AB$12)*(1-CUSTOS!$M$34)</f>
        <v>101.68545195822496</v>
      </c>
      <c r="AB50" s="6">
        <f t="shared" si="6"/>
        <v>0</v>
      </c>
      <c r="AC50" s="6">
        <f>(L50-M50)*(W50+X50)+($W$75+$X$75-$W$50-$X$50)*(L50)</f>
        <v>0</v>
      </c>
      <c r="AD50" s="6">
        <f t="shared" si="7"/>
        <v>0</v>
      </c>
      <c r="AE50" s="6">
        <f ca="1">(L50-M50)*(Z50+AA50)+($Z$75+$AA$75-$Z$50-$AA$50)*(L50)</f>
        <v>4232.7743917601847</v>
      </c>
      <c r="AF50" s="4" t="s">
        <v>621</v>
      </c>
    </row>
    <row r="51" spans="1:32" ht="11.25" customHeight="1" x14ac:dyDescent="0.25">
      <c r="A51" s="4" t="s">
        <v>21</v>
      </c>
      <c r="B51" s="4" t="s">
        <v>22</v>
      </c>
      <c r="C51" s="4" t="s">
        <v>23</v>
      </c>
      <c r="D51" s="4" t="s">
        <v>24</v>
      </c>
      <c r="E51" s="4" t="s">
        <v>29</v>
      </c>
      <c r="F51" s="4" t="s">
        <v>25</v>
      </c>
      <c r="G51" s="4" t="s">
        <v>25</v>
      </c>
      <c r="H51" s="4" t="s">
        <v>25</v>
      </c>
      <c r="I51" s="5">
        <v>44409</v>
      </c>
      <c r="J51" s="6">
        <v>0</v>
      </c>
      <c r="K51" s="6">
        <v>0</v>
      </c>
      <c r="L51" s="6">
        <v>21.623999999999999</v>
      </c>
      <c r="M51" s="6">
        <v>21.623999999999999</v>
      </c>
      <c r="N51" s="6">
        <v>21.623999999999999</v>
      </c>
      <c r="O51" s="6">
        <v>21.623999999999999</v>
      </c>
      <c r="P51" s="6">
        <v>60</v>
      </c>
      <c r="Q51" s="4" t="s">
        <v>26</v>
      </c>
      <c r="R51" s="4">
        <v>0</v>
      </c>
      <c r="S51" s="4">
        <v>0</v>
      </c>
      <c r="T51" s="4">
        <v>20</v>
      </c>
      <c r="U51" s="4">
        <v>58</v>
      </c>
      <c r="V51" s="6">
        <f>IF(ISERROR(VLOOKUP($S$51,'TAR FIN'!$A$1:$O$88,15,0)),0,VLOOKUP($S$51,'TAR FIN'!$A$1:$O$88,15,0))</f>
        <v>0</v>
      </c>
      <c r="W51" s="6">
        <f>IF(ISERROR(VLOOKUP($T$51,'TAR FIN'!$A$1:$O$88,15,0)),0,VLOOKUP($T$51,'TAR FIN'!$A$1:$O$88,15,0))</f>
        <v>0</v>
      </c>
      <c r="X51" s="6">
        <f>IF(ISERROR(VLOOKUP($U$51,'TAR FIN'!$A$1:$O$88,15,0)),0,VLOOKUP($U$51,'TAR FIN'!$A$1:$O$88,15,0))</f>
        <v>0</v>
      </c>
      <c r="Y51" s="6"/>
      <c r="Z51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1" s="6">
        <f>('TE BE'!$AB$13+'TE BF'!$AB$13+'TE CVA'!$AB$13)*(1-CUSTOS!$M$35)</f>
        <v>174.31791764267135</v>
      </c>
      <c r="AB51" s="6">
        <f t="shared" si="6"/>
        <v>0</v>
      </c>
      <c r="AC51" s="6">
        <f>(L51-M51)*(W51+X51)+($W$75+$X$75-$W$51-$X$51)*(L51)</f>
        <v>0</v>
      </c>
      <c r="AD51" s="6">
        <f t="shared" si="7"/>
        <v>0</v>
      </c>
      <c r="AE51" s="6">
        <f ca="1">(L51-M51)*(Z51+AA51)+($Z$75+$AA$75-$Z$51-$AA$51)*(L51)</f>
        <v>5706.7734983974597</v>
      </c>
      <c r="AF51" s="4" t="s">
        <v>621</v>
      </c>
    </row>
    <row r="52" spans="1:32" ht="11.25" customHeight="1" x14ac:dyDescent="0.25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29</v>
      </c>
      <c r="F52" s="4" t="s">
        <v>25</v>
      </c>
      <c r="G52" s="4" t="s">
        <v>25</v>
      </c>
      <c r="H52" s="4" t="s">
        <v>25</v>
      </c>
      <c r="I52" s="5">
        <v>44440</v>
      </c>
      <c r="J52" s="6">
        <v>0</v>
      </c>
      <c r="K52" s="6">
        <v>0</v>
      </c>
      <c r="L52" s="6">
        <v>21.747</v>
      </c>
      <c r="M52" s="6">
        <v>21.747</v>
      </c>
      <c r="N52" s="6">
        <v>21.747</v>
      </c>
      <c r="O52" s="6">
        <v>21.747</v>
      </c>
      <c r="P52" s="6">
        <v>56</v>
      </c>
      <c r="Q52" s="4" t="s">
        <v>26</v>
      </c>
      <c r="R52" s="4">
        <v>0</v>
      </c>
      <c r="S52" s="4">
        <v>0</v>
      </c>
      <c r="T52" s="4">
        <v>20</v>
      </c>
      <c r="U52" s="4">
        <v>58</v>
      </c>
      <c r="V52" s="6">
        <f>IF(ISERROR(VLOOKUP($S$52,'TAR FIN'!$A$1:$O$88,15,0)),0,VLOOKUP($S$52,'TAR FIN'!$A$1:$O$88,15,0))</f>
        <v>0</v>
      </c>
      <c r="W52" s="6">
        <f>IF(ISERROR(VLOOKUP($T$52,'TAR FIN'!$A$1:$O$88,15,0)),0,VLOOKUP($T$52,'TAR FIN'!$A$1:$O$88,15,0))</f>
        <v>0</v>
      </c>
      <c r="X52" s="6">
        <f>IF(ISERROR(VLOOKUP($U$52,'TAR FIN'!$A$1:$O$88,15,0)),0,VLOOKUP($U$52,'TAR FIN'!$A$1:$O$88,15,0))</f>
        <v>0</v>
      </c>
      <c r="Y52" s="6"/>
      <c r="Z52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2" s="6">
        <f>('TE BE'!$AB$13+'TE BF'!$AB$13+'TE CVA'!$AB$13)*(1-CUSTOS!$M$35)</f>
        <v>174.31791764267135</v>
      </c>
      <c r="AB52" s="6">
        <f t="shared" si="6"/>
        <v>0</v>
      </c>
      <c r="AC52" s="6">
        <f>(L52-M52)*(W52+X52)+($W$75+$X$75-$W$52-$X$52)*(L52)</f>
        <v>0</v>
      </c>
      <c r="AD52" s="6">
        <f t="shared" si="7"/>
        <v>0</v>
      </c>
      <c r="AE52" s="6">
        <f ca="1">(L52-M52)*(Z52+AA52)+($Z$75+$AA$75-$Z$52-$AA$52)*(L52)</f>
        <v>5739.2343354443929</v>
      </c>
      <c r="AF52" s="4" t="s">
        <v>621</v>
      </c>
    </row>
    <row r="53" spans="1:32" ht="11.25" customHeight="1" x14ac:dyDescent="0.25">
      <c r="A53" s="4" t="s">
        <v>21</v>
      </c>
      <c r="B53" s="4" t="s">
        <v>22</v>
      </c>
      <c r="C53" s="4" t="s">
        <v>23</v>
      </c>
      <c r="D53" s="4" t="s">
        <v>24</v>
      </c>
      <c r="E53" s="4" t="s">
        <v>29</v>
      </c>
      <c r="F53" s="4" t="s">
        <v>25</v>
      </c>
      <c r="G53" s="4" t="s">
        <v>25</v>
      </c>
      <c r="H53" s="4" t="s">
        <v>25</v>
      </c>
      <c r="I53" s="5">
        <v>44470</v>
      </c>
      <c r="J53" s="6">
        <v>0</v>
      </c>
      <c r="K53" s="6">
        <v>0</v>
      </c>
      <c r="L53" s="6">
        <v>22.292000000000002</v>
      </c>
      <c r="M53" s="6">
        <v>22.292000000000002</v>
      </c>
      <c r="N53" s="6">
        <v>22.292000000000002</v>
      </c>
      <c r="O53" s="6">
        <v>22.292000000000002</v>
      </c>
      <c r="P53" s="6">
        <v>46</v>
      </c>
      <c r="Q53" s="4" t="s">
        <v>26</v>
      </c>
      <c r="R53" s="4">
        <v>0</v>
      </c>
      <c r="S53" s="4">
        <v>0</v>
      </c>
      <c r="T53" s="4">
        <v>20</v>
      </c>
      <c r="U53" s="4">
        <v>58</v>
      </c>
      <c r="V53" s="6">
        <f>IF(ISERROR(VLOOKUP($S$53,'TAR FIN'!$A$1:$O$88,15,0)),0,VLOOKUP($S$53,'TAR FIN'!$A$1:$O$88,15,0))</f>
        <v>0</v>
      </c>
      <c r="W53" s="6">
        <f>IF(ISERROR(VLOOKUP($T$53,'TAR FIN'!$A$1:$O$88,15,0)),0,VLOOKUP($T$53,'TAR FIN'!$A$1:$O$88,15,0))</f>
        <v>0</v>
      </c>
      <c r="X53" s="6">
        <f>IF(ISERROR(VLOOKUP($U$53,'TAR FIN'!$A$1:$O$88,15,0)),0,VLOOKUP($U$53,'TAR FIN'!$A$1:$O$88,15,0))</f>
        <v>0</v>
      </c>
      <c r="Y53" s="6"/>
      <c r="Z53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3" s="6">
        <f>('TE BE'!$AB$13+'TE BF'!$AB$13+'TE CVA'!$AB$13)*(1-CUSTOS!$M$35)</f>
        <v>174.31791764267135</v>
      </c>
      <c r="AB53" s="6">
        <f t="shared" si="6"/>
        <v>0</v>
      </c>
      <c r="AC53" s="6">
        <f>(L53-M53)*(W53+X53)+($W$75+$X$75-$W$53-$X$53)*(L53)</f>
        <v>0</v>
      </c>
      <c r="AD53" s="6">
        <f t="shared" si="7"/>
        <v>0</v>
      </c>
      <c r="AE53" s="6">
        <f ca="1">(L53-M53)*(Z53+AA53)+($Z$75+$AA$75-$Z$53-$AA$53)*(L53)</f>
        <v>5883.0648735791792</v>
      </c>
      <c r="AF53" s="4" t="s">
        <v>621</v>
      </c>
    </row>
    <row r="54" spans="1:32" ht="11.25" customHeight="1" x14ac:dyDescent="0.25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29</v>
      </c>
      <c r="F54" s="4" t="s">
        <v>25</v>
      </c>
      <c r="G54" s="4" t="s">
        <v>25</v>
      </c>
      <c r="H54" s="4" t="s">
        <v>25</v>
      </c>
      <c r="I54" s="5">
        <v>44501</v>
      </c>
      <c r="J54" s="6">
        <v>0</v>
      </c>
      <c r="K54" s="6">
        <v>0</v>
      </c>
      <c r="L54" s="6">
        <v>22.673999999999999</v>
      </c>
      <c r="M54" s="6">
        <v>22.673999999999999</v>
      </c>
      <c r="N54" s="6">
        <v>22.673999999999999</v>
      </c>
      <c r="O54" s="6">
        <v>22.673999999999999</v>
      </c>
      <c r="P54" s="6">
        <v>52</v>
      </c>
      <c r="Q54" s="4" t="s">
        <v>26</v>
      </c>
      <c r="R54" s="4">
        <v>0</v>
      </c>
      <c r="S54" s="4">
        <v>0</v>
      </c>
      <c r="T54" s="4">
        <v>20</v>
      </c>
      <c r="U54" s="4">
        <v>58</v>
      </c>
      <c r="V54" s="6">
        <f>IF(ISERROR(VLOOKUP($S$54,'TAR FIN'!$A$1:$O$88,15,0)),0,VLOOKUP($S$54,'TAR FIN'!$A$1:$O$88,15,0))</f>
        <v>0</v>
      </c>
      <c r="W54" s="6">
        <f>IF(ISERROR(VLOOKUP($T$54,'TAR FIN'!$A$1:$O$88,15,0)),0,VLOOKUP($T$54,'TAR FIN'!$A$1:$O$88,15,0))</f>
        <v>0</v>
      </c>
      <c r="X54" s="6">
        <f>IF(ISERROR(VLOOKUP($U$54,'TAR FIN'!$A$1:$O$88,15,0)),0,VLOOKUP($U$54,'TAR FIN'!$A$1:$O$88,15,0))</f>
        <v>0</v>
      </c>
      <c r="Y54" s="6"/>
      <c r="Z54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4" s="6">
        <f>('TE BE'!$AB$13+'TE BF'!$AB$13+'TE CVA'!$AB$13)*(1-CUSTOS!$M$35)</f>
        <v>174.31791764267135</v>
      </c>
      <c r="AB54" s="6">
        <f t="shared" si="6"/>
        <v>0</v>
      </c>
      <c r="AC54" s="6">
        <f>(L54-M54)*(W54+X54)+($W$75+$X$75-$W$54-$X$54)*(L54)</f>
        <v>0</v>
      </c>
      <c r="AD54" s="6">
        <f t="shared" si="7"/>
        <v>0</v>
      </c>
      <c r="AE54" s="6">
        <f ca="1">(L54-M54)*(Z54+AA54)+($Z$75+$AA$75-$Z$54-$AA$54)*(L54)</f>
        <v>5983.8782048956709</v>
      </c>
      <c r="AF54" s="4" t="s">
        <v>621</v>
      </c>
    </row>
    <row r="55" spans="1:32" ht="11.25" customHeight="1" x14ac:dyDescent="0.25">
      <c r="A55" s="4" t="s">
        <v>21</v>
      </c>
      <c r="B55" s="4" t="s">
        <v>22</v>
      </c>
      <c r="C55" s="4" t="s">
        <v>23</v>
      </c>
      <c r="D55" s="4" t="s">
        <v>24</v>
      </c>
      <c r="E55" s="4" t="s">
        <v>29</v>
      </c>
      <c r="F55" s="4" t="s">
        <v>25</v>
      </c>
      <c r="G55" s="4" t="s">
        <v>25</v>
      </c>
      <c r="H55" s="4" t="s">
        <v>25</v>
      </c>
      <c r="I55" s="5">
        <v>44531</v>
      </c>
      <c r="J55" s="6">
        <v>0</v>
      </c>
      <c r="K55" s="6">
        <v>0</v>
      </c>
      <c r="L55" s="6">
        <v>23.405999999999999</v>
      </c>
      <c r="M55" s="6">
        <v>23.405999999999999</v>
      </c>
      <c r="N55" s="6">
        <v>23.405999999999999</v>
      </c>
      <c r="O55" s="6">
        <v>23.405999999999999</v>
      </c>
      <c r="P55" s="6">
        <v>44</v>
      </c>
      <c r="Q55" s="4" t="s">
        <v>26</v>
      </c>
      <c r="R55" s="4">
        <v>0</v>
      </c>
      <c r="S55" s="4">
        <v>0</v>
      </c>
      <c r="T55" s="4">
        <v>20</v>
      </c>
      <c r="U55" s="4">
        <v>58</v>
      </c>
      <c r="V55" s="6">
        <f>IF(ISERROR(VLOOKUP($S$55,'TAR FIN'!$A$1:$O$88,15,0)),0,VLOOKUP($S$55,'TAR FIN'!$A$1:$O$88,15,0))</f>
        <v>0</v>
      </c>
      <c r="W55" s="6">
        <f>IF(ISERROR(VLOOKUP($T$55,'TAR FIN'!$A$1:$O$88,15,0)),0,VLOOKUP($T$55,'TAR FIN'!$A$1:$O$88,15,0))</f>
        <v>0</v>
      </c>
      <c r="X55" s="6">
        <f>IF(ISERROR(VLOOKUP($U$55,'TAR FIN'!$A$1:$O$88,15,0)),0,VLOOKUP($U$55,'TAR FIN'!$A$1:$O$88,15,0))</f>
        <v>0</v>
      </c>
      <c r="Y55" s="6"/>
      <c r="Z55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5" s="6">
        <f>('TE BE'!$AB$13+'TE BF'!$AB$13+'TE CVA'!$AB$13)*(1-CUSTOS!$M$35)</f>
        <v>174.31791764267135</v>
      </c>
      <c r="AB55" s="6">
        <f t="shared" si="6"/>
        <v>0</v>
      </c>
      <c r="AC55" s="6">
        <f>(L55-M55)*(W55+X55)+($W$75+$X$75-$W$55-$X$55)*(L55)</f>
        <v>0</v>
      </c>
      <c r="AD55" s="6">
        <f t="shared" si="7"/>
        <v>0</v>
      </c>
      <c r="AE55" s="6">
        <f ca="1">(L55-M55)*(Z55+AA55)+($Z$75+$AA$75-$Z$55-$AA$55)*(L55)</f>
        <v>6177.059771711567</v>
      </c>
      <c r="AF55" s="4" t="s">
        <v>621</v>
      </c>
    </row>
    <row r="56" spans="1:32" ht="11.25" customHeight="1" x14ac:dyDescent="0.25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29</v>
      </c>
      <c r="F56" s="4" t="s">
        <v>25</v>
      </c>
      <c r="G56" s="4" t="s">
        <v>25</v>
      </c>
      <c r="H56" s="4" t="s">
        <v>25</v>
      </c>
      <c r="I56" s="5">
        <v>44562</v>
      </c>
      <c r="J56" s="6">
        <v>0</v>
      </c>
      <c r="K56" s="6">
        <v>0</v>
      </c>
      <c r="L56" s="6">
        <v>23.407</v>
      </c>
      <c r="M56" s="6">
        <v>23.407</v>
      </c>
      <c r="N56" s="6">
        <v>23.407</v>
      </c>
      <c r="O56" s="6">
        <v>23.407</v>
      </c>
      <c r="P56" s="6">
        <v>45</v>
      </c>
      <c r="Q56" s="4" t="s">
        <v>26</v>
      </c>
      <c r="R56" s="4">
        <v>0</v>
      </c>
      <c r="S56" s="4">
        <v>0</v>
      </c>
      <c r="T56" s="4">
        <v>20</v>
      </c>
      <c r="U56" s="4">
        <v>58</v>
      </c>
      <c r="V56" s="6">
        <f>IF(ISERROR(VLOOKUP($S$56,'TAR FIN'!$A$1:$O$88,15,0)),0,VLOOKUP($S$56,'TAR FIN'!$A$1:$O$88,15,0))</f>
        <v>0</v>
      </c>
      <c r="W56" s="6">
        <f>IF(ISERROR(VLOOKUP($T$56,'TAR FIN'!$A$1:$O$88,15,0)),0,VLOOKUP($T$56,'TAR FIN'!$A$1:$O$88,15,0))</f>
        <v>0</v>
      </c>
      <c r="X56" s="6">
        <f>IF(ISERROR(VLOOKUP($U$56,'TAR FIN'!$A$1:$O$88,15,0)),0,VLOOKUP($U$56,'TAR FIN'!$A$1:$O$88,15,0))</f>
        <v>0</v>
      </c>
      <c r="Y56" s="6"/>
      <c r="Z56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6" s="6">
        <f>('TE BE'!$AB$13+'TE BF'!$AB$13+'TE CVA'!$AB$13)*(1-CUSTOS!$M$35)</f>
        <v>174.31791764267135</v>
      </c>
      <c r="AB56" s="6">
        <f t="shared" si="6"/>
        <v>0</v>
      </c>
      <c r="AC56" s="6">
        <f>(L56-M56)*(W56+X56)+($W$75+$X$75-$W$56-$X$56)*(L56)</f>
        <v>0</v>
      </c>
      <c r="AD56" s="6">
        <f t="shared" si="7"/>
        <v>0</v>
      </c>
      <c r="AE56" s="6">
        <f ca="1">(L56-M56)*(Z56+AA56)+($Z$75+$AA$75-$Z$56-$AA$56)*(L56)</f>
        <v>6177.3236809558521</v>
      </c>
      <c r="AF56" s="4" t="s">
        <v>621</v>
      </c>
    </row>
    <row r="57" spans="1:32" ht="11.25" customHeight="1" x14ac:dyDescent="0.25">
      <c r="A57" s="4" t="s">
        <v>21</v>
      </c>
      <c r="B57" s="4" t="s">
        <v>22</v>
      </c>
      <c r="C57" s="4" t="s">
        <v>23</v>
      </c>
      <c r="D57" s="4" t="s">
        <v>24</v>
      </c>
      <c r="E57" s="4" t="s">
        <v>29</v>
      </c>
      <c r="F57" s="4" t="s">
        <v>25</v>
      </c>
      <c r="G57" s="4" t="s">
        <v>25</v>
      </c>
      <c r="H57" s="4" t="s">
        <v>25</v>
      </c>
      <c r="I57" s="5">
        <v>44593</v>
      </c>
      <c r="J57" s="6">
        <v>0</v>
      </c>
      <c r="K57" s="6">
        <v>0</v>
      </c>
      <c r="L57" s="6">
        <v>24.22</v>
      </c>
      <c r="M57" s="6">
        <v>24.22</v>
      </c>
      <c r="N57" s="6">
        <v>24.22</v>
      </c>
      <c r="O57" s="6">
        <v>24.22</v>
      </c>
      <c r="P57" s="6">
        <v>21</v>
      </c>
      <c r="Q57" s="4" t="s">
        <v>26</v>
      </c>
      <c r="R57" s="4">
        <v>0</v>
      </c>
      <c r="S57" s="4">
        <v>0</v>
      </c>
      <c r="T57" s="4">
        <v>20</v>
      </c>
      <c r="U57" s="4">
        <v>58</v>
      </c>
      <c r="V57" s="6">
        <f>IF(ISERROR(VLOOKUP($S$57,'TAR FIN'!$A$1:$O$88,15,0)),0,VLOOKUP($S$57,'TAR FIN'!$A$1:$O$88,15,0))</f>
        <v>0</v>
      </c>
      <c r="W57" s="6">
        <f>IF(ISERROR(VLOOKUP($T$57,'TAR FIN'!$A$1:$O$88,15,0)),0,VLOOKUP($T$57,'TAR FIN'!$A$1:$O$88,15,0))</f>
        <v>0</v>
      </c>
      <c r="X57" s="6">
        <f>IF(ISERROR(VLOOKUP($U$57,'TAR FIN'!$A$1:$O$88,15,0)),0,VLOOKUP($U$57,'TAR FIN'!$A$1:$O$88,15,0))</f>
        <v>0</v>
      </c>
      <c r="Y57" s="6"/>
      <c r="Z57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7" s="6">
        <f>('TE BE'!$AB$13+'TE BF'!$AB$13+'TE CVA'!$AB$13)*(1-CUSTOS!$M$35)</f>
        <v>174.31791764267135</v>
      </c>
      <c r="AB57" s="6">
        <f t="shared" si="6"/>
        <v>0</v>
      </c>
      <c r="AC57" s="6">
        <f>(L57-M57)*(W57+X57)+($W$75+$X$75-$W$57-$X$57)*(L57)</f>
        <v>0</v>
      </c>
      <c r="AD57" s="6">
        <f t="shared" si="7"/>
        <v>0</v>
      </c>
      <c r="AE57" s="6">
        <f ca="1">(L57-M57)*(Z57+AA57)+($Z$75+$AA$75-$Z$57-$AA$57)*(L57)</f>
        <v>6391.8818965587525</v>
      </c>
      <c r="AF57" s="4" t="s">
        <v>621</v>
      </c>
    </row>
    <row r="58" spans="1:32" ht="11.25" customHeight="1" x14ac:dyDescent="0.25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29</v>
      </c>
      <c r="F58" s="4" t="s">
        <v>25</v>
      </c>
      <c r="G58" s="4" t="s">
        <v>25</v>
      </c>
      <c r="H58" s="4" t="s">
        <v>25</v>
      </c>
      <c r="I58" s="5">
        <v>44621</v>
      </c>
      <c r="J58" s="6">
        <v>0</v>
      </c>
      <c r="K58" s="6">
        <v>0</v>
      </c>
      <c r="L58" s="6">
        <v>24.114000000000001</v>
      </c>
      <c r="M58" s="6">
        <v>24.114000000000001</v>
      </c>
      <c r="N58" s="6">
        <v>24.114000000000001</v>
      </c>
      <c r="O58" s="6">
        <v>24.114000000000001</v>
      </c>
      <c r="P58" s="6">
        <v>43</v>
      </c>
      <c r="Q58" s="4" t="s">
        <v>26</v>
      </c>
      <c r="R58" s="4">
        <v>0</v>
      </c>
      <c r="S58" s="4">
        <v>0</v>
      </c>
      <c r="T58" s="4">
        <v>20</v>
      </c>
      <c r="U58" s="4">
        <v>58</v>
      </c>
      <c r="V58" s="6">
        <f>IF(ISERROR(VLOOKUP($S$58,'TAR FIN'!$A$1:$O$88,15,0)),0,VLOOKUP($S$58,'TAR FIN'!$A$1:$O$88,15,0))</f>
        <v>0</v>
      </c>
      <c r="W58" s="6">
        <f>IF(ISERROR(VLOOKUP($T$58,'TAR FIN'!$A$1:$O$88,15,0)),0,VLOOKUP($T$58,'TAR FIN'!$A$1:$O$88,15,0))</f>
        <v>0</v>
      </c>
      <c r="X58" s="6">
        <f>IF(ISERROR(VLOOKUP($U$58,'TAR FIN'!$A$1:$O$88,15,0)),0,VLOOKUP($U$58,'TAR FIN'!$A$1:$O$88,15,0))</f>
        <v>0</v>
      </c>
      <c r="Y58" s="6"/>
      <c r="Z58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8" s="6">
        <f>('TE BE'!$AB$13+'TE BF'!$AB$13+'TE CVA'!$AB$13)*(1-CUSTOS!$M$35)</f>
        <v>174.31791764267135</v>
      </c>
      <c r="AB58" s="6">
        <f t="shared" si="6"/>
        <v>0</v>
      </c>
      <c r="AC58" s="6">
        <f>(L58-M58)*(W58+X58)+($W$75+$X$75-$W$58-$X$58)*(L58)</f>
        <v>0</v>
      </c>
      <c r="AD58" s="6">
        <f t="shared" si="7"/>
        <v>0</v>
      </c>
      <c r="AE58" s="6">
        <f ca="1">(L58-M58)*(Z58+AA58)+($Z$75+$AA$75-$Z$58-$AA$58)*(L58)</f>
        <v>6363.907516664648</v>
      </c>
      <c r="AF58" s="4" t="s">
        <v>621</v>
      </c>
    </row>
    <row r="59" spans="1:32" ht="11.25" customHeight="1" x14ac:dyDescent="0.25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29</v>
      </c>
      <c r="F59" s="4" t="s">
        <v>25</v>
      </c>
      <c r="G59" s="4" t="s">
        <v>25</v>
      </c>
      <c r="H59" s="4" t="s">
        <v>25</v>
      </c>
      <c r="I59" s="5">
        <v>44652</v>
      </c>
      <c r="J59" s="6">
        <v>0</v>
      </c>
      <c r="K59" s="6">
        <v>0</v>
      </c>
      <c r="L59" s="6">
        <v>24.617999999999999</v>
      </c>
      <c r="M59" s="6">
        <v>24.617999999999999</v>
      </c>
      <c r="N59" s="6">
        <v>24.617999999999999</v>
      </c>
      <c r="O59" s="6">
        <v>24.617999999999999</v>
      </c>
      <c r="P59" s="6">
        <v>35</v>
      </c>
      <c r="Q59" s="4" t="s">
        <v>26</v>
      </c>
      <c r="R59" s="4">
        <v>0</v>
      </c>
      <c r="S59" s="4">
        <v>0</v>
      </c>
      <c r="T59" s="4">
        <v>20</v>
      </c>
      <c r="U59" s="4">
        <v>58</v>
      </c>
      <c r="V59" s="6">
        <f>IF(ISERROR(VLOOKUP($S$59,'TAR FIN'!$A$1:$O$88,15,0)),0,VLOOKUP($S$59,'TAR FIN'!$A$1:$O$88,15,0))</f>
        <v>0</v>
      </c>
      <c r="W59" s="6">
        <f>IF(ISERROR(VLOOKUP($T$59,'TAR FIN'!$A$1:$O$88,15,0)),0,VLOOKUP($T$59,'TAR FIN'!$A$1:$O$88,15,0))</f>
        <v>0</v>
      </c>
      <c r="X59" s="6">
        <f>IF(ISERROR(VLOOKUP($U$59,'TAR FIN'!$A$1:$O$88,15,0)),0,VLOOKUP($U$59,'TAR FIN'!$A$1:$O$88,15,0))</f>
        <v>0</v>
      </c>
      <c r="Y59" s="6"/>
      <c r="Z59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59" s="6">
        <f>('TE BE'!$AB$13+'TE BF'!$AB$13+'TE CVA'!$AB$13)*(1-CUSTOS!$M$35)</f>
        <v>174.31791764267135</v>
      </c>
      <c r="AB59" s="6">
        <f t="shared" si="6"/>
        <v>0</v>
      </c>
      <c r="AC59" s="6">
        <f>(L59-M59)*(W59+X59)+($W$75+$X$75-$W$59-$X$59)*(L59)</f>
        <v>0</v>
      </c>
      <c r="AD59" s="6">
        <f t="shared" si="7"/>
        <v>0</v>
      </c>
      <c r="AE59" s="6">
        <f ca="1">(L59-M59)*(Z59+AA59)+($Z$75+$AA$75-$Z$59-$AA$59)*(L59)</f>
        <v>6496.9177757837888</v>
      </c>
      <c r="AF59" s="4" t="s">
        <v>621</v>
      </c>
    </row>
    <row r="60" spans="1:32" ht="11.25" customHeight="1" x14ac:dyDescent="0.25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29</v>
      </c>
      <c r="F60" s="4" t="s">
        <v>25</v>
      </c>
      <c r="G60" s="4" t="s">
        <v>25</v>
      </c>
      <c r="H60" s="4" t="s">
        <v>25</v>
      </c>
      <c r="I60" s="5">
        <v>44682</v>
      </c>
      <c r="J60" s="6">
        <v>0</v>
      </c>
      <c r="K60" s="6">
        <v>0</v>
      </c>
      <c r="L60" s="6">
        <v>24.742000000000001</v>
      </c>
      <c r="M60" s="6">
        <v>24.742000000000001</v>
      </c>
      <c r="N60" s="6">
        <v>24.742000000000001</v>
      </c>
      <c r="O60" s="6">
        <v>24.742000000000001</v>
      </c>
      <c r="P60" s="6">
        <v>45</v>
      </c>
      <c r="Q60" s="4" t="s">
        <v>26</v>
      </c>
      <c r="R60" s="4">
        <v>0</v>
      </c>
      <c r="S60" s="4">
        <v>0</v>
      </c>
      <c r="T60" s="4">
        <v>20</v>
      </c>
      <c r="U60" s="4">
        <v>58</v>
      </c>
      <c r="V60" s="6">
        <f>IF(ISERROR(VLOOKUP($S$60,'TAR FIN'!$A$1:$O$88,15,0)),0,VLOOKUP($S$60,'TAR FIN'!$A$1:$O$88,15,0))</f>
        <v>0</v>
      </c>
      <c r="W60" s="6">
        <f>IF(ISERROR(VLOOKUP($T$60,'TAR FIN'!$A$1:$O$88,15,0)),0,VLOOKUP($T$60,'TAR FIN'!$A$1:$O$88,15,0))</f>
        <v>0</v>
      </c>
      <c r="X60" s="6">
        <f>IF(ISERROR(VLOOKUP($U$60,'TAR FIN'!$A$1:$O$88,15,0)),0,VLOOKUP($U$60,'TAR FIN'!$A$1:$O$88,15,0))</f>
        <v>0</v>
      </c>
      <c r="Y60" s="6"/>
      <c r="Z60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60" s="6">
        <f>('TE BE'!$AB$13+'TE BF'!$AB$13+'TE CVA'!$AB$13)*(1-CUSTOS!$M$35)</f>
        <v>174.31791764267135</v>
      </c>
      <c r="AB60" s="6">
        <f t="shared" si="6"/>
        <v>0</v>
      </c>
      <c r="AC60" s="6">
        <f>(L60-M60)*(W60+X60)+($W$75+$X$75-$W$60-$X$60)*(L60)</f>
        <v>0</v>
      </c>
      <c r="AD60" s="6">
        <f t="shared" si="7"/>
        <v>0</v>
      </c>
      <c r="AE60" s="6">
        <f ca="1">(L60-M60)*(Z60+AA60)+($Z$75+$AA$75-$Z$60-$AA$60)*(L60)</f>
        <v>6529.642522075007</v>
      </c>
      <c r="AF60" s="4" t="s">
        <v>621</v>
      </c>
    </row>
    <row r="61" spans="1:32" ht="11.25" customHeight="1" x14ac:dyDescent="0.25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29</v>
      </c>
      <c r="F61" s="4" t="s">
        <v>25</v>
      </c>
      <c r="G61" s="4" t="s">
        <v>25</v>
      </c>
      <c r="H61" s="4" t="s">
        <v>25</v>
      </c>
      <c r="I61" s="5">
        <v>44713</v>
      </c>
      <c r="J61" s="6">
        <v>0</v>
      </c>
      <c r="K61" s="6">
        <v>0</v>
      </c>
      <c r="L61" s="6">
        <v>21.544</v>
      </c>
      <c r="M61" s="6">
        <v>21.544</v>
      </c>
      <c r="N61" s="6">
        <v>21.544</v>
      </c>
      <c r="O61" s="6">
        <v>21.544</v>
      </c>
      <c r="P61" s="6">
        <v>54</v>
      </c>
      <c r="Q61" s="4" t="s">
        <v>26</v>
      </c>
      <c r="R61" s="4">
        <v>0</v>
      </c>
      <c r="S61" s="4">
        <v>0</v>
      </c>
      <c r="T61" s="4">
        <v>20</v>
      </c>
      <c r="U61" s="4">
        <v>58</v>
      </c>
      <c r="V61" s="6">
        <f>IF(ISERROR(VLOOKUP($S$61,'TAR FIN'!$A$1:$O$88,15,0)),0,VLOOKUP($S$61,'TAR FIN'!$A$1:$O$88,15,0))</f>
        <v>0</v>
      </c>
      <c r="W61" s="6">
        <f>IF(ISERROR(VLOOKUP($T$61,'TAR FIN'!$A$1:$O$88,15,0)),0,VLOOKUP($T$61,'TAR FIN'!$A$1:$O$88,15,0))</f>
        <v>0</v>
      </c>
      <c r="X61" s="6">
        <f>IF(ISERROR(VLOOKUP($U$61,'TAR FIN'!$A$1:$O$88,15,0)),0,VLOOKUP($U$61,'TAR FIN'!$A$1:$O$88,15,0))</f>
        <v>0</v>
      </c>
      <c r="Y61" s="6"/>
      <c r="Z61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61" s="6">
        <f>('TE BE'!$AB$13+'TE BF'!$AB$13+'TE CVA'!$AB$13)*(1-CUSTOS!$M$35)</f>
        <v>174.31791764267135</v>
      </c>
      <c r="AB61" s="6">
        <f t="shared" si="6"/>
        <v>0</v>
      </c>
      <c r="AC61" s="6">
        <f>(L61-M61)*(W61+X61)+($W$75+$X$75-$W$61-$X$61)*(L61)</f>
        <v>0</v>
      </c>
      <c r="AD61" s="6">
        <f t="shared" si="7"/>
        <v>0</v>
      </c>
      <c r="AE61" s="6">
        <f ca="1">(L61-M61)*(Z61+AA61)+($Z$75+$AA$75-$Z$61-$AA$61)*(L61)</f>
        <v>5685.6607588547386</v>
      </c>
      <c r="AF61" s="4" t="s">
        <v>621</v>
      </c>
    </row>
    <row r="62" spans="1:32" ht="11.25" customHeight="1" x14ac:dyDescent="0.25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29</v>
      </c>
      <c r="F62" s="4" t="s">
        <v>25</v>
      </c>
      <c r="G62" s="4" t="s">
        <v>25</v>
      </c>
      <c r="H62" s="4" t="s">
        <v>25</v>
      </c>
      <c r="I62" s="5">
        <v>44743</v>
      </c>
      <c r="J62" s="6">
        <v>0</v>
      </c>
      <c r="K62" s="6">
        <v>0</v>
      </c>
      <c r="L62" s="6">
        <v>21.042999999999999</v>
      </c>
      <c r="M62" s="6">
        <v>21.042999999999999</v>
      </c>
      <c r="N62" s="6">
        <v>21.042999999999999</v>
      </c>
      <c r="O62" s="6">
        <v>21.042999999999999</v>
      </c>
      <c r="P62" s="6">
        <v>57</v>
      </c>
      <c r="Q62" s="4" t="s">
        <v>26</v>
      </c>
      <c r="R62" s="4">
        <v>0</v>
      </c>
      <c r="S62" s="4">
        <v>0</v>
      </c>
      <c r="T62" s="4">
        <v>20</v>
      </c>
      <c r="U62" s="4">
        <v>58</v>
      </c>
      <c r="V62" s="6">
        <f>IF(ISERROR(VLOOKUP($S$62,'TAR FIN'!$A$1:$O$88,15,0)),0,VLOOKUP($S$62,'TAR FIN'!$A$1:$O$88,15,0))</f>
        <v>0</v>
      </c>
      <c r="W62" s="6">
        <f>IF(ISERROR(VLOOKUP($T$62,'TAR FIN'!$A$1:$O$88,15,0)),0,VLOOKUP($T$62,'TAR FIN'!$A$1:$O$88,15,0))</f>
        <v>0</v>
      </c>
      <c r="X62" s="6">
        <f>IF(ISERROR(VLOOKUP($U$62,'TAR FIN'!$A$1:$O$88,15,0)),0,VLOOKUP($U$62,'TAR FIN'!$A$1:$O$88,15,0))</f>
        <v>0</v>
      </c>
      <c r="Y62" s="6"/>
      <c r="Z62" s="6">
        <f ca="1">('TUSD BE'!$AM$22+'TUSD BF'!$AM$22+'TUSD CVA'!$AM$22-('TUSD BE'!$P$22+'TUSD BF'!$P$22+'TUSD CVA'!$P$22)-('TUSD BE'!$Q$22+'TUSD BF'!$Q$22+'TUSD CVA'!$Q$22)-('TUSD BE'!$R$22+'TUSD BF'!$R$22+'TUSD CVA'!$R$22))*(1-CUSTOS!$M$35)</f>
        <v>221.54594878334547</v>
      </c>
      <c r="AA62" s="6">
        <f>('TE BE'!$AB$13+'TE BF'!$AB$13+'TE CVA'!$AB$13)*(1-CUSTOS!$M$35)</f>
        <v>174.31791764267135</v>
      </c>
      <c r="AB62" s="6">
        <f t="shared" si="6"/>
        <v>0</v>
      </c>
      <c r="AC62" s="6">
        <f>(L62-M62)*(W62+X62)+($W$75+$X$75-$W$62-$X$62)*(L62)</f>
        <v>0</v>
      </c>
      <c r="AD62" s="6">
        <f t="shared" si="7"/>
        <v>0</v>
      </c>
      <c r="AE62" s="6">
        <f ca="1">(L62-M62)*(Z62+AA62)+($Z$75+$AA$75-$Z$62-$AA$62)*(L62)</f>
        <v>5553.4422274684484</v>
      </c>
      <c r="AF62" s="4" t="s">
        <v>621</v>
      </c>
    </row>
    <row r="63" spans="1:32" ht="11.25" customHeight="1" x14ac:dyDescent="0.25">
      <c r="A63" s="4" t="s">
        <v>21</v>
      </c>
      <c r="B63" s="4" t="s">
        <v>22</v>
      </c>
      <c r="C63" s="4" t="s">
        <v>23</v>
      </c>
      <c r="D63" s="4" t="s">
        <v>24</v>
      </c>
      <c r="E63" s="4" t="s">
        <v>30</v>
      </c>
      <c r="F63" s="4" t="s">
        <v>25</v>
      </c>
      <c r="G63" s="4" t="s">
        <v>25</v>
      </c>
      <c r="H63" s="4" t="s">
        <v>25</v>
      </c>
      <c r="I63" s="5">
        <v>44409</v>
      </c>
      <c r="J63" s="6">
        <v>0</v>
      </c>
      <c r="K63" s="6">
        <v>0</v>
      </c>
      <c r="L63" s="6">
        <v>23.725999999999999</v>
      </c>
      <c r="M63" s="6">
        <v>23.725999999999999</v>
      </c>
      <c r="N63" s="6">
        <v>23.725999999999999</v>
      </c>
      <c r="O63" s="6">
        <v>23.725999999999999</v>
      </c>
      <c r="P63" s="6">
        <v>169</v>
      </c>
      <c r="Q63" s="4" t="s">
        <v>26</v>
      </c>
      <c r="R63" s="4">
        <v>0</v>
      </c>
      <c r="S63" s="4">
        <v>0</v>
      </c>
      <c r="T63" s="4">
        <v>21</v>
      </c>
      <c r="U63" s="4">
        <v>59</v>
      </c>
      <c r="V63" s="6">
        <f>IF(ISERROR(VLOOKUP($S$63,'TAR FIN'!$A$1:$O$88,15,0)),0,VLOOKUP($S$63,'TAR FIN'!$A$1:$O$88,15,0))</f>
        <v>0</v>
      </c>
      <c r="W63" s="6">
        <f>IF(ISERROR(VLOOKUP($T$63,'TAR FIN'!$A$1:$O$88,15,0)),0,VLOOKUP($T$63,'TAR FIN'!$A$1:$O$88,15,0))</f>
        <v>0</v>
      </c>
      <c r="X63" s="6">
        <f>IF(ISERROR(VLOOKUP($U$63,'TAR FIN'!$A$1:$O$88,15,0)),0,VLOOKUP($U$63,'TAR FIN'!$A$1:$O$88,15,0))</f>
        <v>0</v>
      </c>
      <c r="Y63" s="6"/>
      <c r="Z63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63" s="6">
        <f>('TE BE'!$AB$14+'TE BF'!$AB$14+'TE CVA'!$AB$14)*(1-CUSTOS!$M$36)</f>
        <v>261.47687646400703</v>
      </c>
      <c r="AB63" s="6">
        <f t="shared" si="6"/>
        <v>0</v>
      </c>
      <c r="AC63" s="6">
        <f>(L63-M63)*(W63+X63)+($W$75+$X$75-$W$63-$X$63)*(L63)</f>
        <v>0</v>
      </c>
      <c r="AD63" s="6">
        <f t="shared" si="7"/>
        <v>0</v>
      </c>
      <c r="AE63" s="6">
        <f ca="1">(L63-M63)*(Z63+AA63)+($Z$75+$AA$75-$Z$63-$AA$63)*(L63)</f>
        <v>1565.3776824706129</v>
      </c>
      <c r="AF63" s="4" t="s">
        <v>621</v>
      </c>
    </row>
    <row r="64" spans="1:32" ht="11.25" customHeight="1" x14ac:dyDescent="0.25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30</v>
      </c>
      <c r="F64" s="4" t="s">
        <v>25</v>
      </c>
      <c r="G64" s="4" t="s">
        <v>25</v>
      </c>
      <c r="H64" s="4" t="s">
        <v>25</v>
      </c>
      <c r="I64" s="5">
        <v>44440</v>
      </c>
      <c r="J64" s="6">
        <v>0</v>
      </c>
      <c r="K64" s="6">
        <v>0</v>
      </c>
      <c r="L64" s="6">
        <v>21.268999999999998</v>
      </c>
      <c r="M64" s="6">
        <v>21.268999999999998</v>
      </c>
      <c r="N64" s="6">
        <v>21.268999999999998</v>
      </c>
      <c r="O64" s="6">
        <v>21.268999999999998</v>
      </c>
      <c r="P64" s="6">
        <v>196</v>
      </c>
      <c r="Q64" s="4" t="s">
        <v>26</v>
      </c>
      <c r="R64" s="4">
        <v>0</v>
      </c>
      <c r="S64" s="4">
        <v>0</v>
      </c>
      <c r="T64" s="4">
        <v>21</v>
      </c>
      <c r="U64" s="4">
        <v>59</v>
      </c>
      <c r="V64" s="6">
        <f>IF(ISERROR(VLOOKUP($S$64,'TAR FIN'!$A$1:$O$88,15,0)),0,VLOOKUP($S$64,'TAR FIN'!$A$1:$O$88,15,0))</f>
        <v>0</v>
      </c>
      <c r="W64" s="6">
        <f>IF(ISERROR(VLOOKUP($T$64,'TAR FIN'!$A$1:$O$88,15,0)),0,VLOOKUP($T$64,'TAR FIN'!$A$1:$O$88,15,0))</f>
        <v>0</v>
      </c>
      <c r="X64" s="6">
        <f>IF(ISERROR(VLOOKUP($U$64,'TAR FIN'!$A$1:$O$88,15,0)),0,VLOOKUP($U$64,'TAR FIN'!$A$1:$O$88,15,0))</f>
        <v>0</v>
      </c>
      <c r="Y64" s="6"/>
      <c r="Z64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64" s="6">
        <f>('TE BE'!$AB$14+'TE BF'!$AB$14+'TE CVA'!$AB$14)*(1-CUSTOS!$M$36)</f>
        <v>261.47687646400703</v>
      </c>
      <c r="AB64" s="6">
        <f t="shared" si="6"/>
        <v>0</v>
      </c>
      <c r="AC64" s="6">
        <f>(L64-M64)*(W64+X64)+($W$75+$X$75-$W$64-$X$64)*(L64)</f>
        <v>0</v>
      </c>
      <c r="AD64" s="6">
        <f t="shared" si="7"/>
        <v>0</v>
      </c>
      <c r="AE64" s="6">
        <f ca="1">(L64-M64)*(Z64+AA64)+($Z$75+$AA$75-$Z$64-$AA$64)*(L64)</f>
        <v>1403.2714291691589</v>
      </c>
      <c r="AF64" s="4" t="s">
        <v>621</v>
      </c>
    </row>
    <row r="65" spans="1:32" ht="11.25" customHeight="1" x14ac:dyDescent="0.25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30</v>
      </c>
      <c r="F65" s="4" t="s">
        <v>25</v>
      </c>
      <c r="G65" s="4" t="s">
        <v>25</v>
      </c>
      <c r="H65" s="4" t="s">
        <v>25</v>
      </c>
      <c r="I65" s="5">
        <v>44470</v>
      </c>
      <c r="J65" s="6">
        <v>0</v>
      </c>
      <c r="K65" s="6">
        <v>0</v>
      </c>
      <c r="L65" s="6">
        <v>26.408000000000001</v>
      </c>
      <c r="M65" s="6">
        <v>26.408000000000001</v>
      </c>
      <c r="N65" s="6">
        <v>26.408000000000001</v>
      </c>
      <c r="O65" s="6">
        <v>26.408000000000001</v>
      </c>
      <c r="P65" s="6">
        <v>164</v>
      </c>
      <c r="Q65" s="4" t="s">
        <v>26</v>
      </c>
      <c r="R65" s="4">
        <v>0</v>
      </c>
      <c r="S65" s="4">
        <v>0</v>
      </c>
      <c r="T65" s="4">
        <v>21</v>
      </c>
      <c r="U65" s="4">
        <v>59</v>
      </c>
      <c r="V65" s="6">
        <f>IF(ISERROR(VLOOKUP($S$65,'TAR FIN'!$A$1:$O$88,15,0)),0,VLOOKUP($S$65,'TAR FIN'!$A$1:$O$88,15,0))</f>
        <v>0</v>
      </c>
      <c r="W65" s="6">
        <f>IF(ISERROR(VLOOKUP($T$65,'TAR FIN'!$A$1:$O$88,15,0)),0,VLOOKUP($T$65,'TAR FIN'!$A$1:$O$88,15,0))</f>
        <v>0</v>
      </c>
      <c r="X65" s="6">
        <f>IF(ISERROR(VLOOKUP($U$65,'TAR FIN'!$A$1:$O$88,15,0)),0,VLOOKUP($U$65,'TAR FIN'!$A$1:$O$88,15,0))</f>
        <v>0</v>
      </c>
      <c r="Y65" s="6"/>
      <c r="Z65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65" s="6">
        <f>('TE BE'!$AB$14+'TE BF'!$AB$14+'TE CVA'!$AB$14)*(1-CUSTOS!$M$36)</f>
        <v>261.47687646400703</v>
      </c>
      <c r="AB65" s="6">
        <f t="shared" si="6"/>
        <v>0</v>
      </c>
      <c r="AC65" s="6">
        <f>(L65-M65)*(W65+X65)+($W$75+$X$75-$W$65-$X$65)*(L65)</f>
        <v>0</v>
      </c>
      <c r="AD65" s="6">
        <f t="shared" si="7"/>
        <v>0</v>
      </c>
      <c r="AE65" s="6">
        <f ca="1">(L65-M65)*(Z65+AA65)+($Z$75+$AA$75-$Z$65-$AA$65)*(L65)</f>
        <v>1742.3288307630426</v>
      </c>
      <c r="AF65" s="4" t="s">
        <v>621</v>
      </c>
    </row>
    <row r="66" spans="1:32" ht="11.25" customHeight="1" x14ac:dyDescent="0.25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30</v>
      </c>
      <c r="F66" s="4" t="s">
        <v>25</v>
      </c>
      <c r="G66" s="4" t="s">
        <v>25</v>
      </c>
      <c r="H66" s="4" t="s">
        <v>25</v>
      </c>
      <c r="I66" s="5">
        <v>44501</v>
      </c>
      <c r="J66" s="6">
        <v>0</v>
      </c>
      <c r="K66" s="6">
        <v>0</v>
      </c>
      <c r="L66" s="6">
        <v>22.603999999999999</v>
      </c>
      <c r="M66" s="6">
        <v>22.603999999999999</v>
      </c>
      <c r="N66" s="6">
        <v>22.603999999999999</v>
      </c>
      <c r="O66" s="6">
        <v>22.603999999999999</v>
      </c>
      <c r="P66" s="6">
        <v>207</v>
      </c>
      <c r="Q66" s="4" t="s">
        <v>26</v>
      </c>
      <c r="R66" s="4">
        <v>0</v>
      </c>
      <c r="S66" s="4">
        <v>0</v>
      </c>
      <c r="T66" s="4">
        <v>21</v>
      </c>
      <c r="U66" s="4">
        <v>59</v>
      </c>
      <c r="V66" s="6">
        <f>IF(ISERROR(VLOOKUP($S$66,'TAR FIN'!$A$1:$O$88,15,0)),0,VLOOKUP($S$66,'TAR FIN'!$A$1:$O$88,15,0))</f>
        <v>0</v>
      </c>
      <c r="W66" s="6">
        <f>IF(ISERROR(VLOOKUP($T$66,'TAR FIN'!$A$1:$O$88,15,0)),0,VLOOKUP($T$66,'TAR FIN'!$A$1:$O$88,15,0))</f>
        <v>0</v>
      </c>
      <c r="X66" s="6">
        <f>IF(ISERROR(VLOOKUP($U$66,'TAR FIN'!$A$1:$O$88,15,0)),0,VLOOKUP($U$66,'TAR FIN'!$A$1:$O$88,15,0))</f>
        <v>0</v>
      </c>
      <c r="Y66" s="6"/>
      <c r="Z66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66" s="6">
        <f>('TE BE'!$AB$14+'TE BF'!$AB$14+'TE CVA'!$AB$14)*(1-CUSTOS!$M$36)</f>
        <v>261.47687646400703</v>
      </c>
      <c r="AB66" s="6">
        <f t="shared" ref="AB66:AB97" si="8">(J66-K66)*V66</f>
        <v>0</v>
      </c>
      <c r="AC66" s="6">
        <f>(L66-M66)*(W66+X66)+($W$75+$X$75-$W$66-$X$66)*(L66)</f>
        <v>0</v>
      </c>
      <c r="AD66" s="6">
        <f t="shared" ref="AD66:AD97" si="9">(J66-K66)*Y66</f>
        <v>0</v>
      </c>
      <c r="AE66" s="6">
        <f ca="1">(L66-M66)*(Z66+AA66)+($Z$75+$AA$75-$Z$66-$AA$66)*(L66)</f>
        <v>1491.3511394489476</v>
      </c>
      <c r="AF66" s="4" t="s">
        <v>621</v>
      </c>
    </row>
    <row r="67" spans="1:32" ht="11.25" customHeight="1" x14ac:dyDescent="0.25">
      <c r="A67" s="4" t="s">
        <v>21</v>
      </c>
      <c r="B67" s="4" t="s">
        <v>22</v>
      </c>
      <c r="C67" s="4" t="s">
        <v>23</v>
      </c>
      <c r="D67" s="4" t="s">
        <v>24</v>
      </c>
      <c r="E67" s="4" t="s">
        <v>30</v>
      </c>
      <c r="F67" s="4" t="s">
        <v>25</v>
      </c>
      <c r="G67" s="4" t="s">
        <v>25</v>
      </c>
      <c r="H67" s="4" t="s">
        <v>25</v>
      </c>
      <c r="I67" s="5">
        <v>44531</v>
      </c>
      <c r="J67" s="6">
        <v>0</v>
      </c>
      <c r="K67" s="6">
        <v>0</v>
      </c>
      <c r="L67" s="6">
        <v>25.882999999999999</v>
      </c>
      <c r="M67" s="6">
        <v>25.882999999999999</v>
      </c>
      <c r="N67" s="6">
        <v>25.882999999999999</v>
      </c>
      <c r="O67" s="6">
        <v>25.882999999999999</v>
      </c>
      <c r="P67" s="6">
        <v>196</v>
      </c>
      <c r="Q67" s="4" t="s">
        <v>26</v>
      </c>
      <c r="R67" s="4">
        <v>0</v>
      </c>
      <c r="S67" s="4">
        <v>0</v>
      </c>
      <c r="T67" s="4">
        <v>21</v>
      </c>
      <c r="U67" s="4">
        <v>59</v>
      </c>
      <c r="V67" s="6">
        <f>IF(ISERROR(VLOOKUP($S$67,'TAR FIN'!$A$1:$O$88,15,0)),0,VLOOKUP($S$67,'TAR FIN'!$A$1:$O$88,15,0))</f>
        <v>0</v>
      </c>
      <c r="W67" s="6">
        <f>IF(ISERROR(VLOOKUP($T$67,'TAR FIN'!$A$1:$O$88,15,0)),0,VLOOKUP($T$67,'TAR FIN'!$A$1:$O$88,15,0))</f>
        <v>0</v>
      </c>
      <c r="X67" s="6">
        <f>IF(ISERROR(VLOOKUP($U$67,'TAR FIN'!$A$1:$O$88,15,0)),0,VLOOKUP($U$67,'TAR FIN'!$A$1:$O$88,15,0))</f>
        <v>0</v>
      </c>
      <c r="Y67" s="6"/>
      <c r="Z67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67" s="6">
        <f>('TE BE'!$AB$14+'TE BF'!$AB$14+'TE CVA'!$AB$14)*(1-CUSTOS!$M$36)</f>
        <v>261.47687646400703</v>
      </c>
      <c r="AB67" s="6">
        <f t="shared" si="8"/>
        <v>0</v>
      </c>
      <c r="AC67" s="6">
        <f>(L67-M67)*(W67+X67)+($W$75+$X$75-$W$67-$X$67)*(L67)</f>
        <v>0</v>
      </c>
      <c r="AD67" s="6">
        <f t="shared" si="9"/>
        <v>0</v>
      </c>
      <c r="AE67" s="6">
        <f ca="1">(L67-M67)*(Z67+AA67)+($Z$75+$AA$75-$Z$67-$AA$67)*(L67)</f>
        <v>1707.6907424507658</v>
      </c>
      <c r="AF67" s="4" t="s">
        <v>621</v>
      </c>
    </row>
    <row r="68" spans="1:32" ht="11.25" customHeight="1" x14ac:dyDescent="0.25">
      <c r="A68" s="4" t="s">
        <v>21</v>
      </c>
      <c r="B68" s="4" t="s">
        <v>22</v>
      </c>
      <c r="C68" s="4" t="s">
        <v>23</v>
      </c>
      <c r="D68" s="4" t="s">
        <v>24</v>
      </c>
      <c r="E68" s="4" t="s">
        <v>30</v>
      </c>
      <c r="F68" s="4" t="s">
        <v>25</v>
      </c>
      <c r="G68" s="4" t="s">
        <v>25</v>
      </c>
      <c r="H68" s="4" t="s">
        <v>25</v>
      </c>
      <c r="I68" s="5">
        <v>44562</v>
      </c>
      <c r="J68" s="6">
        <v>0</v>
      </c>
      <c r="K68" s="6">
        <v>0</v>
      </c>
      <c r="L68" s="6">
        <v>24.427</v>
      </c>
      <c r="M68" s="6">
        <v>24.427</v>
      </c>
      <c r="N68" s="6">
        <v>24.427</v>
      </c>
      <c r="O68" s="6">
        <v>24.427</v>
      </c>
      <c r="P68" s="6">
        <v>208</v>
      </c>
      <c r="Q68" s="4" t="s">
        <v>26</v>
      </c>
      <c r="R68" s="4">
        <v>0</v>
      </c>
      <c r="S68" s="4">
        <v>0</v>
      </c>
      <c r="T68" s="4">
        <v>21</v>
      </c>
      <c r="U68" s="4">
        <v>59</v>
      </c>
      <c r="V68" s="6">
        <f>IF(ISERROR(VLOOKUP($S$68,'TAR FIN'!$A$1:$O$88,15,0)),0,VLOOKUP($S$68,'TAR FIN'!$A$1:$O$88,15,0))</f>
        <v>0</v>
      </c>
      <c r="W68" s="6">
        <f>IF(ISERROR(VLOOKUP($T$68,'TAR FIN'!$A$1:$O$88,15,0)),0,VLOOKUP($T$68,'TAR FIN'!$A$1:$O$88,15,0))</f>
        <v>0</v>
      </c>
      <c r="X68" s="6">
        <f>IF(ISERROR(VLOOKUP($U$68,'TAR FIN'!$A$1:$O$88,15,0)),0,VLOOKUP($U$68,'TAR FIN'!$A$1:$O$88,15,0))</f>
        <v>0</v>
      </c>
      <c r="Y68" s="6"/>
      <c r="Z68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68" s="6">
        <f>('TE BE'!$AB$14+'TE BF'!$AB$14+'TE CVA'!$AB$14)*(1-CUSTOS!$M$36)</f>
        <v>261.47687646400703</v>
      </c>
      <c r="AB68" s="6">
        <f t="shared" si="8"/>
        <v>0</v>
      </c>
      <c r="AC68" s="6">
        <f>(L68-M68)*(W68+X68)+($W$75+$X$75-$W$68-$X$68)*(L68)</f>
        <v>0</v>
      </c>
      <c r="AD68" s="6">
        <f t="shared" si="9"/>
        <v>0</v>
      </c>
      <c r="AE68" s="6">
        <f ca="1">(L68-M68)*(Z68+AA68)+($Z$75+$AA$75-$Z$68-$AA$68)*(L68)</f>
        <v>1611.6277775313858</v>
      </c>
      <c r="AF68" s="4" t="s">
        <v>621</v>
      </c>
    </row>
    <row r="69" spans="1:32" ht="11.25" customHeight="1" x14ac:dyDescent="0.25">
      <c r="A69" s="4" t="s">
        <v>21</v>
      </c>
      <c r="B69" s="4" t="s">
        <v>22</v>
      </c>
      <c r="C69" s="4" t="s">
        <v>23</v>
      </c>
      <c r="D69" s="4" t="s">
        <v>24</v>
      </c>
      <c r="E69" s="4" t="s">
        <v>30</v>
      </c>
      <c r="F69" s="4" t="s">
        <v>25</v>
      </c>
      <c r="G69" s="4" t="s">
        <v>25</v>
      </c>
      <c r="H69" s="4" t="s">
        <v>25</v>
      </c>
      <c r="I69" s="5">
        <v>44593</v>
      </c>
      <c r="J69" s="6">
        <v>0</v>
      </c>
      <c r="K69" s="6">
        <v>0</v>
      </c>
      <c r="L69" s="6">
        <v>31.364000000000001</v>
      </c>
      <c r="M69" s="6">
        <v>31.364000000000001</v>
      </c>
      <c r="N69" s="6">
        <v>31.364000000000001</v>
      </c>
      <c r="O69" s="6">
        <v>31.364000000000001</v>
      </c>
      <c r="P69" s="6">
        <v>152</v>
      </c>
      <c r="Q69" s="4" t="s">
        <v>26</v>
      </c>
      <c r="R69" s="4">
        <v>0</v>
      </c>
      <c r="S69" s="4">
        <v>0</v>
      </c>
      <c r="T69" s="4">
        <v>21</v>
      </c>
      <c r="U69" s="4">
        <v>59</v>
      </c>
      <c r="V69" s="6">
        <f>IF(ISERROR(VLOOKUP($S$69,'TAR FIN'!$A$1:$O$88,15,0)),0,VLOOKUP($S$69,'TAR FIN'!$A$1:$O$88,15,0))</f>
        <v>0</v>
      </c>
      <c r="W69" s="6">
        <f>IF(ISERROR(VLOOKUP($T$69,'TAR FIN'!$A$1:$O$88,15,0)),0,VLOOKUP($T$69,'TAR FIN'!$A$1:$O$88,15,0))</f>
        <v>0</v>
      </c>
      <c r="X69" s="6">
        <f>IF(ISERROR(VLOOKUP($U$69,'TAR FIN'!$A$1:$O$88,15,0)),0,VLOOKUP($U$69,'TAR FIN'!$A$1:$O$88,15,0))</f>
        <v>0</v>
      </c>
      <c r="Y69" s="6"/>
      <c r="Z69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69" s="6">
        <f>('TE BE'!$AB$14+'TE BF'!$AB$14+'TE CVA'!$AB$14)*(1-CUSTOS!$M$36)</f>
        <v>261.47687646400703</v>
      </c>
      <c r="AB69" s="6">
        <f t="shared" si="8"/>
        <v>0</v>
      </c>
      <c r="AC69" s="6">
        <f>(L69-M69)*(W69+X69)+($W$75+$X$75-$W$69-$X$69)*(L69)</f>
        <v>0</v>
      </c>
      <c r="AD69" s="6">
        <f t="shared" si="9"/>
        <v>0</v>
      </c>
      <c r="AE69" s="6">
        <f ca="1">(L69-M69)*(Z69+AA69)+($Z$75+$AA$75-$Z$69-$AA$69)*(L69)</f>
        <v>2069.3123844309325</v>
      </c>
      <c r="AF69" s="4" t="s">
        <v>621</v>
      </c>
    </row>
    <row r="70" spans="1:32" ht="11.25" customHeight="1" x14ac:dyDescent="0.25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30</v>
      </c>
      <c r="F70" s="4" t="s">
        <v>25</v>
      </c>
      <c r="G70" s="4" t="s">
        <v>25</v>
      </c>
      <c r="H70" s="4" t="s">
        <v>25</v>
      </c>
      <c r="I70" s="5">
        <v>44621</v>
      </c>
      <c r="J70" s="6">
        <v>0</v>
      </c>
      <c r="K70" s="6">
        <v>0</v>
      </c>
      <c r="L70" s="6">
        <v>26.513999999999999</v>
      </c>
      <c r="M70" s="6">
        <v>26.513999999999999</v>
      </c>
      <c r="N70" s="6">
        <v>26.513999999999999</v>
      </c>
      <c r="O70" s="6">
        <v>26.513999999999999</v>
      </c>
      <c r="P70" s="6">
        <v>192</v>
      </c>
      <c r="Q70" s="4" t="s">
        <v>26</v>
      </c>
      <c r="R70" s="4">
        <v>0</v>
      </c>
      <c r="S70" s="4">
        <v>0</v>
      </c>
      <c r="T70" s="4">
        <v>21</v>
      </c>
      <c r="U70" s="4">
        <v>59</v>
      </c>
      <c r="V70" s="6">
        <f>IF(ISERROR(VLOOKUP($S$70,'TAR FIN'!$A$1:$O$88,15,0)),0,VLOOKUP($S$70,'TAR FIN'!$A$1:$O$88,15,0))</f>
        <v>0</v>
      </c>
      <c r="W70" s="6">
        <f>IF(ISERROR(VLOOKUP($T$70,'TAR FIN'!$A$1:$O$88,15,0)),0,VLOOKUP($T$70,'TAR FIN'!$A$1:$O$88,15,0))</f>
        <v>0</v>
      </c>
      <c r="X70" s="6">
        <f>IF(ISERROR(VLOOKUP($U$70,'TAR FIN'!$A$1:$O$88,15,0)),0,VLOOKUP($U$70,'TAR FIN'!$A$1:$O$88,15,0))</f>
        <v>0</v>
      </c>
      <c r="Y70" s="6"/>
      <c r="Z70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70" s="6">
        <f>('TE BE'!$AB$14+'TE BF'!$AB$14+'TE CVA'!$AB$14)*(1-CUSTOS!$M$36)</f>
        <v>261.47687646400703</v>
      </c>
      <c r="AB70" s="6">
        <f t="shared" si="8"/>
        <v>0</v>
      </c>
      <c r="AC70" s="6">
        <f>(L70-M70)*(W70+X70)+($W$75+$X$75-$W$70-$X$70)*(L70)</f>
        <v>0</v>
      </c>
      <c r="AD70" s="6">
        <f t="shared" si="9"/>
        <v>0</v>
      </c>
      <c r="AE70" s="6">
        <f ca="1">(L70-M70)*(Z70+AA70)+($Z$75+$AA$75-$Z$70-$AA$70)*(L70)</f>
        <v>1749.3224257365687</v>
      </c>
      <c r="AF70" s="4" t="s">
        <v>621</v>
      </c>
    </row>
    <row r="71" spans="1:32" ht="11.25" customHeight="1" x14ac:dyDescent="0.25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30</v>
      </c>
      <c r="F71" s="4" t="s">
        <v>25</v>
      </c>
      <c r="G71" s="4" t="s">
        <v>25</v>
      </c>
      <c r="H71" s="4" t="s">
        <v>25</v>
      </c>
      <c r="I71" s="5">
        <v>44652</v>
      </c>
      <c r="J71" s="6">
        <v>0</v>
      </c>
      <c r="K71" s="6">
        <v>0</v>
      </c>
      <c r="L71" s="6">
        <v>29.779</v>
      </c>
      <c r="M71" s="6">
        <v>29.779</v>
      </c>
      <c r="N71" s="6">
        <v>29.779</v>
      </c>
      <c r="O71" s="6">
        <v>29.779</v>
      </c>
      <c r="P71" s="6">
        <v>175</v>
      </c>
      <c r="Q71" s="4" t="s">
        <v>26</v>
      </c>
      <c r="R71" s="4">
        <v>0</v>
      </c>
      <c r="S71" s="4">
        <v>0</v>
      </c>
      <c r="T71" s="4">
        <v>21</v>
      </c>
      <c r="U71" s="4">
        <v>59</v>
      </c>
      <c r="V71" s="6">
        <f>IF(ISERROR(VLOOKUP($S$71,'TAR FIN'!$A$1:$O$88,15,0)),0,VLOOKUP($S$71,'TAR FIN'!$A$1:$O$88,15,0))</f>
        <v>0</v>
      </c>
      <c r="W71" s="6">
        <f>IF(ISERROR(VLOOKUP($T$71,'TAR FIN'!$A$1:$O$88,15,0)),0,VLOOKUP($T$71,'TAR FIN'!$A$1:$O$88,15,0))</f>
        <v>0</v>
      </c>
      <c r="X71" s="6">
        <f>IF(ISERROR(VLOOKUP($U$71,'TAR FIN'!$A$1:$O$88,15,0)),0,VLOOKUP($U$71,'TAR FIN'!$A$1:$O$88,15,0))</f>
        <v>0</v>
      </c>
      <c r="Y71" s="6"/>
      <c r="Z71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71" s="6">
        <f>('TE BE'!$AB$14+'TE BF'!$AB$14+'TE CVA'!$AB$14)*(1-CUSTOS!$M$36)</f>
        <v>261.47687646400703</v>
      </c>
      <c r="AB71" s="6">
        <f t="shared" si="8"/>
        <v>0</v>
      </c>
      <c r="AC71" s="6">
        <f>(L71-M71)*(W71+X71)+($W$75+$X$75-$W$71-$X$71)*(L71)</f>
        <v>0</v>
      </c>
      <c r="AD71" s="6">
        <f t="shared" si="9"/>
        <v>0</v>
      </c>
      <c r="AE71" s="6">
        <f ca="1">(L71-M71)*(Z71+AA71)+($Z$75+$AA$75-$Z$71-$AA$71)*(L71)</f>
        <v>1964.7383463833928</v>
      </c>
      <c r="AF71" s="4" t="s">
        <v>621</v>
      </c>
    </row>
    <row r="72" spans="1:32" ht="11.25" customHeight="1" x14ac:dyDescent="0.25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30</v>
      </c>
      <c r="F72" s="4" t="s">
        <v>25</v>
      </c>
      <c r="G72" s="4" t="s">
        <v>25</v>
      </c>
      <c r="H72" s="4" t="s">
        <v>25</v>
      </c>
      <c r="I72" s="5">
        <v>44682</v>
      </c>
      <c r="J72" s="6">
        <v>0</v>
      </c>
      <c r="K72" s="6">
        <v>0</v>
      </c>
      <c r="L72" s="6">
        <v>28.013000000000002</v>
      </c>
      <c r="M72" s="6">
        <v>28.013000000000002</v>
      </c>
      <c r="N72" s="6">
        <v>28.013000000000002</v>
      </c>
      <c r="O72" s="6">
        <v>28.013000000000002</v>
      </c>
      <c r="P72" s="6">
        <v>201</v>
      </c>
      <c r="Q72" s="4" t="s">
        <v>26</v>
      </c>
      <c r="R72" s="4">
        <v>0</v>
      </c>
      <c r="S72" s="4">
        <v>0</v>
      </c>
      <c r="T72" s="4">
        <v>21</v>
      </c>
      <c r="U72" s="4">
        <v>59</v>
      </c>
      <c r="V72" s="6">
        <f>IF(ISERROR(VLOOKUP($S$72,'TAR FIN'!$A$1:$O$88,15,0)),0,VLOOKUP($S$72,'TAR FIN'!$A$1:$O$88,15,0))</f>
        <v>0</v>
      </c>
      <c r="W72" s="6">
        <f>IF(ISERROR(VLOOKUP($T$72,'TAR FIN'!$A$1:$O$88,15,0)),0,VLOOKUP($T$72,'TAR FIN'!$A$1:$O$88,15,0))</f>
        <v>0</v>
      </c>
      <c r="X72" s="6">
        <f>IF(ISERROR(VLOOKUP($U$72,'TAR FIN'!$A$1:$O$88,15,0)),0,VLOOKUP($U$72,'TAR FIN'!$A$1:$O$88,15,0))</f>
        <v>0</v>
      </c>
      <c r="Y72" s="6"/>
      <c r="Z72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72" s="6">
        <f>('TE BE'!$AB$14+'TE BF'!$AB$14+'TE CVA'!$AB$14)*(1-CUSTOS!$M$36)</f>
        <v>261.47687646400703</v>
      </c>
      <c r="AB72" s="6">
        <f t="shared" si="8"/>
        <v>0</v>
      </c>
      <c r="AC72" s="6">
        <f>(L72-M72)*(W72+X72)+($W$75+$X$75-$W$72-$X$72)*(L72)</f>
        <v>0</v>
      </c>
      <c r="AD72" s="6">
        <f t="shared" si="9"/>
        <v>0</v>
      </c>
      <c r="AE72" s="6">
        <f ca="1">(L72-M72)*(Z72+AA72)+($Z$75+$AA$75-$Z$72-$AA$72)*(L72)</f>
        <v>1848.2224150320021</v>
      </c>
      <c r="AF72" s="4" t="s">
        <v>621</v>
      </c>
    </row>
    <row r="73" spans="1:32" ht="11.25" customHeight="1" x14ac:dyDescent="0.25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30</v>
      </c>
      <c r="F73" s="4" t="s">
        <v>25</v>
      </c>
      <c r="G73" s="4" t="s">
        <v>25</v>
      </c>
      <c r="H73" s="4" t="s">
        <v>25</v>
      </c>
      <c r="I73" s="5">
        <v>44713</v>
      </c>
      <c r="J73" s="6">
        <v>0</v>
      </c>
      <c r="K73" s="6">
        <v>0</v>
      </c>
      <c r="L73" s="6">
        <v>22.375</v>
      </c>
      <c r="M73" s="6">
        <v>22.375</v>
      </c>
      <c r="N73" s="6">
        <v>22.375</v>
      </c>
      <c r="O73" s="6">
        <v>22.375</v>
      </c>
      <c r="P73" s="6">
        <v>181</v>
      </c>
      <c r="Q73" s="4" t="s">
        <v>26</v>
      </c>
      <c r="R73" s="4">
        <v>0</v>
      </c>
      <c r="S73" s="4">
        <v>0</v>
      </c>
      <c r="T73" s="4">
        <v>21</v>
      </c>
      <c r="U73" s="4">
        <v>59</v>
      </c>
      <c r="V73" s="6">
        <f>IF(ISERROR(VLOOKUP($S$73,'TAR FIN'!$A$1:$O$88,15,0)),0,VLOOKUP($S$73,'TAR FIN'!$A$1:$O$88,15,0))</f>
        <v>0</v>
      </c>
      <c r="W73" s="6">
        <f>IF(ISERROR(VLOOKUP($T$73,'TAR FIN'!$A$1:$O$88,15,0)),0,VLOOKUP($T$73,'TAR FIN'!$A$1:$O$88,15,0))</f>
        <v>0</v>
      </c>
      <c r="X73" s="6">
        <f>IF(ISERROR(VLOOKUP($U$73,'TAR FIN'!$A$1:$O$88,15,0)),0,VLOOKUP($U$73,'TAR FIN'!$A$1:$O$88,15,0))</f>
        <v>0</v>
      </c>
      <c r="Y73" s="6"/>
      <c r="Z73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73" s="6">
        <f>('TE BE'!$AB$14+'TE BF'!$AB$14+'TE CVA'!$AB$14)*(1-CUSTOS!$M$36)</f>
        <v>261.47687646400703</v>
      </c>
      <c r="AB73" s="6">
        <f t="shared" si="8"/>
        <v>0</v>
      </c>
      <c r="AC73" s="6">
        <f>(L73-M73)*(W73+X73)+($W$75+$X$75-$W$73-$X$73)*(L73)</f>
        <v>0</v>
      </c>
      <c r="AD73" s="6">
        <f t="shared" si="9"/>
        <v>0</v>
      </c>
      <c r="AE73" s="6">
        <f ca="1">(L73-M73)*(Z73+AA73)+($Z$75+$AA$75-$Z$73-$AA$73)*(L73)</f>
        <v>1476.242335213688</v>
      </c>
      <c r="AF73" s="4" t="s">
        <v>621</v>
      </c>
    </row>
    <row r="74" spans="1:32" ht="11.25" customHeight="1" x14ac:dyDescent="0.25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30</v>
      </c>
      <c r="F74" s="4" t="s">
        <v>25</v>
      </c>
      <c r="G74" s="4" t="s">
        <v>25</v>
      </c>
      <c r="H74" s="4" t="s">
        <v>25</v>
      </c>
      <c r="I74" s="5">
        <v>44743</v>
      </c>
      <c r="J74" s="6">
        <v>0</v>
      </c>
      <c r="K74" s="6">
        <v>0</v>
      </c>
      <c r="L74" s="6">
        <v>22.675000000000001</v>
      </c>
      <c r="M74" s="6">
        <v>22.675000000000001</v>
      </c>
      <c r="N74" s="6">
        <v>22.675000000000001</v>
      </c>
      <c r="O74" s="6">
        <v>22.675000000000001</v>
      </c>
      <c r="P74" s="6">
        <v>157</v>
      </c>
      <c r="Q74" s="4" t="s">
        <v>26</v>
      </c>
      <c r="R74" s="4">
        <v>0</v>
      </c>
      <c r="S74" s="4">
        <v>0</v>
      </c>
      <c r="T74" s="4">
        <v>21</v>
      </c>
      <c r="U74" s="4">
        <v>59</v>
      </c>
      <c r="V74" s="6">
        <f>IF(ISERROR(VLOOKUP($S$74,'TAR FIN'!$A$1:$O$88,15,0)),0,VLOOKUP($S$74,'TAR FIN'!$A$1:$O$88,15,0))</f>
        <v>0</v>
      </c>
      <c r="W74" s="6">
        <f>IF(ISERROR(VLOOKUP($T$74,'TAR FIN'!$A$1:$O$88,15,0)),0,VLOOKUP($T$74,'TAR FIN'!$A$1:$O$88,15,0))</f>
        <v>0</v>
      </c>
      <c r="X74" s="6">
        <f>IF(ISERROR(VLOOKUP($U$74,'TAR FIN'!$A$1:$O$88,15,0)),0,VLOOKUP($U$74,'TAR FIN'!$A$1:$O$88,15,0))</f>
        <v>0</v>
      </c>
      <c r="Y74" s="6"/>
      <c r="Z74" s="6">
        <f ca="1">('TUSD BE'!$AM$23+'TUSD BF'!$AM$23+'TUSD CVA'!$AM$23-('TUSD BE'!$P$23+'TUSD BF'!$P$23+'TUSD CVA'!$P$23)-('TUSD BE'!$Q$23+'TUSD BF'!$Q$23+'TUSD CVA'!$Q$23)-('TUSD BE'!$R$23+'TUSD BF'!$R$23+'TUSD CVA'!$R$23))*(1-CUSTOS!$M$36)</f>
        <v>332.3189231750182</v>
      </c>
      <c r="AA74" s="6">
        <f>('TE BE'!$AB$14+'TE BF'!$AB$14+'TE CVA'!$AB$14)*(1-CUSTOS!$M$36)</f>
        <v>261.47687646400703</v>
      </c>
      <c r="AB74" s="6">
        <f t="shared" si="8"/>
        <v>0</v>
      </c>
      <c r="AC74" s="6">
        <f>(L74-M74)*(W74+X74)+($W$75+$X$75-$W$74-$X$74)*(L74)</f>
        <v>0</v>
      </c>
      <c r="AD74" s="6">
        <f t="shared" si="9"/>
        <v>0</v>
      </c>
      <c r="AE74" s="6">
        <f ca="1">(L74-M74)*(Z74+AA74)+($Z$75+$AA$75-$Z$74-$AA$74)*(L74)</f>
        <v>1496.035528534989</v>
      </c>
      <c r="AF74" s="4" t="s">
        <v>621</v>
      </c>
    </row>
    <row r="75" spans="1:32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31</v>
      </c>
      <c r="F75" s="4" t="s">
        <v>25</v>
      </c>
      <c r="G75" s="4" t="s">
        <v>25</v>
      </c>
      <c r="H75" s="4" t="s">
        <v>25</v>
      </c>
      <c r="I75" s="5">
        <v>44409</v>
      </c>
      <c r="J75" s="6">
        <v>0</v>
      </c>
      <c r="K75" s="6">
        <v>0</v>
      </c>
      <c r="L75" s="6">
        <v>7.9669999999999996</v>
      </c>
      <c r="M75" s="6">
        <v>7.9669999999999996</v>
      </c>
      <c r="N75" s="6">
        <v>7.9669999999999996</v>
      </c>
      <c r="O75" s="6">
        <v>7.9669999999999996</v>
      </c>
      <c r="P75" s="6">
        <v>109</v>
      </c>
      <c r="Q75" s="4" t="s">
        <v>26</v>
      </c>
      <c r="R75" s="4">
        <v>0</v>
      </c>
      <c r="S75" s="4">
        <v>0</v>
      </c>
      <c r="T75" s="4">
        <v>22</v>
      </c>
      <c r="U75" s="4">
        <v>60</v>
      </c>
      <c r="V75" s="6">
        <f>IF(ISERROR(VLOOKUP($S$75,'TAR FIN'!$A$1:$O$88,15,0)),0,VLOOKUP($S$75,'TAR FIN'!$A$1:$O$88,15,0))</f>
        <v>0</v>
      </c>
      <c r="W75" s="6">
        <f>IF(ISERROR(VLOOKUP($T$75,'TAR FIN'!$A$1:$O$88,15,0)),0,VLOOKUP($T$75,'TAR FIN'!$A$1:$O$88,15,0))</f>
        <v>0</v>
      </c>
      <c r="X75" s="6">
        <f>IF(ISERROR(VLOOKUP($U$75,'TAR FIN'!$A$1:$O$88,15,0)),0,VLOOKUP($U$75,'TAR FIN'!$A$1:$O$88,15,0))</f>
        <v>0</v>
      </c>
      <c r="Y75" s="6"/>
      <c r="Z75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75" s="6">
        <f>('TE BE'!$AB$15+'TE BF'!$AB$15+'TE CVA'!$AB$15)*(1-CUSTOS!$M$37)</f>
        <v>290.52986273778561</v>
      </c>
      <c r="AB75" s="6">
        <f t="shared" si="8"/>
        <v>0</v>
      </c>
      <c r="AC75" s="6">
        <f>(L75-M75)*(W75+X75)+($W$75+$X$75-$W$75-$X$75)*(L75)</f>
        <v>0</v>
      </c>
      <c r="AD75" s="6">
        <f t="shared" si="9"/>
        <v>0</v>
      </c>
      <c r="AE75" s="6">
        <f ca="1">(L75-M75)*(Z75+AA75)+($Z$75+$AA$75-$Z$75-$AA$75)*(L75)</f>
        <v>0</v>
      </c>
      <c r="AF75" s="4" t="s">
        <v>621</v>
      </c>
    </row>
    <row r="76" spans="1:32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31</v>
      </c>
      <c r="F76" s="4" t="s">
        <v>25</v>
      </c>
      <c r="G76" s="4" t="s">
        <v>25</v>
      </c>
      <c r="H76" s="4" t="s">
        <v>25</v>
      </c>
      <c r="I76" s="5">
        <v>44440</v>
      </c>
      <c r="J76" s="6">
        <v>0</v>
      </c>
      <c r="K76" s="6">
        <v>0</v>
      </c>
      <c r="L76" s="6">
        <v>5.3879999999999999</v>
      </c>
      <c r="M76" s="6">
        <v>5.3879999999999999</v>
      </c>
      <c r="N76" s="6">
        <v>5.3879999999999999</v>
      </c>
      <c r="O76" s="6">
        <v>5.3879999999999999</v>
      </c>
      <c r="P76" s="6">
        <v>81</v>
      </c>
      <c r="Q76" s="4" t="s">
        <v>26</v>
      </c>
      <c r="R76" s="4">
        <v>0</v>
      </c>
      <c r="S76" s="4">
        <v>0</v>
      </c>
      <c r="T76" s="4">
        <v>22</v>
      </c>
      <c r="U76" s="4">
        <v>60</v>
      </c>
      <c r="V76" s="6">
        <f>IF(ISERROR(VLOOKUP($S$76,'TAR FIN'!$A$1:$O$88,15,0)),0,VLOOKUP($S$76,'TAR FIN'!$A$1:$O$88,15,0))</f>
        <v>0</v>
      </c>
      <c r="W76" s="6">
        <f>IF(ISERROR(VLOOKUP($T$76,'TAR FIN'!$A$1:$O$88,15,0)),0,VLOOKUP($T$76,'TAR FIN'!$A$1:$O$88,15,0))</f>
        <v>0</v>
      </c>
      <c r="X76" s="6">
        <f>IF(ISERROR(VLOOKUP($U$76,'TAR FIN'!$A$1:$O$88,15,0)),0,VLOOKUP($U$76,'TAR FIN'!$A$1:$O$88,15,0))</f>
        <v>0</v>
      </c>
      <c r="Y76" s="6"/>
      <c r="Z76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76" s="6">
        <f>('TE BE'!$AB$15+'TE BF'!$AB$15+'TE CVA'!$AB$15)*(1-CUSTOS!$M$37)</f>
        <v>290.52986273778561</v>
      </c>
      <c r="AB76" s="6">
        <f t="shared" si="8"/>
        <v>0</v>
      </c>
      <c r="AC76" s="6">
        <f>(L76-M76)*(W76+X76)+($W$75+$X$75-$W$76-$X$76)*(L76)</f>
        <v>0</v>
      </c>
      <c r="AD76" s="6">
        <f t="shared" si="9"/>
        <v>0</v>
      </c>
      <c r="AE76" s="6">
        <f ca="1">(L76-M76)*(Z76+AA76)+($Z$75+$AA$75-$Z$76-$AA$76)*(L76)</f>
        <v>0</v>
      </c>
      <c r="AF76" s="4" t="s">
        <v>621</v>
      </c>
    </row>
    <row r="77" spans="1:32" ht="11.25" customHeight="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31</v>
      </c>
      <c r="F77" s="4" t="s">
        <v>25</v>
      </c>
      <c r="G77" s="4" t="s">
        <v>25</v>
      </c>
      <c r="H77" s="4" t="s">
        <v>25</v>
      </c>
      <c r="I77" s="5">
        <v>44470</v>
      </c>
      <c r="J77" s="6">
        <v>0</v>
      </c>
      <c r="K77" s="6">
        <v>0</v>
      </c>
      <c r="L77" s="6">
        <v>9.2989999999999995</v>
      </c>
      <c r="M77" s="6">
        <v>9.2989999999999995</v>
      </c>
      <c r="N77" s="6">
        <v>9.2989999999999995</v>
      </c>
      <c r="O77" s="6">
        <v>9.2989999999999995</v>
      </c>
      <c r="P77" s="6">
        <v>126</v>
      </c>
      <c r="Q77" s="4" t="s">
        <v>26</v>
      </c>
      <c r="R77" s="4">
        <v>0</v>
      </c>
      <c r="S77" s="4">
        <v>0</v>
      </c>
      <c r="T77" s="4">
        <v>22</v>
      </c>
      <c r="U77" s="4">
        <v>60</v>
      </c>
      <c r="V77" s="6">
        <f>IF(ISERROR(VLOOKUP($S$77,'TAR FIN'!$A$1:$O$88,15,0)),0,VLOOKUP($S$77,'TAR FIN'!$A$1:$O$88,15,0))</f>
        <v>0</v>
      </c>
      <c r="W77" s="6">
        <f>IF(ISERROR(VLOOKUP($T$77,'TAR FIN'!$A$1:$O$88,15,0)),0,VLOOKUP($T$77,'TAR FIN'!$A$1:$O$88,15,0))</f>
        <v>0</v>
      </c>
      <c r="X77" s="6">
        <f>IF(ISERROR(VLOOKUP($U$77,'TAR FIN'!$A$1:$O$88,15,0)),0,VLOOKUP($U$77,'TAR FIN'!$A$1:$O$88,15,0))</f>
        <v>0</v>
      </c>
      <c r="Y77" s="6"/>
      <c r="Z77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77" s="6">
        <f>('TE BE'!$AB$15+'TE BF'!$AB$15+'TE CVA'!$AB$15)*(1-CUSTOS!$M$37)</f>
        <v>290.52986273778561</v>
      </c>
      <c r="AB77" s="6">
        <f t="shared" si="8"/>
        <v>0</v>
      </c>
      <c r="AC77" s="6">
        <f>(L77-M77)*(W77+X77)+($W$75+$X$75-$W$77-$X$77)*(L77)</f>
        <v>0</v>
      </c>
      <c r="AD77" s="6">
        <f t="shared" si="9"/>
        <v>0</v>
      </c>
      <c r="AE77" s="6">
        <f ca="1">(L77-M77)*(Z77+AA77)+($Z$75+$AA$75-$Z$77-$AA$77)*(L77)</f>
        <v>0</v>
      </c>
      <c r="AF77" s="4" t="s">
        <v>621</v>
      </c>
    </row>
    <row r="78" spans="1:32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31</v>
      </c>
      <c r="F78" s="4" t="s">
        <v>25</v>
      </c>
      <c r="G78" s="4" t="s">
        <v>25</v>
      </c>
      <c r="H78" s="4" t="s">
        <v>25</v>
      </c>
      <c r="I78" s="5">
        <v>44501</v>
      </c>
      <c r="J78" s="6">
        <v>0</v>
      </c>
      <c r="K78" s="6">
        <v>0</v>
      </c>
      <c r="L78" s="6">
        <v>5.3890000000000002</v>
      </c>
      <c r="M78" s="6">
        <v>5.3890000000000002</v>
      </c>
      <c r="N78" s="6">
        <v>5.3890000000000002</v>
      </c>
      <c r="O78" s="6">
        <v>5.3890000000000002</v>
      </c>
      <c r="P78" s="6">
        <v>84</v>
      </c>
      <c r="Q78" s="4" t="s">
        <v>26</v>
      </c>
      <c r="R78" s="4">
        <v>0</v>
      </c>
      <c r="S78" s="4">
        <v>0</v>
      </c>
      <c r="T78" s="4">
        <v>22</v>
      </c>
      <c r="U78" s="4">
        <v>60</v>
      </c>
      <c r="V78" s="6">
        <f>IF(ISERROR(VLOOKUP($S$78,'TAR FIN'!$A$1:$O$88,15,0)),0,VLOOKUP($S$78,'TAR FIN'!$A$1:$O$88,15,0))</f>
        <v>0</v>
      </c>
      <c r="W78" s="6">
        <f>IF(ISERROR(VLOOKUP($T$78,'TAR FIN'!$A$1:$O$88,15,0)),0,VLOOKUP($T$78,'TAR FIN'!$A$1:$O$88,15,0))</f>
        <v>0</v>
      </c>
      <c r="X78" s="6">
        <f>IF(ISERROR(VLOOKUP($U$78,'TAR FIN'!$A$1:$O$88,15,0)),0,VLOOKUP($U$78,'TAR FIN'!$A$1:$O$88,15,0))</f>
        <v>0</v>
      </c>
      <c r="Y78" s="6"/>
      <c r="Z78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78" s="6">
        <f>('TE BE'!$AB$15+'TE BF'!$AB$15+'TE CVA'!$AB$15)*(1-CUSTOS!$M$37)</f>
        <v>290.52986273778561</v>
      </c>
      <c r="AB78" s="6">
        <f t="shared" si="8"/>
        <v>0</v>
      </c>
      <c r="AC78" s="6">
        <f>(L78-M78)*(W78+X78)+($W$75+$X$75-$W$78-$X$78)*(L78)</f>
        <v>0</v>
      </c>
      <c r="AD78" s="6">
        <f t="shared" si="9"/>
        <v>0</v>
      </c>
      <c r="AE78" s="6">
        <f ca="1">(L78-M78)*(Z78+AA78)+($Z$75+$AA$75-$Z$78-$AA$78)*(L78)</f>
        <v>0</v>
      </c>
      <c r="AF78" s="4" t="s">
        <v>621</v>
      </c>
    </row>
    <row r="79" spans="1:32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31</v>
      </c>
      <c r="F79" s="4" t="s">
        <v>25</v>
      </c>
      <c r="G79" s="4" t="s">
        <v>25</v>
      </c>
      <c r="H79" s="4" t="s">
        <v>25</v>
      </c>
      <c r="I79" s="5">
        <v>44531</v>
      </c>
      <c r="J79" s="6">
        <v>0</v>
      </c>
      <c r="K79" s="6">
        <v>0</v>
      </c>
      <c r="L79" s="6">
        <v>8.0939999999999994</v>
      </c>
      <c r="M79" s="6">
        <v>8.0939999999999994</v>
      </c>
      <c r="N79" s="6">
        <v>8.0939999999999994</v>
      </c>
      <c r="O79" s="6">
        <v>8.0939999999999994</v>
      </c>
      <c r="P79" s="6">
        <v>112</v>
      </c>
      <c r="Q79" s="4" t="s">
        <v>26</v>
      </c>
      <c r="R79" s="4">
        <v>0</v>
      </c>
      <c r="S79" s="4">
        <v>0</v>
      </c>
      <c r="T79" s="4">
        <v>22</v>
      </c>
      <c r="U79" s="4">
        <v>60</v>
      </c>
      <c r="V79" s="6">
        <f>IF(ISERROR(VLOOKUP($S$79,'TAR FIN'!$A$1:$O$88,15,0)),0,VLOOKUP($S$79,'TAR FIN'!$A$1:$O$88,15,0))</f>
        <v>0</v>
      </c>
      <c r="W79" s="6">
        <f>IF(ISERROR(VLOOKUP($T$79,'TAR FIN'!$A$1:$O$88,15,0)),0,VLOOKUP($T$79,'TAR FIN'!$A$1:$O$88,15,0))</f>
        <v>0</v>
      </c>
      <c r="X79" s="6">
        <f>IF(ISERROR(VLOOKUP($U$79,'TAR FIN'!$A$1:$O$88,15,0)),0,VLOOKUP($U$79,'TAR FIN'!$A$1:$O$88,15,0))</f>
        <v>0</v>
      </c>
      <c r="Y79" s="6"/>
      <c r="Z79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79" s="6">
        <f>('TE BE'!$AB$15+'TE BF'!$AB$15+'TE CVA'!$AB$15)*(1-CUSTOS!$M$37)</f>
        <v>290.52986273778561</v>
      </c>
      <c r="AB79" s="6">
        <f t="shared" si="8"/>
        <v>0</v>
      </c>
      <c r="AC79" s="6">
        <f>(L79-M79)*(W79+X79)+($W$75+$X$75-$W$79-$X$79)*(L79)</f>
        <v>0</v>
      </c>
      <c r="AD79" s="6">
        <f t="shared" si="9"/>
        <v>0</v>
      </c>
      <c r="AE79" s="6">
        <f ca="1">(L79-M79)*(Z79+AA79)+($Z$75+$AA$75-$Z$79-$AA$79)*(L79)</f>
        <v>0</v>
      </c>
      <c r="AF79" s="4" t="s">
        <v>621</v>
      </c>
    </row>
    <row r="80" spans="1:32" ht="11.25" customHeight="1" x14ac:dyDescent="0.25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31</v>
      </c>
      <c r="F80" s="4" t="s">
        <v>25</v>
      </c>
      <c r="G80" s="4" t="s">
        <v>25</v>
      </c>
      <c r="H80" s="4" t="s">
        <v>25</v>
      </c>
      <c r="I80" s="5">
        <v>44562</v>
      </c>
      <c r="J80" s="6">
        <v>0</v>
      </c>
      <c r="K80" s="6">
        <v>0</v>
      </c>
      <c r="L80" s="6">
        <v>6.9139999999999997</v>
      </c>
      <c r="M80" s="6">
        <v>6.9139999999999997</v>
      </c>
      <c r="N80" s="6">
        <v>6.9139999999999997</v>
      </c>
      <c r="O80" s="6">
        <v>6.9139999999999997</v>
      </c>
      <c r="P80" s="6">
        <v>98</v>
      </c>
      <c r="Q80" s="4" t="s">
        <v>26</v>
      </c>
      <c r="R80" s="4">
        <v>0</v>
      </c>
      <c r="S80" s="4">
        <v>0</v>
      </c>
      <c r="T80" s="4">
        <v>22</v>
      </c>
      <c r="U80" s="4">
        <v>60</v>
      </c>
      <c r="V80" s="6">
        <f>IF(ISERROR(VLOOKUP($S$80,'TAR FIN'!$A$1:$O$88,15,0)),0,VLOOKUP($S$80,'TAR FIN'!$A$1:$O$88,15,0))</f>
        <v>0</v>
      </c>
      <c r="W80" s="6">
        <f>IF(ISERROR(VLOOKUP($T$80,'TAR FIN'!$A$1:$O$88,15,0)),0,VLOOKUP($T$80,'TAR FIN'!$A$1:$O$88,15,0))</f>
        <v>0</v>
      </c>
      <c r="X80" s="6">
        <f>IF(ISERROR(VLOOKUP($U$80,'TAR FIN'!$A$1:$O$88,15,0)),0,VLOOKUP($U$80,'TAR FIN'!$A$1:$O$88,15,0))</f>
        <v>0</v>
      </c>
      <c r="Y80" s="6"/>
      <c r="Z80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80" s="6">
        <f>('TE BE'!$AB$15+'TE BF'!$AB$15+'TE CVA'!$AB$15)*(1-CUSTOS!$M$37)</f>
        <v>290.52986273778561</v>
      </c>
      <c r="AB80" s="6">
        <f t="shared" si="8"/>
        <v>0</v>
      </c>
      <c r="AC80" s="6">
        <f>(L80-M80)*(W80+X80)+($W$75+$X$75-$W$80-$X$80)*(L80)</f>
        <v>0</v>
      </c>
      <c r="AD80" s="6">
        <f t="shared" si="9"/>
        <v>0</v>
      </c>
      <c r="AE80" s="6">
        <f ca="1">(L80-M80)*(Z80+AA80)+($Z$75+$AA$75-$Z$80-$AA$80)*(L80)</f>
        <v>0</v>
      </c>
      <c r="AF80" s="4" t="s">
        <v>621</v>
      </c>
    </row>
    <row r="81" spans="1:32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31</v>
      </c>
      <c r="F81" s="4" t="s">
        <v>25</v>
      </c>
      <c r="G81" s="4" t="s">
        <v>25</v>
      </c>
      <c r="H81" s="4" t="s">
        <v>25</v>
      </c>
      <c r="I81" s="5">
        <v>44593</v>
      </c>
      <c r="J81" s="6">
        <v>0</v>
      </c>
      <c r="K81" s="6">
        <v>0</v>
      </c>
      <c r="L81" s="6">
        <v>18.236999999999998</v>
      </c>
      <c r="M81" s="6">
        <v>18.236999999999998</v>
      </c>
      <c r="N81" s="6">
        <v>18.236999999999998</v>
      </c>
      <c r="O81" s="6">
        <v>18.236999999999998</v>
      </c>
      <c r="P81" s="6">
        <v>180</v>
      </c>
      <c r="Q81" s="4" t="s">
        <v>26</v>
      </c>
      <c r="R81" s="4">
        <v>0</v>
      </c>
      <c r="S81" s="4">
        <v>0</v>
      </c>
      <c r="T81" s="4">
        <v>22</v>
      </c>
      <c r="U81" s="4">
        <v>60</v>
      </c>
      <c r="V81" s="6">
        <f>IF(ISERROR(VLOOKUP($S$81,'TAR FIN'!$A$1:$O$88,15,0)),0,VLOOKUP($S$81,'TAR FIN'!$A$1:$O$88,15,0))</f>
        <v>0</v>
      </c>
      <c r="W81" s="6">
        <f>IF(ISERROR(VLOOKUP($T$81,'TAR FIN'!$A$1:$O$88,15,0)),0,VLOOKUP($T$81,'TAR FIN'!$A$1:$O$88,15,0))</f>
        <v>0</v>
      </c>
      <c r="X81" s="6">
        <f>IF(ISERROR(VLOOKUP($U$81,'TAR FIN'!$A$1:$O$88,15,0)),0,VLOOKUP($U$81,'TAR FIN'!$A$1:$O$88,15,0))</f>
        <v>0</v>
      </c>
      <c r="Y81" s="6"/>
      <c r="Z81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81" s="6">
        <f>('TE BE'!$AB$15+'TE BF'!$AB$15+'TE CVA'!$AB$15)*(1-CUSTOS!$M$37)</f>
        <v>290.52986273778561</v>
      </c>
      <c r="AB81" s="6">
        <f t="shared" si="8"/>
        <v>0</v>
      </c>
      <c r="AC81" s="6">
        <f>(L81-M81)*(W81+X81)+($W$75+$X$75-$W$81-$X$81)*(L81)</f>
        <v>0</v>
      </c>
      <c r="AD81" s="6">
        <f t="shared" si="9"/>
        <v>0</v>
      </c>
      <c r="AE81" s="6">
        <f ca="1">(L81-M81)*(Z81+AA81)+($Z$75+$AA$75-$Z$81-$AA$81)*(L81)</f>
        <v>0</v>
      </c>
      <c r="AF81" s="4" t="s">
        <v>621</v>
      </c>
    </row>
    <row r="82" spans="1:32" ht="11.25" customHeight="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31</v>
      </c>
      <c r="F82" s="4" t="s">
        <v>25</v>
      </c>
      <c r="G82" s="4" t="s">
        <v>25</v>
      </c>
      <c r="H82" s="4" t="s">
        <v>25</v>
      </c>
      <c r="I82" s="5">
        <v>44621</v>
      </c>
      <c r="J82" s="6">
        <v>0</v>
      </c>
      <c r="K82" s="6">
        <v>0</v>
      </c>
      <c r="L82" s="6">
        <v>9.5129999999999999</v>
      </c>
      <c r="M82" s="6">
        <v>9.5129999999999999</v>
      </c>
      <c r="N82" s="6">
        <v>9.5129999999999999</v>
      </c>
      <c r="O82" s="6">
        <v>9.5129999999999999</v>
      </c>
      <c r="P82" s="6">
        <v>121</v>
      </c>
      <c r="Q82" s="4" t="s">
        <v>26</v>
      </c>
      <c r="R82" s="4">
        <v>0</v>
      </c>
      <c r="S82" s="4">
        <v>0</v>
      </c>
      <c r="T82" s="4">
        <v>22</v>
      </c>
      <c r="U82" s="4">
        <v>60</v>
      </c>
      <c r="V82" s="6">
        <f>IF(ISERROR(VLOOKUP($S$82,'TAR FIN'!$A$1:$O$88,15,0)),0,VLOOKUP($S$82,'TAR FIN'!$A$1:$O$88,15,0))</f>
        <v>0</v>
      </c>
      <c r="W82" s="6">
        <f>IF(ISERROR(VLOOKUP($T$82,'TAR FIN'!$A$1:$O$88,15,0)),0,VLOOKUP($T$82,'TAR FIN'!$A$1:$O$88,15,0))</f>
        <v>0</v>
      </c>
      <c r="X82" s="6">
        <f>IF(ISERROR(VLOOKUP($U$82,'TAR FIN'!$A$1:$O$88,15,0)),0,VLOOKUP($U$82,'TAR FIN'!$A$1:$O$88,15,0))</f>
        <v>0</v>
      </c>
      <c r="Y82" s="6"/>
      <c r="Z82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82" s="6">
        <f>('TE BE'!$AB$15+'TE BF'!$AB$15+'TE CVA'!$AB$15)*(1-CUSTOS!$M$37)</f>
        <v>290.52986273778561</v>
      </c>
      <c r="AB82" s="6">
        <f t="shared" si="8"/>
        <v>0</v>
      </c>
      <c r="AC82" s="6">
        <f>(L82-M82)*(W82+X82)+($W$75+$X$75-$W$82-$X$82)*(L82)</f>
        <v>0</v>
      </c>
      <c r="AD82" s="6">
        <f t="shared" si="9"/>
        <v>0</v>
      </c>
      <c r="AE82" s="6">
        <f ca="1">(L82-M82)*(Z82+AA82)+($Z$75+$AA$75-$Z$82-$AA$82)*(L82)</f>
        <v>0</v>
      </c>
      <c r="AF82" s="4" t="s">
        <v>621</v>
      </c>
    </row>
    <row r="83" spans="1:32" ht="11.25" customHeight="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31</v>
      </c>
      <c r="F83" s="4" t="s">
        <v>25</v>
      </c>
      <c r="G83" s="4" t="s">
        <v>25</v>
      </c>
      <c r="H83" s="4" t="s">
        <v>25</v>
      </c>
      <c r="I83" s="5">
        <v>44652</v>
      </c>
      <c r="J83" s="6">
        <v>0</v>
      </c>
      <c r="K83" s="6">
        <v>0</v>
      </c>
      <c r="L83" s="6">
        <v>13.606999999999999</v>
      </c>
      <c r="M83" s="6">
        <v>13.606999999999999</v>
      </c>
      <c r="N83" s="6">
        <v>13.606999999999999</v>
      </c>
      <c r="O83" s="6">
        <v>13.606999999999999</v>
      </c>
      <c r="P83" s="6">
        <v>152</v>
      </c>
      <c r="Q83" s="4" t="s">
        <v>26</v>
      </c>
      <c r="R83" s="4">
        <v>0</v>
      </c>
      <c r="S83" s="4">
        <v>0</v>
      </c>
      <c r="T83" s="4">
        <v>22</v>
      </c>
      <c r="U83" s="4">
        <v>60</v>
      </c>
      <c r="V83" s="6">
        <f>IF(ISERROR(VLOOKUP($S$83,'TAR FIN'!$A$1:$O$88,15,0)),0,VLOOKUP($S$83,'TAR FIN'!$A$1:$O$88,15,0))</f>
        <v>0</v>
      </c>
      <c r="W83" s="6">
        <f>IF(ISERROR(VLOOKUP($T$83,'TAR FIN'!$A$1:$O$88,15,0)),0,VLOOKUP($T$83,'TAR FIN'!$A$1:$O$88,15,0))</f>
        <v>0</v>
      </c>
      <c r="X83" s="6">
        <f>IF(ISERROR(VLOOKUP($U$83,'TAR FIN'!$A$1:$O$88,15,0)),0,VLOOKUP($U$83,'TAR FIN'!$A$1:$O$88,15,0))</f>
        <v>0</v>
      </c>
      <c r="Y83" s="6"/>
      <c r="Z83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83" s="6">
        <f>('TE BE'!$AB$15+'TE BF'!$AB$15+'TE CVA'!$AB$15)*(1-CUSTOS!$M$37)</f>
        <v>290.52986273778561</v>
      </c>
      <c r="AB83" s="6">
        <f t="shared" si="8"/>
        <v>0</v>
      </c>
      <c r="AC83" s="6">
        <f>(L83-M83)*(W83+X83)+($W$75+$X$75-$W$83-$X$83)*(L83)</f>
        <v>0</v>
      </c>
      <c r="AD83" s="6">
        <f t="shared" si="9"/>
        <v>0</v>
      </c>
      <c r="AE83" s="6">
        <f ca="1">(L83-M83)*(Z83+AA83)+($Z$75+$AA$75-$Z$83-$AA$83)*(L83)</f>
        <v>0</v>
      </c>
      <c r="AF83" s="4" t="s">
        <v>621</v>
      </c>
    </row>
    <row r="84" spans="1:32" ht="11.25" customHeight="1" x14ac:dyDescent="0.25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31</v>
      </c>
      <c r="F84" s="4" t="s">
        <v>25</v>
      </c>
      <c r="G84" s="4" t="s">
        <v>25</v>
      </c>
      <c r="H84" s="4" t="s">
        <v>25</v>
      </c>
      <c r="I84" s="5">
        <v>44682</v>
      </c>
      <c r="J84" s="6">
        <v>0</v>
      </c>
      <c r="K84" s="6">
        <v>0</v>
      </c>
      <c r="L84" s="6">
        <v>8.8539999999999992</v>
      </c>
      <c r="M84" s="6">
        <v>8.8539999999999992</v>
      </c>
      <c r="N84" s="6">
        <v>8.8539999999999992</v>
      </c>
      <c r="O84" s="6">
        <v>8.8539999999999992</v>
      </c>
      <c r="P84" s="6">
        <v>122</v>
      </c>
      <c r="Q84" s="4" t="s">
        <v>26</v>
      </c>
      <c r="R84" s="4">
        <v>0</v>
      </c>
      <c r="S84" s="4">
        <v>0</v>
      </c>
      <c r="T84" s="4">
        <v>22</v>
      </c>
      <c r="U84" s="4">
        <v>60</v>
      </c>
      <c r="V84" s="6">
        <f>IF(ISERROR(VLOOKUP($S$84,'TAR FIN'!$A$1:$O$88,15,0)),0,VLOOKUP($S$84,'TAR FIN'!$A$1:$O$88,15,0))</f>
        <v>0</v>
      </c>
      <c r="W84" s="6">
        <f>IF(ISERROR(VLOOKUP($T$84,'TAR FIN'!$A$1:$O$88,15,0)),0,VLOOKUP($T$84,'TAR FIN'!$A$1:$O$88,15,0))</f>
        <v>0</v>
      </c>
      <c r="X84" s="6">
        <f>IF(ISERROR(VLOOKUP($U$84,'TAR FIN'!$A$1:$O$88,15,0)),0,VLOOKUP($U$84,'TAR FIN'!$A$1:$O$88,15,0))</f>
        <v>0</v>
      </c>
      <c r="Y84" s="6"/>
      <c r="Z84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84" s="6">
        <f>('TE BE'!$AB$15+'TE BF'!$AB$15+'TE CVA'!$AB$15)*(1-CUSTOS!$M$37)</f>
        <v>290.52986273778561</v>
      </c>
      <c r="AB84" s="6">
        <f t="shared" si="8"/>
        <v>0</v>
      </c>
      <c r="AC84" s="6">
        <f>(L84-M84)*(W84+X84)+($W$75+$X$75-$W$84-$X$84)*(L84)</f>
        <v>0</v>
      </c>
      <c r="AD84" s="6">
        <f t="shared" si="9"/>
        <v>0</v>
      </c>
      <c r="AE84" s="6">
        <f ca="1">(L84-M84)*(Z84+AA84)+($Z$75+$AA$75-$Z$84-$AA$84)*(L84)</f>
        <v>0</v>
      </c>
      <c r="AF84" s="4" t="s">
        <v>621</v>
      </c>
    </row>
    <row r="85" spans="1:32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31</v>
      </c>
      <c r="F85" s="4" t="s">
        <v>25</v>
      </c>
      <c r="G85" s="4" t="s">
        <v>25</v>
      </c>
      <c r="H85" s="4" t="s">
        <v>25</v>
      </c>
      <c r="I85" s="5">
        <v>44713</v>
      </c>
      <c r="J85" s="6">
        <v>0</v>
      </c>
      <c r="K85" s="6">
        <v>0</v>
      </c>
      <c r="L85" s="6">
        <v>5.9820000000000002</v>
      </c>
      <c r="M85" s="6">
        <v>5.9820000000000002</v>
      </c>
      <c r="N85" s="6">
        <v>5.9820000000000002</v>
      </c>
      <c r="O85" s="6">
        <v>5.9820000000000002</v>
      </c>
      <c r="P85" s="6">
        <v>93</v>
      </c>
      <c r="Q85" s="4" t="s">
        <v>26</v>
      </c>
      <c r="R85" s="4">
        <v>0</v>
      </c>
      <c r="S85" s="4">
        <v>0</v>
      </c>
      <c r="T85" s="4">
        <v>22</v>
      </c>
      <c r="U85" s="4">
        <v>60</v>
      </c>
      <c r="V85" s="6">
        <f>IF(ISERROR(VLOOKUP($S$85,'TAR FIN'!$A$1:$O$88,15,0)),0,VLOOKUP($S$85,'TAR FIN'!$A$1:$O$88,15,0))</f>
        <v>0</v>
      </c>
      <c r="W85" s="6">
        <f>IF(ISERROR(VLOOKUP($T$85,'TAR FIN'!$A$1:$O$88,15,0)),0,VLOOKUP($T$85,'TAR FIN'!$A$1:$O$88,15,0))</f>
        <v>0</v>
      </c>
      <c r="X85" s="6">
        <f>IF(ISERROR(VLOOKUP($U$85,'TAR FIN'!$A$1:$O$88,15,0)),0,VLOOKUP($U$85,'TAR FIN'!$A$1:$O$88,15,0))</f>
        <v>0</v>
      </c>
      <c r="Y85" s="6"/>
      <c r="Z85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85" s="6">
        <f>('TE BE'!$AB$15+'TE BF'!$AB$15+'TE CVA'!$AB$15)*(1-CUSTOS!$M$37)</f>
        <v>290.52986273778561</v>
      </c>
      <c r="AB85" s="6">
        <f t="shared" si="8"/>
        <v>0</v>
      </c>
      <c r="AC85" s="6">
        <f>(L85-M85)*(W85+X85)+($W$75+$X$75-$W$85-$X$85)*(L85)</f>
        <v>0</v>
      </c>
      <c r="AD85" s="6">
        <f t="shared" si="9"/>
        <v>0</v>
      </c>
      <c r="AE85" s="6">
        <f ca="1">(L85-M85)*(Z85+AA85)+($Z$75+$AA$75-$Z$85-$AA$85)*(L85)</f>
        <v>0</v>
      </c>
      <c r="AF85" s="4" t="s">
        <v>621</v>
      </c>
    </row>
    <row r="86" spans="1:32" ht="11.25" customHeight="1" x14ac:dyDescent="0.25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31</v>
      </c>
      <c r="F86" s="4" t="s">
        <v>25</v>
      </c>
      <c r="G86" s="4" t="s">
        <v>25</v>
      </c>
      <c r="H86" s="4" t="s">
        <v>25</v>
      </c>
      <c r="I86" s="5">
        <v>44743</v>
      </c>
      <c r="J86" s="6">
        <v>0</v>
      </c>
      <c r="K86" s="6">
        <v>0</v>
      </c>
      <c r="L86" s="6">
        <v>10.238</v>
      </c>
      <c r="M86" s="6">
        <v>10.238</v>
      </c>
      <c r="N86" s="6">
        <v>10.238</v>
      </c>
      <c r="O86" s="6">
        <v>10.238</v>
      </c>
      <c r="P86" s="6">
        <v>108</v>
      </c>
      <c r="Q86" s="4" t="s">
        <v>26</v>
      </c>
      <c r="R86" s="4">
        <v>0</v>
      </c>
      <c r="S86" s="4">
        <v>0</v>
      </c>
      <c r="T86" s="4">
        <v>22</v>
      </c>
      <c r="U86" s="4">
        <v>60</v>
      </c>
      <c r="V86" s="6">
        <f>IF(ISERROR(VLOOKUP($S$86,'TAR FIN'!$A$1:$O$88,15,0)),0,VLOOKUP($S$86,'TAR FIN'!$A$1:$O$88,15,0))</f>
        <v>0</v>
      </c>
      <c r="W86" s="6">
        <f>IF(ISERROR(VLOOKUP($T$86,'TAR FIN'!$A$1:$O$88,15,0)),0,VLOOKUP($T$86,'TAR FIN'!$A$1:$O$88,15,0))</f>
        <v>0</v>
      </c>
      <c r="X86" s="6">
        <f>IF(ISERROR(VLOOKUP($U$86,'TAR FIN'!$A$1:$O$88,15,0)),0,VLOOKUP($U$86,'TAR FIN'!$A$1:$O$88,15,0))</f>
        <v>0</v>
      </c>
      <c r="Y86" s="6"/>
      <c r="Z86" s="6">
        <f ca="1">('TUSD BE'!$AM$24+'TUSD BF'!$AM$24+'TUSD CVA'!$AM$24-('TUSD BE'!$P$24+'TUSD BF'!$P$24+'TUSD CVA'!$P$24)-('TUSD BE'!$Q$24+'TUSD BF'!$Q$24+'TUSD CVA'!$Q$24)-('TUSD BE'!$R$24+'TUSD BF'!$R$24+'TUSD CVA'!$R$24))*(1-CUSTOS!$M$37)</f>
        <v>369.24324797224244</v>
      </c>
      <c r="AA86" s="6">
        <f>('TE BE'!$AB$15+'TE BF'!$AB$15+'TE CVA'!$AB$15)*(1-CUSTOS!$M$37)</f>
        <v>290.52986273778561</v>
      </c>
      <c r="AB86" s="6">
        <f t="shared" si="8"/>
        <v>0</v>
      </c>
      <c r="AC86" s="6">
        <f>(L86-M86)*(W86+X86)+($W$75+$X$75-$W$86-$X$86)*(L86)</f>
        <v>0</v>
      </c>
      <c r="AD86" s="6">
        <f t="shared" si="9"/>
        <v>0</v>
      </c>
      <c r="AE86" s="6">
        <f ca="1">(L86-M86)*(Z86+AA86)+($Z$75+$AA$75-$Z$86-$AA$86)*(L86)</f>
        <v>0</v>
      </c>
      <c r="AF86" s="4" t="s">
        <v>621</v>
      </c>
    </row>
    <row r="87" spans="1:32" ht="11.25" customHeight="1" x14ac:dyDescent="0.25">
      <c r="A87" s="4" t="s">
        <v>21</v>
      </c>
      <c r="B87" s="4" t="s">
        <v>41</v>
      </c>
      <c r="C87" s="4" t="s">
        <v>23</v>
      </c>
      <c r="D87" s="4" t="s">
        <v>42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44409</v>
      </c>
      <c r="J87" s="6">
        <v>0</v>
      </c>
      <c r="K87" s="6">
        <v>0</v>
      </c>
      <c r="L87" s="6">
        <v>0.85299999999999998</v>
      </c>
      <c r="M87" s="6">
        <v>0.85299999999999998</v>
      </c>
      <c r="N87" s="6">
        <v>0.85299999999999998</v>
      </c>
      <c r="O87" s="6">
        <v>0.85299999999999998</v>
      </c>
      <c r="P87" s="6">
        <v>4</v>
      </c>
      <c r="Q87" s="4" t="s">
        <v>26</v>
      </c>
      <c r="R87" s="4">
        <v>0</v>
      </c>
      <c r="S87" s="4">
        <v>0</v>
      </c>
      <c r="T87" s="4">
        <v>31</v>
      </c>
      <c r="U87" s="4">
        <v>69</v>
      </c>
      <c r="V87" s="6">
        <f>IF(ISERROR(VLOOKUP($S$87,'TAR FIN'!$A$1:$O$88,15,0)),0,VLOOKUP($S$87,'TAR FIN'!$A$1:$O$88,15,0))</f>
        <v>0</v>
      </c>
      <c r="W87" s="6">
        <f>IF(ISERROR(VLOOKUP($T$87,'TAR FIN'!$A$1:$O$88,15,0)),0,VLOOKUP($T$87,'TAR FIN'!$A$1:$O$88,15,0))</f>
        <v>0</v>
      </c>
      <c r="X87" s="6">
        <f>IF(ISERROR(VLOOKUP($U$87,'TAR FIN'!$A$1:$O$88,15,0)),0,VLOOKUP($U$87,'TAR FIN'!$A$1:$O$88,15,0))</f>
        <v>0</v>
      </c>
      <c r="Y87" s="6"/>
      <c r="Z87" s="6">
        <f ca="1">('TUSD BE'!$AM$33+'TUSD BF'!$AM$33+'TUSD CVA'!$AM$33)*(1-CUSTOS!$M$38)</f>
        <v>463.51466526591332</v>
      </c>
      <c r="AA87" s="6">
        <f>('TE BE'!$AB$24+'TE BF'!$AB$24+'TE CVA'!$AB$24)*(1-CUSTOS!$M$38)</f>
        <v>273.09807097351847</v>
      </c>
      <c r="AB87" s="6">
        <f t="shared" si="8"/>
        <v>0</v>
      </c>
      <c r="AC87" s="6">
        <f>(L87-M87)*(W87+X87)+($W$38+$X$38-$W$87-$X$87)*(L87)</f>
        <v>0</v>
      </c>
      <c r="AD87" s="6">
        <f t="shared" si="9"/>
        <v>0</v>
      </c>
      <c r="AE87" s="6">
        <f ca="1">(L87-M87)*(Z87+AA87)+($Z$38+$AA$38-$Z$87-$AA$87)*(L87)</f>
        <v>40.106212596525673</v>
      </c>
      <c r="AF87" s="4" t="s">
        <v>622</v>
      </c>
    </row>
    <row r="88" spans="1:32" ht="11.25" customHeight="1" x14ac:dyDescent="0.25">
      <c r="A88" s="4" t="s">
        <v>21</v>
      </c>
      <c r="B88" s="4" t="s">
        <v>41</v>
      </c>
      <c r="C88" s="4" t="s">
        <v>23</v>
      </c>
      <c r="D88" s="4" t="s">
        <v>42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44440</v>
      </c>
      <c r="J88" s="6">
        <v>0</v>
      </c>
      <c r="K88" s="6">
        <v>0</v>
      </c>
      <c r="L88" s="6">
        <v>0.92300000000000004</v>
      </c>
      <c r="M88" s="6">
        <v>0.92300000000000004</v>
      </c>
      <c r="N88" s="6">
        <v>0.92300000000000004</v>
      </c>
      <c r="O88" s="6">
        <v>0.92300000000000004</v>
      </c>
      <c r="P88" s="6">
        <v>4</v>
      </c>
      <c r="Q88" s="4" t="s">
        <v>26</v>
      </c>
      <c r="R88" s="4">
        <v>0</v>
      </c>
      <c r="S88" s="4">
        <v>0</v>
      </c>
      <c r="T88" s="4">
        <v>31</v>
      </c>
      <c r="U88" s="4">
        <v>69</v>
      </c>
      <c r="V88" s="6">
        <f>IF(ISERROR(VLOOKUP($S$88,'TAR FIN'!$A$1:$O$88,15,0)),0,VLOOKUP($S$88,'TAR FIN'!$A$1:$O$88,15,0))</f>
        <v>0</v>
      </c>
      <c r="W88" s="6">
        <f>IF(ISERROR(VLOOKUP($T$88,'TAR FIN'!$A$1:$O$88,15,0)),0,VLOOKUP($T$88,'TAR FIN'!$A$1:$O$88,15,0))</f>
        <v>0</v>
      </c>
      <c r="X88" s="6">
        <f>IF(ISERROR(VLOOKUP($U$88,'TAR FIN'!$A$1:$O$88,15,0)),0,VLOOKUP($U$88,'TAR FIN'!$A$1:$O$88,15,0))</f>
        <v>0</v>
      </c>
      <c r="Y88" s="6"/>
      <c r="Z88" s="6">
        <f ca="1">('TUSD BE'!$AM$33+'TUSD BF'!$AM$33+'TUSD CVA'!$AM$33)*(1-CUSTOS!$M$38)</f>
        <v>463.51466526591332</v>
      </c>
      <c r="AA88" s="6">
        <f>('TE BE'!$AB$24+'TE BF'!$AB$24+'TE CVA'!$AB$24)*(1-CUSTOS!$M$38)</f>
        <v>273.09807097351847</v>
      </c>
      <c r="AB88" s="6">
        <f t="shared" si="8"/>
        <v>0</v>
      </c>
      <c r="AC88" s="6">
        <f>(L88-M88)*(W88+X88)+($W$38+$X$38-$W$88-$X$88)*(L88)</f>
        <v>0</v>
      </c>
      <c r="AD88" s="6">
        <f t="shared" si="9"/>
        <v>0</v>
      </c>
      <c r="AE88" s="6">
        <f ca="1">(L88-M88)*(Z88+AA88)+($Z$38+$AA$38-$Z$88-$AA$88)*(L88)</f>
        <v>43.397460992489094</v>
      </c>
      <c r="AF88" s="4" t="s">
        <v>622</v>
      </c>
    </row>
    <row r="89" spans="1:32" ht="11.25" customHeight="1" x14ac:dyDescent="0.25">
      <c r="A89" s="4" t="s">
        <v>21</v>
      </c>
      <c r="B89" s="4" t="s">
        <v>41</v>
      </c>
      <c r="C89" s="4" t="s">
        <v>23</v>
      </c>
      <c r="D89" s="4" t="s">
        <v>42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44470</v>
      </c>
      <c r="J89" s="6">
        <v>0</v>
      </c>
      <c r="K89" s="6">
        <v>0</v>
      </c>
      <c r="L89" s="6">
        <v>1.0189999999999999</v>
      </c>
      <c r="M89" s="6">
        <v>1.0189999999999999</v>
      </c>
      <c r="N89" s="6">
        <v>1.0189999999999999</v>
      </c>
      <c r="O89" s="6">
        <v>1.0189999999999999</v>
      </c>
      <c r="P89" s="6">
        <v>4</v>
      </c>
      <c r="Q89" s="4" t="s">
        <v>26</v>
      </c>
      <c r="R89" s="4">
        <v>0</v>
      </c>
      <c r="S89" s="4">
        <v>0</v>
      </c>
      <c r="T89" s="4">
        <v>31</v>
      </c>
      <c r="U89" s="4">
        <v>69</v>
      </c>
      <c r="V89" s="6">
        <f>IF(ISERROR(VLOOKUP($S$89,'TAR FIN'!$A$1:$O$88,15,0)),0,VLOOKUP($S$89,'TAR FIN'!$A$1:$O$88,15,0))</f>
        <v>0</v>
      </c>
      <c r="W89" s="6">
        <f>IF(ISERROR(VLOOKUP($T$89,'TAR FIN'!$A$1:$O$88,15,0)),0,VLOOKUP($T$89,'TAR FIN'!$A$1:$O$88,15,0))</f>
        <v>0</v>
      </c>
      <c r="X89" s="6">
        <f>IF(ISERROR(VLOOKUP($U$89,'TAR FIN'!$A$1:$O$88,15,0)),0,VLOOKUP($U$89,'TAR FIN'!$A$1:$O$88,15,0))</f>
        <v>0</v>
      </c>
      <c r="Y89" s="6"/>
      <c r="Z89" s="6">
        <f ca="1">('TUSD BE'!$AM$33+'TUSD BF'!$AM$33+'TUSD CVA'!$AM$33)*(1-CUSTOS!$M$38)</f>
        <v>463.51466526591332</v>
      </c>
      <c r="AA89" s="6">
        <f>('TE BE'!$AB$24+'TE BF'!$AB$24+'TE CVA'!$AB$24)*(1-CUSTOS!$M$38)</f>
        <v>273.09807097351847</v>
      </c>
      <c r="AB89" s="6">
        <f t="shared" si="8"/>
        <v>0</v>
      </c>
      <c r="AC89" s="6">
        <f>(L89-M89)*(W89+X89)+($W$38+$X$38-$W$89-$X$89)*(L89)</f>
        <v>0</v>
      </c>
      <c r="AD89" s="6">
        <f t="shared" si="9"/>
        <v>0</v>
      </c>
      <c r="AE89" s="6">
        <f ca="1">(L89-M89)*(Z89+AA89)+($Z$38+$AA$38-$Z$89-$AA$89)*(L89)</f>
        <v>47.911173078381779</v>
      </c>
      <c r="AF89" s="4" t="s">
        <v>622</v>
      </c>
    </row>
    <row r="90" spans="1:32" ht="11.25" customHeight="1" x14ac:dyDescent="0.25">
      <c r="A90" s="4" t="s">
        <v>21</v>
      </c>
      <c r="B90" s="4" t="s">
        <v>41</v>
      </c>
      <c r="C90" s="4" t="s">
        <v>23</v>
      </c>
      <c r="D90" s="4" t="s">
        <v>42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44501</v>
      </c>
      <c r="J90" s="6">
        <v>0</v>
      </c>
      <c r="K90" s="6">
        <v>0</v>
      </c>
      <c r="L90" s="6">
        <v>0.93100000000000005</v>
      </c>
      <c r="M90" s="6">
        <v>0.93100000000000005</v>
      </c>
      <c r="N90" s="6">
        <v>0.93100000000000005</v>
      </c>
      <c r="O90" s="6">
        <v>0.93100000000000005</v>
      </c>
      <c r="P90" s="6">
        <v>4</v>
      </c>
      <c r="Q90" s="4" t="s">
        <v>26</v>
      </c>
      <c r="R90" s="4">
        <v>0</v>
      </c>
      <c r="S90" s="4">
        <v>0</v>
      </c>
      <c r="T90" s="4">
        <v>31</v>
      </c>
      <c r="U90" s="4">
        <v>69</v>
      </c>
      <c r="V90" s="6">
        <f>IF(ISERROR(VLOOKUP($S$90,'TAR FIN'!$A$1:$O$88,15,0)),0,VLOOKUP($S$90,'TAR FIN'!$A$1:$O$88,15,0))</f>
        <v>0</v>
      </c>
      <c r="W90" s="6">
        <f>IF(ISERROR(VLOOKUP($T$90,'TAR FIN'!$A$1:$O$88,15,0)),0,VLOOKUP($T$90,'TAR FIN'!$A$1:$O$88,15,0))</f>
        <v>0</v>
      </c>
      <c r="X90" s="6">
        <f>IF(ISERROR(VLOOKUP($U$90,'TAR FIN'!$A$1:$O$88,15,0)),0,VLOOKUP($U$90,'TAR FIN'!$A$1:$O$88,15,0))</f>
        <v>0</v>
      </c>
      <c r="Y90" s="6"/>
      <c r="Z90" s="6">
        <f ca="1">('TUSD BE'!$AM$33+'TUSD BF'!$AM$33+'TUSD CVA'!$AM$33)*(1-CUSTOS!$M$38)</f>
        <v>463.51466526591332</v>
      </c>
      <c r="AA90" s="6">
        <f>('TE BE'!$AB$24+'TE BF'!$AB$24+'TE CVA'!$AB$24)*(1-CUSTOS!$M$38)</f>
        <v>273.09807097351847</v>
      </c>
      <c r="AB90" s="6">
        <f t="shared" si="8"/>
        <v>0</v>
      </c>
      <c r="AC90" s="6">
        <f>(L90-M90)*(W90+X90)+($W$38+$X$38-$W$90-$X$90)*(L90)</f>
        <v>0</v>
      </c>
      <c r="AD90" s="6">
        <f t="shared" si="9"/>
        <v>0</v>
      </c>
      <c r="AE90" s="6">
        <f ca="1">(L90-M90)*(Z90+AA90)+($Z$38+$AA$38-$Z$90-$AA$90)*(L90)</f>
        <v>43.773603666313484</v>
      </c>
      <c r="AF90" s="4" t="s">
        <v>622</v>
      </c>
    </row>
    <row r="91" spans="1:32" ht="11.25" customHeight="1" x14ac:dyDescent="0.25">
      <c r="A91" s="4" t="s">
        <v>21</v>
      </c>
      <c r="B91" s="4" t="s">
        <v>41</v>
      </c>
      <c r="C91" s="4" t="s">
        <v>23</v>
      </c>
      <c r="D91" s="4" t="s">
        <v>42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44531</v>
      </c>
      <c r="J91" s="6">
        <v>0</v>
      </c>
      <c r="K91" s="6">
        <v>0</v>
      </c>
      <c r="L91" s="6">
        <v>1.1719999999999999</v>
      </c>
      <c r="M91" s="6">
        <v>1.1719999999999999</v>
      </c>
      <c r="N91" s="6">
        <v>1.1719999999999999</v>
      </c>
      <c r="O91" s="6">
        <v>1.1719999999999999</v>
      </c>
      <c r="P91" s="6">
        <v>4</v>
      </c>
      <c r="Q91" s="4" t="s">
        <v>26</v>
      </c>
      <c r="R91" s="4">
        <v>0</v>
      </c>
      <c r="S91" s="4">
        <v>0</v>
      </c>
      <c r="T91" s="4">
        <v>31</v>
      </c>
      <c r="U91" s="4">
        <v>69</v>
      </c>
      <c r="V91" s="6">
        <f>IF(ISERROR(VLOOKUP($S$91,'TAR FIN'!$A$1:$O$88,15,0)),0,VLOOKUP($S$91,'TAR FIN'!$A$1:$O$88,15,0))</f>
        <v>0</v>
      </c>
      <c r="W91" s="6">
        <f>IF(ISERROR(VLOOKUP($T$91,'TAR FIN'!$A$1:$O$88,15,0)),0,VLOOKUP($T$91,'TAR FIN'!$A$1:$O$88,15,0))</f>
        <v>0</v>
      </c>
      <c r="X91" s="6">
        <f>IF(ISERROR(VLOOKUP($U$91,'TAR FIN'!$A$1:$O$88,15,0)),0,VLOOKUP($U$91,'TAR FIN'!$A$1:$O$88,15,0))</f>
        <v>0</v>
      </c>
      <c r="Y91" s="6"/>
      <c r="Z91" s="6">
        <f ca="1">('TUSD BE'!$AM$33+'TUSD BF'!$AM$33+'TUSD CVA'!$AM$33)*(1-CUSTOS!$M$38)</f>
        <v>463.51466526591332</v>
      </c>
      <c r="AA91" s="6">
        <f>('TE BE'!$AB$24+'TE BF'!$AB$24+'TE CVA'!$AB$24)*(1-CUSTOS!$M$38)</f>
        <v>273.09807097351847</v>
      </c>
      <c r="AB91" s="6">
        <f t="shared" si="8"/>
        <v>0</v>
      </c>
      <c r="AC91" s="6">
        <f>(L91-M91)*(W91+X91)+($W$38+$X$38-$W$91-$X$91)*(L91)</f>
        <v>0</v>
      </c>
      <c r="AD91" s="6">
        <f t="shared" si="9"/>
        <v>0</v>
      </c>
      <c r="AE91" s="6">
        <f ca="1">(L91-M91)*(Z91+AA91)+($Z$38+$AA$38-$Z$91-$AA$91)*(L91)</f>
        <v>55.104901715273257</v>
      </c>
      <c r="AF91" s="4" t="s">
        <v>622</v>
      </c>
    </row>
    <row r="92" spans="1:32" ht="11.25" customHeight="1" x14ac:dyDescent="0.25">
      <c r="A92" s="4" t="s">
        <v>21</v>
      </c>
      <c r="B92" s="4" t="s">
        <v>41</v>
      </c>
      <c r="C92" s="4" t="s">
        <v>23</v>
      </c>
      <c r="D92" s="4" t="s">
        <v>42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44562</v>
      </c>
      <c r="J92" s="6">
        <v>0</v>
      </c>
      <c r="K92" s="6">
        <v>0</v>
      </c>
      <c r="L92" s="6">
        <v>1.1339999999999999</v>
      </c>
      <c r="M92" s="6">
        <v>1.1339999999999999</v>
      </c>
      <c r="N92" s="6">
        <v>1.1339999999999999</v>
      </c>
      <c r="O92" s="6">
        <v>1.1339999999999999</v>
      </c>
      <c r="P92" s="6">
        <v>4</v>
      </c>
      <c r="Q92" s="4" t="s">
        <v>26</v>
      </c>
      <c r="R92" s="4">
        <v>0</v>
      </c>
      <c r="S92" s="4">
        <v>0</v>
      </c>
      <c r="T92" s="4">
        <v>31</v>
      </c>
      <c r="U92" s="4">
        <v>69</v>
      </c>
      <c r="V92" s="6">
        <f>IF(ISERROR(VLOOKUP($S$92,'TAR FIN'!$A$1:$O$88,15,0)),0,VLOOKUP($S$92,'TAR FIN'!$A$1:$O$88,15,0))</f>
        <v>0</v>
      </c>
      <c r="W92" s="6">
        <f>IF(ISERROR(VLOOKUP($T$92,'TAR FIN'!$A$1:$O$88,15,0)),0,VLOOKUP($T$92,'TAR FIN'!$A$1:$O$88,15,0))</f>
        <v>0</v>
      </c>
      <c r="X92" s="6">
        <f>IF(ISERROR(VLOOKUP($U$92,'TAR FIN'!$A$1:$O$88,15,0)),0,VLOOKUP($U$92,'TAR FIN'!$A$1:$O$88,15,0))</f>
        <v>0</v>
      </c>
      <c r="Y92" s="6"/>
      <c r="Z92" s="6">
        <f ca="1">('TUSD BE'!$AM$33+'TUSD BF'!$AM$33+'TUSD CVA'!$AM$33)*(1-CUSTOS!$M$38)</f>
        <v>463.51466526591332</v>
      </c>
      <c r="AA92" s="6">
        <f>('TE BE'!$AB$24+'TE BF'!$AB$24+'TE CVA'!$AB$24)*(1-CUSTOS!$M$38)</f>
        <v>273.09807097351847</v>
      </c>
      <c r="AB92" s="6">
        <f t="shared" si="8"/>
        <v>0</v>
      </c>
      <c r="AC92" s="6">
        <f>(L92-M92)*(W92+X92)+($W$38+$X$38-$W$92-$X$92)*(L92)</f>
        <v>0</v>
      </c>
      <c r="AD92" s="6">
        <f t="shared" si="9"/>
        <v>0</v>
      </c>
      <c r="AE92" s="6">
        <f ca="1">(L92-M92)*(Z92+AA92)+($Z$38+$AA$38-$Z$92-$AA$92)*(L92)</f>
        <v>53.318224014607395</v>
      </c>
      <c r="AF92" s="4" t="s">
        <v>622</v>
      </c>
    </row>
    <row r="93" spans="1:32" ht="11.25" customHeight="1" x14ac:dyDescent="0.25">
      <c r="A93" s="4" t="s">
        <v>21</v>
      </c>
      <c r="B93" s="4" t="s">
        <v>41</v>
      </c>
      <c r="C93" s="4" t="s">
        <v>23</v>
      </c>
      <c r="D93" s="4" t="s">
        <v>42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44593</v>
      </c>
      <c r="J93" s="6">
        <v>0</v>
      </c>
      <c r="K93" s="6">
        <v>0</v>
      </c>
      <c r="L93" s="6">
        <v>1.478</v>
      </c>
      <c r="M93" s="6">
        <v>1.478</v>
      </c>
      <c r="N93" s="6">
        <v>1.478</v>
      </c>
      <c r="O93" s="6">
        <v>1.478</v>
      </c>
      <c r="P93" s="6">
        <v>4</v>
      </c>
      <c r="Q93" s="4" t="s">
        <v>26</v>
      </c>
      <c r="R93" s="4">
        <v>0</v>
      </c>
      <c r="S93" s="4">
        <v>0</v>
      </c>
      <c r="T93" s="4">
        <v>31</v>
      </c>
      <c r="U93" s="4">
        <v>69</v>
      </c>
      <c r="V93" s="6">
        <f>IF(ISERROR(VLOOKUP($S$93,'TAR FIN'!$A$1:$O$88,15,0)),0,VLOOKUP($S$93,'TAR FIN'!$A$1:$O$88,15,0))</f>
        <v>0</v>
      </c>
      <c r="W93" s="6">
        <f>IF(ISERROR(VLOOKUP($T$93,'TAR FIN'!$A$1:$O$88,15,0)),0,VLOOKUP($T$93,'TAR FIN'!$A$1:$O$88,15,0))</f>
        <v>0</v>
      </c>
      <c r="X93" s="6">
        <f>IF(ISERROR(VLOOKUP($U$93,'TAR FIN'!$A$1:$O$88,15,0)),0,VLOOKUP($U$93,'TAR FIN'!$A$1:$O$88,15,0))</f>
        <v>0</v>
      </c>
      <c r="Y93" s="6"/>
      <c r="Z93" s="6">
        <f ca="1">('TUSD BE'!$AM$33+'TUSD BF'!$AM$33+'TUSD CVA'!$AM$33)*(1-CUSTOS!$M$38)</f>
        <v>463.51466526591332</v>
      </c>
      <c r="AA93" s="6">
        <f>('TE BE'!$AB$24+'TE BF'!$AB$24+'TE CVA'!$AB$24)*(1-CUSTOS!$M$38)</f>
        <v>273.09807097351847</v>
      </c>
      <c r="AB93" s="6">
        <f t="shared" si="8"/>
        <v>0</v>
      </c>
      <c r="AC93" s="6">
        <f>(L93-M93)*(W93+X93)+($W$38+$X$38-$W$93-$X$93)*(L93)</f>
        <v>0</v>
      </c>
      <c r="AD93" s="6">
        <f t="shared" si="9"/>
        <v>0</v>
      </c>
      <c r="AE93" s="6">
        <f ca="1">(L93-M93)*(Z93+AA93)+($Z$38+$AA$38-$Z$93-$AA$93)*(L93)</f>
        <v>69.4923589890562</v>
      </c>
      <c r="AF93" s="4" t="s">
        <v>622</v>
      </c>
    </row>
    <row r="94" spans="1:32" ht="11.25" customHeight="1" x14ac:dyDescent="0.25">
      <c r="A94" s="4" t="s">
        <v>21</v>
      </c>
      <c r="B94" s="4" t="s">
        <v>41</v>
      </c>
      <c r="C94" s="4" t="s">
        <v>23</v>
      </c>
      <c r="D94" s="4" t="s">
        <v>42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44621</v>
      </c>
      <c r="J94" s="6">
        <v>0</v>
      </c>
      <c r="K94" s="6">
        <v>0</v>
      </c>
      <c r="L94" s="6">
        <v>1.0720000000000001</v>
      </c>
      <c r="M94" s="6">
        <v>1.0720000000000001</v>
      </c>
      <c r="N94" s="6">
        <v>1.0720000000000001</v>
      </c>
      <c r="O94" s="6">
        <v>1.0720000000000001</v>
      </c>
      <c r="P94" s="6">
        <v>4</v>
      </c>
      <c r="Q94" s="4" t="s">
        <v>26</v>
      </c>
      <c r="R94" s="4">
        <v>0</v>
      </c>
      <c r="S94" s="4">
        <v>0</v>
      </c>
      <c r="T94" s="4">
        <v>31</v>
      </c>
      <c r="U94" s="4">
        <v>69</v>
      </c>
      <c r="V94" s="6">
        <f>IF(ISERROR(VLOOKUP($S$94,'TAR FIN'!$A$1:$O$88,15,0)),0,VLOOKUP($S$94,'TAR FIN'!$A$1:$O$88,15,0))</f>
        <v>0</v>
      </c>
      <c r="W94" s="6">
        <f>IF(ISERROR(VLOOKUP($T$94,'TAR FIN'!$A$1:$O$88,15,0)),0,VLOOKUP($T$94,'TAR FIN'!$A$1:$O$88,15,0))</f>
        <v>0</v>
      </c>
      <c r="X94" s="6">
        <f>IF(ISERROR(VLOOKUP($U$94,'TAR FIN'!$A$1:$O$88,15,0)),0,VLOOKUP($U$94,'TAR FIN'!$A$1:$O$88,15,0))</f>
        <v>0</v>
      </c>
      <c r="Y94" s="6"/>
      <c r="Z94" s="6">
        <f ca="1">('TUSD BE'!$AM$33+'TUSD BF'!$AM$33+'TUSD CVA'!$AM$33)*(1-CUSTOS!$M$38)</f>
        <v>463.51466526591332</v>
      </c>
      <c r="AA94" s="6">
        <f>('TE BE'!$AB$24+'TE BF'!$AB$24+'TE CVA'!$AB$24)*(1-CUSTOS!$M$38)</f>
        <v>273.09807097351847</v>
      </c>
      <c r="AB94" s="6">
        <f t="shared" si="8"/>
        <v>0</v>
      </c>
      <c r="AC94" s="6">
        <f>(L94-M94)*(W94+X94)+($W$38+$X$38-$W$94-$X$94)*(L94)</f>
        <v>0</v>
      </c>
      <c r="AD94" s="6">
        <f t="shared" si="9"/>
        <v>0</v>
      </c>
      <c r="AE94" s="6">
        <f ca="1">(L94-M94)*(Z94+AA94)+($Z$38+$AA$38-$Z$94-$AA$94)*(L94)</f>
        <v>50.403118292468378</v>
      </c>
      <c r="AF94" s="4" t="s">
        <v>622</v>
      </c>
    </row>
    <row r="95" spans="1:32" ht="11.25" customHeight="1" x14ac:dyDescent="0.25">
      <c r="A95" s="4" t="s">
        <v>21</v>
      </c>
      <c r="B95" s="4" t="s">
        <v>41</v>
      </c>
      <c r="C95" s="4" t="s">
        <v>23</v>
      </c>
      <c r="D95" s="4" t="s">
        <v>42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44652</v>
      </c>
      <c r="J95" s="6">
        <v>0</v>
      </c>
      <c r="K95" s="6">
        <v>0</v>
      </c>
      <c r="L95" s="6">
        <v>1.143</v>
      </c>
      <c r="M95" s="6">
        <v>1.143</v>
      </c>
      <c r="N95" s="6">
        <v>1.143</v>
      </c>
      <c r="O95" s="6">
        <v>1.143</v>
      </c>
      <c r="P95" s="6">
        <v>4</v>
      </c>
      <c r="Q95" s="4" t="s">
        <v>26</v>
      </c>
      <c r="R95" s="4">
        <v>0</v>
      </c>
      <c r="S95" s="4">
        <v>0</v>
      </c>
      <c r="T95" s="4">
        <v>31</v>
      </c>
      <c r="U95" s="4">
        <v>69</v>
      </c>
      <c r="V95" s="6">
        <f>IF(ISERROR(VLOOKUP($S$95,'TAR FIN'!$A$1:$O$88,15,0)),0,VLOOKUP($S$95,'TAR FIN'!$A$1:$O$88,15,0))</f>
        <v>0</v>
      </c>
      <c r="W95" s="6">
        <f>IF(ISERROR(VLOOKUP($T$95,'TAR FIN'!$A$1:$O$88,15,0)),0,VLOOKUP($T$95,'TAR FIN'!$A$1:$O$88,15,0))</f>
        <v>0</v>
      </c>
      <c r="X95" s="6">
        <f>IF(ISERROR(VLOOKUP($U$95,'TAR FIN'!$A$1:$O$88,15,0)),0,VLOOKUP($U$95,'TAR FIN'!$A$1:$O$88,15,0))</f>
        <v>0</v>
      </c>
      <c r="Y95" s="6"/>
      <c r="Z95" s="6">
        <f ca="1">('TUSD BE'!$AM$33+'TUSD BF'!$AM$33+'TUSD CVA'!$AM$33)*(1-CUSTOS!$M$38)</f>
        <v>463.51466526591332</v>
      </c>
      <c r="AA95" s="6">
        <f>('TE BE'!$AB$24+'TE BF'!$AB$24+'TE CVA'!$AB$24)*(1-CUSTOS!$M$38)</f>
        <v>273.09807097351847</v>
      </c>
      <c r="AB95" s="6">
        <f t="shared" si="8"/>
        <v>0</v>
      </c>
      <c r="AC95" s="6">
        <f>(L95-M95)*(W95+X95)+($W$38+$X$38-$W$95-$X$95)*(L95)</f>
        <v>0</v>
      </c>
      <c r="AD95" s="6">
        <f t="shared" si="9"/>
        <v>0</v>
      </c>
      <c r="AE95" s="6">
        <f ca="1">(L95-M95)*(Z95+AA95)+($Z$38+$AA$38-$Z$95-$AA$95)*(L95)</f>
        <v>53.741384522659843</v>
      </c>
      <c r="AF95" s="4" t="s">
        <v>622</v>
      </c>
    </row>
    <row r="96" spans="1:32" ht="11.25" customHeight="1" x14ac:dyDescent="0.25">
      <c r="A96" s="4" t="s">
        <v>21</v>
      </c>
      <c r="B96" s="4" t="s">
        <v>41</v>
      </c>
      <c r="C96" s="4" t="s">
        <v>23</v>
      </c>
      <c r="D96" s="4" t="s">
        <v>42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44682</v>
      </c>
      <c r="J96" s="6">
        <v>0</v>
      </c>
      <c r="K96" s="6">
        <v>0</v>
      </c>
      <c r="L96" s="6">
        <v>0.77100000000000002</v>
      </c>
      <c r="M96" s="6">
        <v>0.77100000000000002</v>
      </c>
      <c r="N96" s="6">
        <v>0.77100000000000002</v>
      </c>
      <c r="O96" s="6">
        <v>0.77100000000000002</v>
      </c>
      <c r="P96" s="6">
        <v>4</v>
      </c>
      <c r="Q96" s="4" t="s">
        <v>26</v>
      </c>
      <c r="R96" s="4">
        <v>0</v>
      </c>
      <c r="S96" s="4">
        <v>0</v>
      </c>
      <c r="T96" s="4">
        <v>31</v>
      </c>
      <c r="U96" s="4">
        <v>69</v>
      </c>
      <c r="V96" s="6">
        <f>IF(ISERROR(VLOOKUP($S$96,'TAR FIN'!$A$1:$O$88,15,0)),0,VLOOKUP($S$96,'TAR FIN'!$A$1:$O$88,15,0))</f>
        <v>0</v>
      </c>
      <c r="W96" s="6">
        <f>IF(ISERROR(VLOOKUP($T$96,'TAR FIN'!$A$1:$O$88,15,0)),0,VLOOKUP($T$96,'TAR FIN'!$A$1:$O$88,15,0))</f>
        <v>0</v>
      </c>
      <c r="X96" s="6">
        <f>IF(ISERROR(VLOOKUP($U$96,'TAR FIN'!$A$1:$O$88,15,0)),0,VLOOKUP($U$96,'TAR FIN'!$A$1:$O$88,15,0))</f>
        <v>0</v>
      </c>
      <c r="Y96" s="6"/>
      <c r="Z96" s="6">
        <f ca="1">('TUSD BE'!$AM$33+'TUSD BF'!$AM$33+'TUSD CVA'!$AM$33)*(1-CUSTOS!$M$38)</f>
        <v>463.51466526591332</v>
      </c>
      <c r="AA96" s="6">
        <f>('TE BE'!$AB$24+'TE BF'!$AB$24+'TE CVA'!$AB$24)*(1-CUSTOS!$M$38)</f>
        <v>273.09807097351847</v>
      </c>
      <c r="AB96" s="6">
        <f t="shared" si="8"/>
        <v>0</v>
      </c>
      <c r="AC96" s="6">
        <f>(L96-M96)*(W96+X96)+($W$38+$X$38-$W$96-$X$96)*(L96)</f>
        <v>0</v>
      </c>
      <c r="AD96" s="6">
        <f t="shared" si="9"/>
        <v>0</v>
      </c>
      <c r="AE96" s="6">
        <f ca="1">(L96-M96)*(Z96+AA96)+($Z$38+$AA$38-$Z$96-$AA$96)*(L96)</f>
        <v>36.250750189825666</v>
      </c>
      <c r="AF96" s="4" t="s">
        <v>622</v>
      </c>
    </row>
    <row r="97" spans="1:32" ht="11.25" customHeight="1" x14ac:dyDescent="0.25">
      <c r="A97" s="4" t="s">
        <v>21</v>
      </c>
      <c r="B97" s="4" t="s">
        <v>41</v>
      </c>
      <c r="C97" s="4" t="s">
        <v>23</v>
      </c>
      <c r="D97" s="4" t="s">
        <v>42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44713</v>
      </c>
      <c r="J97" s="6">
        <v>0</v>
      </c>
      <c r="K97" s="6">
        <v>0</v>
      </c>
      <c r="L97" s="6">
        <v>0.69299999999999995</v>
      </c>
      <c r="M97" s="6">
        <v>0.69299999999999995</v>
      </c>
      <c r="N97" s="6">
        <v>0.69299999999999995</v>
      </c>
      <c r="O97" s="6">
        <v>0.69299999999999995</v>
      </c>
      <c r="P97" s="6">
        <v>4</v>
      </c>
      <c r="Q97" s="4" t="s">
        <v>26</v>
      </c>
      <c r="R97" s="4">
        <v>0</v>
      </c>
      <c r="S97" s="4">
        <v>0</v>
      </c>
      <c r="T97" s="4">
        <v>31</v>
      </c>
      <c r="U97" s="4">
        <v>69</v>
      </c>
      <c r="V97" s="6">
        <f>IF(ISERROR(VLOOKUP($S$97,'TAR FIN'!$A$1:$O$88,15,0)),0,VLOOKUP($S$97,'TAR FIN'!$A$1:$O$88,15,0))</f>
        <v>0</v>
      </c>
      <c r="W97" s="6">
        <f>IF(ISERROR(VLOOKUP($T$97,'TAR FIN'!$A$1:$O$88,15,0)),0,VLOOKUP($T$97,'TAR FIN'!$A$1:$O$88,15,0))</f>
        <v>0</v>
      </c>
      <c r="X97" s="6">
        <f>IF(ISERROR(VLOOKUP($U$97,'TAR FIN'!$A$1:$O$88,15,0)),0,VLOOKUP($U$97,'TAR FIN'!$A$1:$O$88,15,0))</f>
        <v>0</v>
      </c>
      <c r="Y97" s="6"/>
      <c r="Z97" s="6">
        <f ca="1">('TUSD BE'!$AM$33+'TUSD BF'!$AM$33+'TUSD CVA'!$AM$33)*(1-CUSTOS!$M$38)</f>
        <v>463.51466526591332</v>
      </c>
      <c r="AA97" s="6">
        <f>('TE BE'!$AB$24+'TE BF'!$AB$24+'TE CVA'!$AB$24)*(1-CUSTOS!$M$38)</f>
        <v>273.09807097351847</v>
      </c>
      <c r="AB97" s="6">
        <f t="shared" si="8"/>
        <v>0</v>
      </c>
      <c r="AC97" s="6">
        <f>(L97-M97)*(W97+X97)+($W$38+$X$38-$W$97-$X$97)*(L97)</f>
        <v>0</v>
      </c>
      <c r="AD97" s="6">
        <f t="shared" si="9"/>
        <v>0</v>
      </c>
      <c r="AE97" s="6">
        <f ca="1">(L97-M97)*(Z97+AA97)+($Z$38+$AA$38-$Z$97-$AA$97)*(L97)</f>
        <v>32.583359120037855</v>
      </c>
      <c r="AF97" s="4" t="s">
        <v>622</v>
      </c>
    </row>
    <row r="98" spans="1:32" ht="11.25" customHeight="1" x14ac:dyDescent="0.25">
      <c r="A98" s="4" t="s">
        <v>21</v>
      </c>
      <c r="B98" s="4" t="s">
        <v>41</v>
      </c>
      <c r="C98" s="4" t="s">
        <v>23</v>
      </c>
      <c r="D98" s="4" t="s">
        <v>42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44743</v>
      </c>
      <c r="J98" s="6">
        <v>0</v>
      </c>
      <c r="K98" s="6">
        <v>0</v>
      </c>
      <c r="L98" s="6">
        <v>0.65100000000000002</v>
      </c>
      <c r="M98" s="6">
        <v>0.65100000000000002</v>
      </c>
      <c r="N98" s="6">
        <v>0.65100000000000002</v>
      </c>
      <c r="O98" s="6">
        <v>0.65100000000000002</v>
      </c>
      <c r="P98" s="6">
        <v>4</v>
      </c>
      <c r="Q98" s="4" t="s">
        <v>26</v>
      </c>
      <c r="R98" s="4">
        <v>0</v>
      </c>
      <c r="S98" s="4">
        <v>0</v>
      </c>
      <c r="T98" s="4">
        <v>31</v>
      </c>
      <c r="U98" s="4">
        <v>69</v>
      </c>
      <c r="V98" s="6">
        <f>IF(ISERROR(VLOOKUP($S$98,'TAR FIN'!$A$1:$O$88,15,0)),0,VLOOKUP($S$98,'TAR FIN'!$A$1:$O$88,15,0))</f>
        <v>0</v>
      </c>
      <c r="W98" s="6">
        <f>IF(ISERROR(VLOOKUP($T$98,'TAR FIN'!$A$1:$O$88,15,0)),0,VLOOKUP($T$98,'TAR FIN'!$A$1:$O$88,15,0))</f>
        <v>0</v>
      </c>
      <c r="X98" s="6">
        <f>IF(ISERROR(VLOOKUP($U$98,'TAR FIN'!$A$1:$O$88,15,0)),0,VLOOKUP($U$98,'TAR FIN'!$A$1:$O$88,15,0))</f>
        <v>0</v>
      </c>
      <c r="Y98" s="6"/>
      <c r="Z98" s="6">
        <f ca="1">('TUSD BE'!$AM$33+'TUSD BF'!$AM$33+'TUSD CVA'!$AM$33)*(1-CUSTOS!$M$38)</f>
        <v>463.51466526591332</v>
      </c>
      <c r="AA98" s="6">
        <f>('TE BE'!$AB$24+'TE BF'!$AB$24+'TE CVA'!$AB$24)*(1-CUSTOS!$M$38)</f>
        <v>273.09807097351847</v>
      </c>
      <c r="AB98" s="6">
        <f t="shared" ref="AB98" si="10">(J98-K98)*V98</f>
        <v>0</v>
      </c>
      <c r="AC98" s="6">
        <f>(L98-M98)*(W98+X98)+($W$38+$X$38-$W$98-$X$98)*(L98)</f>
        <v>0</v>
      </c>
      <c r="AD98" s="6">
        <f t="shared" ref="AD98" si="11">(J98-K98)*Y98</f>
        <v>0</v>
      </c>
      <c r="AE98" s="6">
        <f ca="1">(L98-M98)*(Z98+AA98)+($Z$38+$AA$38-$Z$98-$AA$98)*(L98)</f>
        <v>30.608610082459805</v>
      </c>
      <c r="AF98" s="4" t="s">
        <v>622</v>
      </c>
    </row>
    <row r="99" spans="1:32" ht="11.25" customHeight="1" x14ac:dyDescent="0.25">
      <c r="A99" s="4" t="s">
        <v>21</v>
      </c>
      <c r="B99" s="4" t="s">
        <v>32</v>
      </c>
      <c r="C99" s="4" t="s">
        <v>23</v>
      </c>
      <c r="D99" s="4" t="s">
        <v>47</v>
      </c>
      <c r="E99" s="4" t="s">
        <v>48</v>
      </c>
      <c r="F99" s="4" t="s">
        <v>25</v>
      </c>
      <c r="G99" s="4" t="s">
        <v>25</v>
      </c>
      <c r="H99" s="4" t="s">
        <v>25</v>
      </c>
      <c r="I99" s="5">
        <v>44409</v>
      </c>
      <c r="J99" s="6">
        <v>0</v>
      </c>
      <c r="K99" s="52">
        <v>0</v>
      </c>
      <c r="L99" s="6">
        <v>0.91900000000000004</v>
      </c>
      <c r="M99" s="52">
        <v>0.91900000000000004</v>
      </c>
      <c r="N99" s="6">
        <v>0.91900000000000004</v>
      </c>
      <c r="O99" s="52">
        <v>0.91900000000000004</v>
      </c>
      <c r="P99" s="6">
        <v>1</v>
      </c>
      <c r="Q99" s="4" t="s">
        <v>26</v>
      </c>
      <c r="R99" s="4">
        <v>0</v>
      </c>
      <c r="S99" s="4">
        <v>0</v>
      </c>
      <c r="T99" s="4">
        <v>46</v>
      </c>
      <c r="U99" s="4">
        <v>84</v>
      </c>
      <c r="V99" s="52">
        <f>IF(ISERROR(VLOOKUP($S$99,'TAR FIN'!$A$1:$O$88,15,0)),0,VLOOKUP($S$99,'TAR FIN'!$A$1:$O$88,15,0))</f>
        <v>0</v>
      </c>
      <c r="W99" s="52">
        <f>IF(ISERROR(VLOOKUP($T$99,'TAR FIN'!$A$1:$O$88,15,0)),0,VLOOKUP($T$99,'TAR FIN'!$A$1:$O$88,15,0))*(1-0.06)</f>
        <v>0</v>
      </c>
      <c r="X99" s="52">
        <f>IF(ISERROR(VLOOKUP($U$99,'TAR FIN'!$A$1:$O$88,15,0)),0,VLOOKUP($U$99,'TAR FIN'!$A$1:$O$88,15,0))*(1-0.06)</f>
        <v>0</v>
      </c>
      <c r="Y99" s="52"/>
      <c r="Z99" s="52">
        <f ca="1">('TUSD BE'!$AM$48+'TUSD BF'!$AM$48+'TUSD CVA'!$AM$48)*1*(1-0.03)</f>
        <v>478.30768649780418</v>
      </c>
      <c r="AA99" s="52">
        <f>('TE BE'!$AB$39+'TE BF'!$AB$39+'TE CVA'!$AB$39)*1*(1-0.03)</f>
        <v>281.81396685565204</v>
      </c>
      <c r="AB99" s="52">
        <f>(SUBSIDIO!$J$99*SUBSIDIO!$V$99)*(0.06)/(1-0.06)</f>
        <v>0</v>
      </c>
      <c r="AC99" s="52">
        <f>((SUBSIDIO!$L$99*SUBSIDIO!$W$99)+(SUBSIDIO!$N$99*SUBSIDIO!$X$99))*(0.06)/(1-0.06)</f>
        <v>0</v>
      </c>
      <c r="AD99" s="52">
        <f>(SUBSIDIO!$J$99*SUBSIDIO!$Y$99)*(0.03)/(1-0.03)</f>
        <v>0</v>
      </c>
      <c r="AE99" s="52">
        <f ca="1">((SUBSIDIO!$L$99*SUBSIDIO!$Z$99)+(SUBSIDIO!$N$99*SUBSIDIO!$AA$99))*(0.03)/(1-0.03)</f>
        <v>21.604694827788446</v>
      </c>
      <c r="AF99" s="4" t="s">
        <v>623</v>
      </c>
    </row>
    <row r="100" spans="1:32" ht="11.25" customHeight="1" x14ac:dyDescent="0.25">
      <c r="A100" s="4" t="s">
        <v>21</v>
      </c>
      <c r="B100" s="4" t="s">
        <v>32</v>
      </c>
      <c r="C100" s="4" t="s">
        <v>23</v>
      </c>
      <c r="D100" s="4" t="s">
        <v>47</v>
      </c>
      <c r="E100" s="4" t="s">
        <v>48</v>
      </c>
      <c r="F100" s="4" t="s">
        <v>25</v>
      </c>
      <c r="G100" s="4" t="s">
        <v>25</v>
      </c>
      <c r="H100" s="4" t="s">
        <v>25</v>
      </c>
      <c r="I100" s="5">
        <v>44440</v>
      </c>
      <c r="J100" s="6">
        <v>0</v>
      </c>
      <c r="K100" s="52">
        <v>0</v>
      </c>
      <c r="L100" s="6">
        <v>0.93200000000000005</v>
      </c>
      <c r="M100" s="52">
        <v>0.93200000000000005</v>
      </c>
      <c r="N100" s="6">
        <v>0.93200000000000005</v>
      </c>
      <c r="O100" s="52">
        <v>0.93200000000000005</v>
      </c>
      <c r="P100" s="6">
        <v>1</v>
      </c>
      <c r="Q100" s="4" t="s">
        <v>26</v>
      </c>
      <c r="R100" s="4">
        <v>0</v>
      </c>
      <c r="S100" s="4">
        <v>0</v>
      </c>
      <c r="T100" s="4">
        <v>46</v>
      </c>
      <c r="U100" s="4">
        <v>84</v>
      </c>
      <c r="V100" s="52">
        <f>IF(ISERROR(VLOOKUP($S$100,'TAR FIN'!$A$1:$O$88,15,0)),0,VLOOKUP($S$100,'TAR FIN'!$A$1:$O$88,15,0))</f>
        <v>0</v>
      </c>
      <c r="W100" s="52">
        <f>IF(ISERROR(VLOOKUP($T$100,'TAR FIN'!$A$1:$O$88,15,0)),0,VLOOKUP($T$100,'TAR FIN'!$A$1:$O$88,15,0))*(1-0.06)</f>
        <v>0</v>
      </c>
      <c r="X100" s="52">
        <f>IF(ISERROR(VLOOKUP($U$100,'TAR FIN'!$A$1:$O$88,15,0)),0,VLOOKUP($U$100,'TAR FIN'!$A$1:$O$88,15,0))*(1-0.06)</f>
        <v>0</v>
      </c>
      <c r="Y100" s="52"/>
      <c r="Z100" s="52">
        <f ca="1">('TUSD BE'!$AM$48+'TUSD BF'!$AM$48+'TUSD CVA'!$AM$48)*1*(1-0.03)</f>
        <v>478.30768649780418</v>
      </c>
      <c r="AA100" s="52">
        <f>('TE BE'!$AB$39+'TE BF'!$AB$39+'TE CVA'!$AB$39)*1*(1-0.03)</f>
        <v>281.81396685565204</v>
      </c>
      <c r="AB100" s="52">
        <f>(SUBSIDIO!$J$100*SUBSIDIO!$V$100)*(0.06)/(1-0.06)</f>
        <v>0</v>
      </c>
      <c r="AC100" s="52">
        <f>((SUBSIDIO!$L$100*SUBSIDIO!$W$100)+(SUBSIDIO!$N$100*SUBSIDIO!$X$100))*(0.06)/(1-0.06)</f>
        <v>0</v>
      </c>
      <c r="AD100" s="52">
        <f>(SUBSIDIO!$J$100*SUBSIDIO!$Y$100)*(0.03)/(1-0.03)</f>
        <v>0</v>
      </c>
      <c r="AE100" s="52">
        <f ca="1">((SUBSIDIO!$L$100*SUBSIDIO!$Z$100)+(SUBSIDIO!$N$100*SUBSIDIO!$AA$100))*(0.03)/(1-0.03)</f>
        <v>21.91031075027076</v>
      </c>
      <c r="AF100" s="4" t="s">
        <v>623</v>
      </c>
    </row>
    <row r="101" spans="1:32" ht="11.25" customHeight="1" x14ac:dyDescent="0.25">
      <c r="A101" s="4" t="s">
        <v>21</v>
      </c>
      <c r="B101" s="4" t="s">
        <v>32</v>
      </c>
      <c r="C101" s="4" t="s">
        <v>23</v>
      </c>
      <c r="D101" s="4" t="s">
        <v>47</v>
      </c>
      <c r="E101" s="4" t="s">
        <v>48</v>
      </c>
      <c r="F101" s="4" t="s">
        <v>25</v>
      </c>
      <c r="G101" s="4" t="s">
        <v>25</v>
      </c>
      <c r="H101" s="4" t="s">
        <v>25</v>
      </c>
      <c r="I101" s="5">
        <v>44470</v>
      </c>
      <c r="J101" s="6">
        <v>0</v>
      </c>
      <c r="K101" s="52">
        <v>0</v>
      </c>
      <c r="L101" s="6">
        <v>1.2130000000000001</v>
      </c>
      <c r="M101" s="52">
        <v>1.2130000000000001</v>
      </c>
      <c r="N101" s="6">
        <v>1.2130000000000001</v>
      </c>
      <c r="O101" s="52">
        <v>1.2130000000000001</v>
      </c>
      <c r="P101" s="6">
        <v>1</v>
      </c>
      <c r="Q101" s="4" t="s">
        <v>26</v>
      </c>
      <c r="R101" s="4">
        <v>0</v>
      </c>
      <c r="S101" s="4">
        <v>0</v>
      </c>
      <c r="T101" s="4">
        <v>46</v>
      </c>
      <c r="U101" s="4">
        <v>84</v>
      </c>
      <c r="V101" s="52">
        <f>IF(ISERROR(VLOOKUP($S$101,'TAR FIN'!$A$1:$O$88,15,0)),0,VLOOKUP($S$101,'TAR FIN'!$A$1:$O$88,15,0))</f>
        <v>0</v>
      </c>
      <c r="W101" s="52">
        <f>IF(ISERROR(VLOOKUP($T$101,'TAR FIN'!$A$1:$O$88,15,0)),0,VLOOKUP($T$101,'TAR FIN'!$A$1:$O$88,15,0))*(1-0.06)</f>
        <v>0</v>
      </c>
      <c r="X101" s="52">
        <f>IF(ISERROR(VLOOKUP($U$101,'TAR FIN'!$A$1:$O$88,15,0)),0,VLOOKUP($U$101,'TAR FIN'!$A$1:$O$88,15,0))*(1-0.06)</f>
        <v>0</v>
      </c>
      <c r="Y101" s="52"/>
      <c r="Z101" s="52">
        <f ca="1">('TUSD BE'!$AM$48+'TUSD BF'!$AM$48+'TUSD CVA'!$AM$48)*1*(1-0.03)</f>
        <v>478.30768649780418</v>
      </c>
      <c r="AA101" s="52">
        <f>('TE BE'!$AB$39+'TE BF'!$AB$39+'TE CVA'!$AB$39)*1*(1-0.03)</f>
        <v>281.81396685565204</v>
      </c>
      <c r="AB101" s="52">
        <f>(SUBSIDIO!$J$101*SUBSIDIO!$V$101)*(0.06)/(1-0.06)</f>
        <v>0</v>
      </c>
      <c r="AC101" s="52">
        <f>((SUBSIDIO!$L$101*SUBSIDIO!$W$101)+(SUBSIDIO!$N$101*SUBSIDIO!$X$101))*(0.06)/(1-0.06)</f>
        <v>0</v>
      </c>
      <c r="AD101" s="52">
        <f>(SUBSIDIO!$J$101*SUBSIDIO!$Y$101)*(0.03)/(1-0.03)</f>
        <v>0</v>
      </c>
      <c r="AE101" s="52">
        <f ca="1">((SUBSIDIO!$L$101*SUBSIDIO!$Z$101)+(SUBSIDIO!$N$101*SUBSIDIO!$AA$101))*(0.03)/(1-0.03)</f>
        <v>28.516316459311621</v>
      </c>
      <c r="AF101" s="4" t="s">
        <v>623</v>
      </c>
    </row>
    <row r="102" spans="1:32" ht="11.25" customHeight="1" x14ac:dyDescent="0.25">
      <c r="A102" s="4" t="s">
        <v>21</v>
      </c>
      <c r="B102" s="4" t="s">
        <v>32</v>
      </c>
      <c r="C102" s="4" t="s">
        <v>23</v>
      </c>
      <c r="D102" s="4" t="s">
        <v>47</v>
      </c>
      <c r="E102" s="4" t="s">
        <v>48</v>
      </c>
      <c r="F102" s="4" t="s">
        <v>25</v>
      </c>
      <c r="G102" s="4" t="s">
        <v>25</v>
      </c>
      <c r="H102" s="4" t="s">
        <v>25</v>
      </c>
      <c r="I102" s="5">
        <v>44501</v>
      </c>
      <c r="J102" s="6">
        <v>0</v>
      </c>
      <c r="K102" s="52">
        <v>0</v>
      </c>
      <c r="L102" s="6">
        <v>1.141</v>
      </c>
      <c r="M102" s="52">
        <v>1.141</v>
      </c>
      <c r="N102" s="6">
        <v>1.141</v>
      </c>
      <c r="O102" s="52">
        <v>1.141</v>
      </c>
      <c r="P102" s="6">
        <v>1</v>
      </c>
      <c r="Q102" s="4" t="s">
        <v>26</v>
      </c>
      <c r="R102" s="4">
        <v>0</v>
      </c>
      <c r="S102" s="4">
        <v>0</v>
      </c>
      <c r="T102" s="4">
        <v>46</v>
      </c>
      <c r="U102" s="4">
        <v>84</v>
      </c>
      <c r="V102" s="52">
        <f>IF(ISERROR(VLOOKUP($S$102,'TAR FIN'!$A$1:$O$88,15,0)),0,VLOOKUP($S$102,'TAR FIN'!$A$1:$O$88,15,0))</f>
        <v>0</v>
      </c>
      <c r="W102" s="52">
        <f>IF(ISERROR(VLOOKUP($T$102,'TAR FIN'!$A$1:$O$88,15,0)),0,VLOOKUP($T$102,'TAR FIN'!$A$1:$O$88,15,0))*(1-0.06)</f>
        <v>0</v>
      </c>
      <c r="X102" s="52">
        <f>IF(ISERROR(VLOOKUP($U$102,'TAR FIN'!$A$1:$O$88,15,0)),0,VLOOKUP($U$102,'TAR FIN'!$A$1:$O$88,15,0))*(1-0.06)</f>
        <v>0</v>
      </c>
      <c r="Y102" s="52"/>
      <c r="Z102" s="52">
        <f ca="1">('TUSD BE'!$AM$48+'TUSD BF'!$AM$48+'TUSD CVA'!$AM$48)*1*(1-0.03)</f>
        <v>478.30768649780418</v>
      </c>
      <c r="AA102" s="52">
        <f>('TE BE'!$AB$39+'TE BF'!$AB$39+'TE CVA'!$AB$39)*1*(1-0.03)</f>
        <v>281.81396685565204</v>
      </c>
      <c r="AB102" s="52">
        <f>(SUBSIDIO!$J$102*SUBSIDIO!$V$102)*(0.06)/(1-0.06)</f>
        <v>0</v>
      </c>
      <c r="AC102" s="52">
        <f>((SUBSIDIO!$L$102*SUBSIDIO!$W$102)+(SUBSIDIO!$N$102*SUBSIDIO!$X$102))*(0.06)/(1-0.06)</f>
        <v>0</v>
      </c>
      <c r="AD102" s="52">
        <f>(SUBSIDIO!$J$102*SUBSIDIO!$Y$102)*(0.03)/(1-0.03)</f>
        <v>0</v>
      </c>
      <c r="AE102" s="52">
        <f ca="1">((SUBSIDIO!$L$102*SUBSIDIO!$Z$102)+(SUBSIDIO!$N$102*SUBSIDIO!$AA$102))*(0.03)/(1-0.03)</f>
        <v>26.823674427101864</v>
      </c>
      <c r="AF102" s="4" t="s">
        <v>623</v>
      </c>
    </row>
    <row r="103" spans="1:32" ht="11.25" customHeight="1" x14ac:dyDescent="0.25">
      <c r="A103" s="4" t="s">
        <v>21</v>
      </c>
      <c r="B103" s="4" t="s">
        <v>32</v>
      </c>
      <c r="C103" s="4" t="s">
        <v>23</v>
      </c>
      <c r="D103" s="4" t="s">
        <v>47</v>
      </c>
      <c r="E103" s="4" t="s">
        <v>48</v>
      </c>
      <c r="F103" s="4" t="s">
        <v>25</v>
      </c>
      <c r="G103" s="4" t="s">
        <v>25</v>
      </c>
      <c r="H103" s="4" t="s">
        <v>25</v>
      </c>
      <c r="I103" s="5">
        <v>44531</v>
      </c>
      <c r="J103" s="6">
        <v>0</v>
      </c>
      <c r="K103" s="52">
        <v>0</v>
      </c>
      <c r="L103" s="6">
        <v>0.86899999999999999</v>
      </c>
      <c r="M103" s="52">
        <v>0.86899999999999999</v>
      </c>
      <c r="N103" s="6">
        <v>0.86899999999999999</v>
      </c>
      <c r="O103" s="52">
        <v>0.86899999999999999</v>
      </c>
      <c r="P103" s="6">
        <v>1</v>
      </c>
      <c r="Q103" s="4" t="s">
        <v>26</v>
      </c>
      <c r="R103" s="4">
        <v>0</v>
      </c>
      <c r="S103" s="4">
        <v>0</v>
      </c>
      <c r="T103" s="4">
        <v>46</v>
      </c>
      <c r="U103" s="4">
        <v>84</v>
      </c>
      <c r="V103" s="52">
        <f>IF(ISERROR(VLOOKUP($S$103,'TAR FIN'!$A$1:$O$88,15,0)),0,VLOOKUP($S$103,'TAR FIN'!$A$1:$O$88,15,0))</f>
        <v>0</v>
      </c>
      <c r="W103" s="52">
        <f>IF(ISERROR(VLOOKUP($T$103,'TAR FIN'!$A$1:$O$88,15,0)),0,VLOOKUP($T$103,'TAR FIN'!$A$1:$O$88,15,0))*(1-0.06)</f>
        <v>0</v>
      </c>
      <c r="X103" s="52">
        <f>IF(ISERROR(VLOOKUP($U$103,'TAR FIN'!$A$1:$O$88,15,0)),0,VLOOKUP($U$103,'TAR FIN'!$A$1:$O$88,15,0))*(1-0.06)</f>
        <v>0</v>
      </c>
      <c r="Y103" s="52"/>
      <c r="Z103" s="52">
        <f ca="1">('TUSD BE'!$AM$48+'TUSD BF'!$AM$48+'TUSD CVA'!$AM$48)*1*(1-0.03)</f>
        <v>478.30768649780418</v>
      </c>
      <c r="AA103" s="52">
        <f>('TE BE'!$AB$39+'TE BF'!$AB$39+'TE CVA'!$AB$39)*1*(1-0.03)</f>
        <v>281.81396685565204</v>
      </c>
      <c r="AB103" s="52">
        <f>(SUBSIDIO!$J$103*SUBSIDIO!$V$103)*(0.06)/(1-0.06)</f>
        <v>0</v>
      </c>
      <c r="AC103" s="52">
        <f>((SUBSIDIO!$L$103*SUBSIDIO!$W$103)+(SUBSIDIO!$N$103*SUBSIDIO!$X$103))*(0.06)/(1-0.06)</f>
        <v>0</v>
      </c>
      <c r="AD103" s="52">
        <f>(SUBSIDIO!$J$103*SUBSIDIO!$Y$103)*(0.03)/(1-0.03)</f>
        <v>0</v>
      </c>
      <c r="AE103" s="52">
        <f ca="1">((SUBSIDIO!$L$103*SUBSIDIO!$Z$103)+(SUBSIDIO!$N$103*SUBSIDIO!$AA$103))*(0.03)/(1-0.03)</f>
        <v>20.429248972087219</v>
      </c>
      <c r="AF103" s="4" t="s">
        <v>623</v>
      </c>
    </row>
    <row r="104" spans="1:32" ht="11.25" customHeight="1" x14ac:dyDescent="0.25">
      <c r="A104" s="4" t="s">
        <v>21</v>
      </c>
      <c r="B104" s="4" t="s">
        <v>32</v>
      </c>
      <c r="C104" s="4" t="s">
        <v>23</v>
      </c>
      <c r="D104" s="4" t="s">
        <v>47</v>
      </c>
      <c r="E104" s="4" t="s">
        <v>48</v>
      </c>
      <c r="F104" s="4" t="s">
        <v>25</v>
      </c>
      <c r="G104" s="4" t="s">
        <v>25</v>
      </c>
      <c r="H104" s="4" t="s">
        <v>25</v>
      </c>
      <c r="I104" s="5">
        <v>44562</v>
      </c>
      <c r="J104" s="6">
        <v>0</v>
      </c>
      <c r="K104" s="52">
        <v>0</v>
      </c>
      <c r="L104" s="6">
        <v>0.69099999999999995</v>
      </c>
      <c r="M104" s="52">
        <v>0.69099999999999995</v>
      </c>
      <c r="N104" s="6">
        <v>0.69099999999999995</v>
      </c>
      <c r="O104" s="52">
        <v>0.69099999999999995</v>
      </c>
      <c r="P104" s="6">
        <v>1</v>
      </c>
      <c r="Q104" s="4" t="s">
        <v>26</v>
      </c>
      <c r="R104" s="4">
        <v>0</v>
      </c>
      <c r="S104" s="4">
        <v>0</v>
      </c>
      <c r="T104" s="4">
        <v>46</v>
      </c>
      <c r="U104" s="4">
        <v>84</v>
      </c>
      <c r="V104" s="52">
        <f>IF(ISERROR(VLOOKUP($S$104,'TAR FIN'!$A$1:$O$88,15,0)),0,VLOOKUP($S$104,'TAR FIN'!$A$1:$O$88,15,0))</f>
        <v>0</v>
      </c>
      <c r="W104" s="52">
        <f>IF(ISERROR(VLOOKUP($T$104,'TAR FIN'!$A$1:$O$88,15,0)),0,VLOOKUP($T$104,'TAR FIN'!$A$1:$O$88,15,0))*(1-0.06)</f>
        <v>0</v>
      </c>
      <c r="X104" s="52">
        <f>IF(ISERROR(VLOOKUP($U$104,'TAR FIN'!$A$1:$O$88,15,0)),0,VLOOKUP($U$104,'TAR FIN'!$A$1:$O$88,15,0))*(1-0.06)</f>
        <v>0</v>
      </c>
      <c r="Y104" s="52"/>
      <c r="Z104" s="52">
        <f ca="1">('TUSD BE'!$AM$48+'TUSD BF'!$AM$48+'TUSD CVA'!$AM$48)*1*(1-0.03)</f>
        <v>478.30768649780418</v>
      </c>
      <c r="AA104" s="52">
        <f>('TE BE'!$AB$39+'TE BF'!$AB$39+'TE CVA'!$AB$39)*1*(1-0.03)</f>
        <v>281.81396685565204</v>
      </c>
      <c r="AB104" s="52">
        <f>(SUBSIDIO!$J$104*SUBSIDIO!$V$104)*(0.06)/(1-0.06)</f>
        <v>0</v>
      </c>
      <c r="AC104" s="52">
        <f>((SUBSIDIO!$L$104*SUBSIDIO!$W$104)+(SUBSIDIO!$N$104*SUBSIDIO!$X$104))*(0.06)/(1-0.06)</f>
        <v>0</v>
      </c>
      <c r="AD104" s="52">
        <f>(SUBSIDIO!$J$104*SUBSIDIO!$Y$104)*(0.03)/(1-0.03)</f>
        <v>0</v>
      </c>
      <c r="AE104" s="52">
        <f ca="1">((SUBSIDIO!$L$104*SUBSIDIO!$Z$104)+(SUBSIDIO!$N$104*SUBSIDIO!$AA$104))*(0.03)/(1-0.03)</f>
        <v>16.244661725790873</v>
      </c>
      <c r="AF104" s="4" t="s">
        <v>623</v>
      </c>
    </row>
    <row r="105" spans="1:32" ht="11.25" customHeight="1" x14ac:dyDescent="0.25">
      <c r="A105" s="4" t="s">
        <v>21</v>
      </c>
      <c r="B105" s="4" t="s">
        <v>32</v>
      </c>
      <c r="C105" s="4" t="s">
        <v>23</v>
      </c>
      <c r="D105" s="4" t="s">
        <v>47</v>
      </c>
      <c r="E105" s="4" t="s">
        <v>48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0</v>
      </c>
      <c r="K105" s="52">
        <v>0</v>
      </c>
      <c r="L105" s="6">
        <v>0.88300000000000001</v>
      </c>
      <c r="M105" s="52">
        <v>0.88300000000000001</v>
      </c>
      <c r="N105" s="6">
        <v>0.88300000000000001</v>
      </c>
      <c r="O105" s="52">
        <v>0.88300000000000001</v>
      </c>
      <c r="P105" s="6">
        <v>1</v>
      </c>
      <c r="Q105" s="4" t="s">
        <v>26</v>
      </c>
      <c r="R105" s="4">
        <v>0</v>
      </c>
      <c r="S105" s="4">
        <v>0</v>
      </c>
      <c r="T105" s="4">
        <v>46</v>
      </c>
      <c r="U105" s="4">
        <v>84</v>
      </c>
      <c r="V105" s="52">
        <f>IF(ISERROR(VLOOKUP($S$105,'TAR FIN'!$A$1:$O$88,15,0)),0,VLOOKUP($S$105,'TAR FIN'!$A$1:$O$88,15,0))</f>
        <v>0</v>
      </c>
      <c r="W105" s="52">
        <f>IF(ISERROR(VLOOKUP($T$105,'TAR FIN'!$A$1:$O$88,15,0)),0,VLOOKUP($T$105,'TAR FIN'!$A$1:$O$88,15,0))*(1-0.06)</f>
        <v>0</v>
      </c>
      <c r="X105" s="52">
        <f>IF(ISERROR(VLOOKUP($U$105,'TAR FIN'!$A$1:$O$88,15,0)),0,VLOOKUP($U$105,'TAR FIN'!$A$1:$O$88,15,0))*(1-0.06)</f>
        <v>0</v>
      </c>
      <c r="Y105" s="52"/>
      <c r="Z105" s="52">
        <f ca="1">('TUSD BE'!$AM$48+'TUSD BF'!$AM$48+'TUSD CVA'!$AM$48)*1*(1-0.03)</f>
        <v>478.30768649780418</v>
      </c>
      <c r="AA105" s="52">
        <f>('TE BE'!$AB$39+'TE BF'!$AB$39+'TE CVA'!$AB$39)*1*(1-0.03)</f>
        <v>281.81396685565204</v>
      </c>
      <c r="AB105" s="52">
        <f>(SUBSIDIO!$J$105*SUBSIDIO!$V$105)*(0.06)/(1-0.06)</f>
        <v>0</v>
      </c>
      <c r="AC105" s="52">
        <f>((SUBSIDIO!$L$105*SUBSIDIO!$W$105)+(SUBSIDIO!$N$105*SUBSIDIO!$X$105))*(0.06)/(1-0.06)</f>
        <v>0</v>
      </c>
      <c r="AD105" s="52">
        <f>(SUBSIDIO!$J$105*SUBSIDIO!$Y$105)*(0.03)/(1-0.03)</f>
        <v>0</v>
      </c>
      <c r="AE105" s="52">
        <f ca="1">((SUBSIDIO!$L$105*SUBSIDIO!$Z$105)+(SUBSIDIO!$N$105*SUBSIDIO!$AA$105))*(0.03)/(1-0.03)</f>
        <v>20.758373811683562</v>
      </c>
      <c r="AF105" s="4" t="s">
        <v>623</v>
      </c>
    </row>
    <row r="106" spans="1:32" ht="11.25" customHeight="1" x14ac:dyDescent="0.25">
      <c r="A106" s="4" t="s">
        <v>21</v>
      </c>
      <c r="B106" s="4" t="s">
        <v>32</v>
      </c>
      <c r="C106" s="4" t="s">
        <v>23</v>
      </c>
      <c r="D106" s="4" t="s">
        <v>47</v>
      </c>
      <c r="E106" s="4" t="s">
        <v>48</v>
      </c>
      <c r="F106" s="4" t="s">
        <v>25</v>
      </c>
      <c r="G106" s="4" t="s">
        <v>25</v>
      </c>
      <c r="H106" s="4" t="s">
        <v>25</v>
      </c>
      <c r="I106" s="5">
        <v>44621</v>
      </c>
      <c r="J106" s="6">
        <v>0</v>
      </c>
      <c r="K106" s="52">
        <v>0</v>
      </c>
      <c r="L106" s="6">
        <v>0.71099999999999997</v>
      </c>
      <c r="M106" s="52">
        <v>0.71099999999999997</v>
      </c>
      <c r="N106" s="6">
        <v>0.71099999999999997</v>
      </c>
      <c r="O106" s="52">
        <v>0.71099999999999997</v>
      </c>
      <c r="P106" s="6">
        <v>1</v>
      </c>
      <c r="Q106" s="4" t="s">
        <v>26</v>
      </c>
      <c r="R106" s="4">
        <v>0</v>
      </c>
      <c r="S106" s="4">
        <v>0</v>
      </c>
      <c r="T106" s="4">
        <v>46</v>
      </c>
      <c r="U106" s="4">
        <v>84</v>
      </c>
      <c r="V106" s="52">
        <f>IF(ISERROR(VLOOKUP($S$106,'TAR FIN'!$A$1:$O$88,15,0)),0,VLOOKUP($S$106,'TAR FIN'!$A$1:$O$88,15,0))</f>
        <v>0</v>
      </c>
      <c r="W106" s="52">
        <f>IF(ISERROR(VLOOKUP($T$106,'TAR FIN'!$A$1:$O$88,15,0)),0,VLOOKUP($T$106,'TAR FIN'!$A$1:$O$88,15,0))*(1-0.06)</f>
        <v>0</v>
      </c>
      <c r="X106" s="52">
        <f>IF(ISERROR(VLOOKUP($U$106,'TAR FIN'!$A$1:$O$88,15,0)),0,VLOOKUP($U$106,'TAR FIN'!$A$1:$O$88,15,0))*(1-0.06)</f>
        <v>0</v>
      </c>
      <c r="Y106" s="52"/>
      <c r="Z106" s="52">
        <f ca="1">('TUSD BE'!$AM$48+'TUSD BF'!$AM$48+'TUSD CVA'!$AM$48)*1*(1-0.03)</f>
        <v>478.30768649780418</v>
      </c>
      <c r="AA106" s="52">
        <f>('TE BE'!$AB$39+'TE BF'!$AB$39+'TE CVA'!$AB$39)*1*(1-0.03)</f>
        <v>281.81396685565204</v>
      </c>
      <c r="AB106" s="52">
        <f>(SUBSIDIO!$J$106*SUBSIDIO!$V$106)*(0.06)/(1-0.06)</f>
        <v>0</v>
      </c>
      <c r="AC106" s="52">
        <f>((SUBSIDIO!$L$106*SUBSIDIO!$W$106)+(SUBSIDIO!$N$106*SUBSIDIO!$X$106))*(0.06)/(1-0.06)</f>
        <v>0</v>
      </c>
      <c r="AD106" s="52">
        <f>(SUBSIDIO!$J$106*SUBSIDIO!$Y$106)*(0.03)/(1-0.03)</f>
        <v>0</v>
      </c>
      <c r="AE106" s="52">
        <f ca="1">((SUBSIDIO!$L$106*SUBSIDIO!$Z$106)+(SUBSIDIO!$N$106*SUBSIDIO!$AA$106))*(0.03)/(1-0.03)</f>
        <v>16.714840068071361</v>
      </c>
      <c r="AF106" s="4" t="s">
        <v>623</v>
      </c>
    </row>
    <row r="107" spans="1:32" ht="11.25" customHeight="1" x14ac:dyDescent="0.25">
      <c r="A107" s="4" t="s">
        <v>21</v>
      </c>
      <c r="B107" s="4" t="s">
        <v>32</v>
      </c>
      <c r="C107" s="4" t="s">
        <v>23</v>
      </c>
      <c r="D107" s="4" t="s">
        <v>47</v>
      </c>
      <c r="E107" s="4" t="s">
        <v>48</v>
      </c>
      <c r="F107" s="4" t="s">
        <v>25</v>
      </c>
      <c r="G107" s="4" t="s">
        <v>25</v>
      </c>
      <c r="H107" s="4" t="s">
        <v>25</v>
      </c>
      <c r="I107" s="5">
        <v>44652</v>
      </c>
      <c r="J107" s="6">
        <v>0</v>
      </c>
      <c r="K107" s="52">
        <v>0</v>
      </c>
      <c r="L107" s="6">
        <v>0.79400000000000004</v>
      </c>
      <c r="M107" s="52">
        <v>0.79400000000000004</v>
      </c>
      <c r="N107" s="6">
        <v>0.79400000000000004</v>
      </c>
      <c r="O107" s="52">
        <v>0.79400000000000004</v>
      </c>
      <c r="P107" s="6">
        <v>1</v>
      </c>
      <c r="Q107" s="4" t="s">
        <v>26</v>
      </c>
      <c r="R107" s="4">
        <v>0</v>
      </c>
      <c r="S107" s="4">
        <v>0</v>
      </c>
      <c r="T107" s="4">
        <v>46</v>
      </c>
      <c r="U107" s="4">
        <v>84</v>
      </c>
      <c r="V107" s="52">
        <f>IF(ISERROR(VLOOKUP($S$107,'TAR FIN'!$A$1:$O$88,15,0)),0,VLOOKUP($S$107,'TAR FIN'!$A$1:$O$88,15,0))</f>
        <v>0</v>
      </c>
      <c r="W107" s="52">
        <f>IF(ISERROR(VLOOKUP($T$107,'TAR FIN'!$A$1:$O$88,15,0)),0,VLOOKUP($T$107,'TAR FIN'!$A$1:$O$88,15,0))*(1-0.06)</f>
        <v>0</v>
      </c>
      <c r="X107" s="52">
        <f>IF(ISERROR(VLOOKUP($U$107,'TAR FIN'!$A$1:$O$88,15,0)),0,VLOOKUP($U$107,'TAR FIN'!$A$1:$O$88,15,0))*(1-0.06)</f>
        <v>0</v>
      </c>
      <c r="Y107" s="52"/>
      <c r="Z107" s="52">
        <f ca="1">('TUSD BE'!$AM$48+'TUSD BF'!$AM$48+'TUSD CVA'!$AM$48)*1*(1-0.03)</f>
        <v>478.30768649780418</v>
      </c>
      <c r="AA107" s="52">
        <f>('TE BE'!$AB$39+'TE BF'!$AB$39+'TE CVA'!$AB$39)*1*(1-0.03)</f>
        <v>281.81396685565204</v>
      </c>
      <c r="AB107" s="52">
        <f>(SUBSIDIO!$J$107*SUBSIDIO!$V$107)*(0.06)/(1-0.06)</f>
        <v>0</v>
      </c>
      <c r="AC107" s="52">
        <f>((SUBSIDIO!$L$107*SUBSIDIO!$W$107)+(SUBSIDIO!$N$107*SUBSIDIO!$X$107))*(0.06)/(1-0.06)</f>
        <v>0</v>
      </c>
      <c r="AD107" s="52">
        <f>(SUBSIDIO!$J$107*SUBSIDIO!$Y$107)*(0.03)/(1-0.03)</f>
        <v>0</v>
      </c>
      <c r="AE107" s="52">
        <f ca="1">((SUBSIDIO!$L$107*SUBSIDIO!$Z$107)+(SUBSIDIO!$N$107*SUBSIDIO!$AA$107))*(0.03)/(1-0.03)</f>
        <v>18.666080188535386</v>
      </c>
      <c r="AF107" s="4" t="s">
        <v>623</v>
      </c>
    </row>
    <row r="108" spans="1:32" ht="11.25" customHeight="1" x14ac:dyDescent="0.25">
      <c r="A108" s="4" t="s">
        <v>21</v>
      </c>
      <c r="B108" s="4" t="s">
        <v>32</v>
      </c>
      <c r="C108" s="4" t="s">
        <v>23</v>
      </c>
      <c r="D108" s="4" t="s">
        <v>47</v>
      </c>
      <c r="E108" s="4" t="s">
        <v>48</v>
      </c>
      <c r="F108" s="4" t="s">
        <v>25</v>
      </c>
      <c r="G108" s="4" t="s">
        <v>25</v>
      </c>
      <c r="H108" s="4" t="s">
        <v>25</v>
      </c>
      <c r="I108" s="5">
        <v>44682</v>
      </c>
      <c r="J108" s="6">
        <v>0</v>
      </c>
      <c r="K108" s="52">
        <v>0</v>
      </c>
      <c r="L108" s="6">
        <v>0.67600000000000005</v>
      </c>
      <c r="M108" s="52">
        <v>0.67600000000000005</v>
      </c>
      <c r="N108" s="6">
        <v>0.67600000000000005</v>
      </c>
      <c r="O108" s="52">
        <v>0.67600000000000005</v>
      </c>
      <c r="P108" s="6">
        <v>1</v>
      </c>
      <c r="Q108" s="4" t="s">
        <v>26</v>
      </c>
      <c r="R108" s="4">
        <v>0</v>
      </c>
      <c r="S108" s="4">
        <v>0</v>
      </c>
      <c r="T108" s="4">
        <v>46</v>
      </c>
      <c r="U108" s="4">
        <v>84</v>
      </c>
      <c r="V108" s="52">
        <f>IF(ISERROR(VLOOKUP($S$108,'TAR FIN'!$A$1:$O$88,15,0)),0,VLOOKUP($S$108,'TAR FIN'!$A$1:$O$88,15,0))</f>
        <v>0</v>
      </c>
      <c r="W108" s="52">
        <f>IF(ISERROR(VLOOKUP($T$108,'TAR FIN'!$A$1:$O$88,15,0)),0,VLOOKUP($T$108,'TAR FIN'!$A$1:$O$88,15,0))*(1-0.06)</f>
        <v>0</v>
      </c>
      <c r="X108" s="52">
        <f>IF(ISERROR(VLOOKUP($U$108,'TAR FIN'!$A$1:$O$88,15,0)),0,VLOOKUP($U$108,'TAR FIN'!$A$1:$O$88,15,0))*(1-0.06)</f>
        <v>0</v>
      </c>
      <c r="Y108" s="52"/>
      <c r="Z108" s="52">
        <f ca="1">('TUSD BE'!$AM$48+'TUSD BF'!$AM$48+'TUSD CVA'!$AM$48)*1*(1-0.03)</f>
        <v>478.30768649780418</v>
      </c>
      <c r="AA108" s="52">
        <f>('TE BE'!$AB$39+'TE BF'!$AB$39+'TE CVA'!$AB$39)*1*(1-0.03)</f>
        <v>281.81396685565204</v>
      </c>
      <c r="AB108" s="52">
        <f>(SUBSIDIO!$J$108*SUBSIDIO!$V$108)*(0.06)/(1-0.06)</f>
        <v>0</v>
      </c>
      <c r="AC108" s="52">
        <f>((SUBSIDIO!$L$108*SUBSIDIO!$W$108)+(SUBSIDIO!$N$108*SUBSIDIO!$X$108))*(0.06)/(1-0.06)</f>
        <v>0</v>
      </c>
      <c r="AD108" s="52">
        <f>(SUBSIDIO!$J$108*SUBSIDIO!$Y$108)*(0.03)/(1-0.03)</f>
        <v>0</v>
      </c>
      <c r="AE108" s="52">
        <f ca="1">((SUBSIDIO!$L$108*SUBSIDIO!$Z$108)+(SUBSIDIO!$N$108*SUBSIDIO!$AA$108))*(0.03)/(1-0.03)</f>
        <v>15.892027969080507</v>
      </c>
      <c r="AF108" s="4" t="s">
        <v>623</v>
      </c>
    </row>
    <row r="109" spans="1:32" ht="11.25" customHeight="1" x14ac:dyDescent="0.25">
      <c r="A109" s="4" t="s">
        <v>21</v>
      </c>
      <c r="B109" s="4" t="s">
        <v>32</v>
      </c>
      <c r="C109" s="4" t="s">
        <v>23</v>
      </c>
      <c r="D109" s="4" t="s">
        <v>47</v>
      </c>
      <c r="E109" s="4" t="s">
        <v>48</v>
      </c>
      <c r="F109" s="4" t="s">
        <v>25</v>
      </c>
      <c r="G109" s="4" t="s">
        <v>25</v>
      </c>
      <c r="H109" s="4" t="s">
        <v>25</v>
      </c>
      <c r="I109" s="5">
        <v>44713</v>
      </c>
      <c r="J109" s="6">
        <v>0</v>
      </c>
      <c r="K109" s="52">
        <v>0</v>
      </c>
      <c r="L109" s="6">
        <v>0.84099999999999997</v>
      </c>
      <c r="M109" s="52">
        <v>0.84099999999999997</v>
      </c>
      <c r="N109" s="6">
        <v>0.84099999999999997</v>
      </c>
      <c r="O109" s="52">
        <v>0.84099999999999997</v>
      </c>
      <c r="P109" s="6">
        <v>1</v>
      </c>
      <c r="Q109" s="4" t="s">
        <v>26</v>
      </c>
      <c r="R109" s="4">
        <v>0</v>
      </c>
      <c r="S109" s="4">
        <v>0</v>
      </c>
      <c r="T109" s="4">
        <v>46</v>
      </c>
      <c r="U109" s="4">
        <v>84</v>
      </c>
      <c r="V109" s="52">
        <f>IF(ISERROR(VLOOKUP($S$109,'TAR FIN'!$A$1:$O$88,15,0)),0,VLOOKUP($S$109,'TAR FIN'!$A$1:$O$88,15,0))</f>
        <v>0</v>
      </c>
      <c r="W109" s="52">
        <f>IF(ISERROR(VLOOKUP($T$109,'TAR FIN'!$A$1:$O$88,15,0)),0,VLOOKUP($T$109,'TAR FIN'!$A$1:$O$88,15,0))*(1-0.06)</f>
        <v>0</v>
      </c>
      <c r="X109" s="52">
        <f>IF(ISERROR(VLOOKUP($U$109,'TAR FIN'!$A$1:$O$88,15,0)),0,VLOOKUP($U$109,'TAR FIN'!$A$1:$O$88,15,0))*(1-0.06)</f>
        <v>0</v>
      </c>
      <c r="Y109" s="52"/>
      <c r="Z109" s="52">
        <f ca="1">('TUSD BE'!$AM$48+'TUSD BF'!$AM$48+'TUSD CVA'!$AM$48)*1*(1-0.03)</f>
        <v>478.30768649780418</v>
      </c>
      <c r="AA109" s="52">
        <f>('TE BE'!$AB$39+'TE BF'!$AB$39+'TE CVA'!$AB$39)*1*(1-0.03)</f>
        <v>281.81396685565204</v>
      </c>
      <c r="AB109" s="52">
        <f>(SUBSIDIO!$J$109*SUBSIDIO!$V$109)*(0.06)/(1-0.06)</f>
        <v>0</v>
      </c>
      <c r="AC109" s="52">
        <f>((SUBSIDIO!$L$109*SUBSIDIO!$W$109)+(SUBSIDIO!$N$109*SUBSIDIO!$X$109))*(0.06)/(1-0.06)</f>
        <v>0</v>
      </c>
      <c r="AD109" s="52">
        <f>(SUBSIDIO!$J$109*SUBSIDIO!$Y$109)*(0.03)/(1-0.03)</f>
        <v>0</v>
      </c>
      <c r="AE109" s="52">
        <f ca="1">((SUBSIDIO!$L$109*SUBSIDIO!$Z$109)+(SUBSIDIO!$N$109*SUBSIDIO!$AA$109))*(0.03)/(1-0.03)</f>
        <v>19.770999292894533</v>
      </c>
      <c r="AF109" s="4" t="s">
        <v>623</v>
      </c>
    </row>
    <row r="110" spans="1:32" ht="11.25" customHeight="1" x14ac:dyDescent="0.25">
      <c r="A110" s="4" t="s">
        <v>21</v>
      </c>
      <c r="B110" s="4" t="s">
        <v>32</v>
      </c>
      <c r="C110" s="4" t="s">
        <v>23</v>
      </c>
      <c r="D110" s="4" t="s">
        <v>47</v>
      </c>
      <c r="E110" s="4" t="s">
        <v>48</v>
      </c>
      <c r="F110" s="4" t="s">
        <v>25</v>
      </c>
      <c r="G110" s="4" t="s">
        <v>25</v>
      </c>
      <c r="H110" s="4" t="s">
        <v>25</v>
      </c>
      <c r="I110" s="5">
        <v>44743</v>
      </c>
      <c r="J110" s="6">
        <v>0</v>
      </c>
      <c r="K110" s="52">
        <v>0</v>
      </c>
      <c r="L110" s="6">
        <v>0.82899999999999996</v>
      </c>
      <c r="M110" s="52">
        <v>0.82899999999999996</v>
      </c>
      <c r="N110" s="6">
        <v>0.82899999999999996</v>
      </c>
      <c r="O110" s="52">
        <v>0.82899999999999996</v>
      </c>
      <c r="P110" s="6">
        <v>1</v>
      </c>
      <c r="Q110" s="4" t="s">
        <v>26</v>
      </c>
      <c r="R110" s="4">
        <v>0</v>
      </c>
      <c r="S110" s="4">
        <v>0</v>
      </c>
      <c r="T110" s="4">
        <v>46</v>
      </c>
      <c r="U110" s="4">
        <v>84</v>
      </c>
      <c r="V110" s="52">
        <f>IF(ISERROR(VLOOKUP($S$110,'TAR FIN'!$A$1:$O$88,15,0)),0,VLOOKUP($S$110,'TAR FIN'!$A$1:$O$88,15,0))</f>
        <v>0</v>
      </c>
      <c r="W110" s="52">
        <f>IF(ISERROR(VLOOKUP($T$110,'TAR FIN'!$A$1:$O$88,15,0)),0,VLOOKUP($T$110,'TAR FIN'!$A$1:$O$88,15,0))*(1-0.06)</f>
        <v>0</v>
      </c>
      <c r="X110" s="52">
        <f>IF(ISERROR(VLOOKUP($U$110,'TAR FIN'!$A$1:$O$88,15,0)),0,VLOOKUP($U$110,'TAR FIN'!$A$1:$O$88,15,0))*(1-0.06)</f>
        <v>0</v>
      </c>
      <c r="Y110" s="52"/>
      <c r="Z110" s="52">
        <f ca="1">('TUSD BE'!$AM$48+'TUSD BF'!$AM$48+'TUSD CVA'!$AM$48)*1*(1-0.03)</f>
        <v>478.30768649780418</v>
      </c>
      <c r="AA110" s="52">
        <f>('TE BE'!$AB$39+'TE BF'!$AB$39+'TE CVA'!$AB$39)*1*(1-0.03)</f>
        <v>281.81396685565204</v>
      </c>
      <c r="AB110" s="52">
        <f>(SUBSIDIO!$J$110*SUBSIDIO!$V$110)*(0.06)/(1-0.06)</f>
        <v>0</v>
      </c>
      <c r="AC110" s="52">
        <f>((SUBSIDIO!$L$110*SUBSIDIO!$W$110)+(SUBSIDIO!$N$110*SUBSIDIO!$X$110))*(0.06)/(1-0.06)</f>
        <v>0</v>
      </c>
      <c r="AD110" s="52">
        <f>(SUBSIDIO!$J$110*SUBSIDIO!$Y$110)*(0.03)/(1-0.03)</f>
        <v>0</v>
      </c>
      <c r="AE110" s="52">
        <f ca="1">((SUBSIDIO!$L$110*SUBSIDIO!$Z$110)+(SUBSIDIO!$N$110*SUBSIDIO!$AA$110))*(0.03)/(1-0.03)</f>
        <v>19.488892287526241</v>
      </c>
      <c r="AF110" s="4" t="s">
        <v>623</v>
      </c>
    </row>
    <row r="111" spans="1:32" ht="11.25" customHeight="1" x14ac:dyDescent="0.25"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2" ht="11.25" customHeight="1" x14ac:dyDescent="0.25"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22:31" ht="11.25" customHeight="1" x14ac:dyDescent="0.25"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22:31" ht="11.25" customHeight="1" x14ac:dyDescent="0.25"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22:31" ht="11.25" customHeight="1" x14ac:dyDescent="0.25"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22:31" ht="11.25" customHeight="1" x14ac:dyDescent="0.25"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22:31" ht="11.25" customHeight="1" x14ac:dyDescent="0.25"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22:31" ht="11.25" customHeight="1" x14ac:dyDescent="0.25"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22:31" ht="11.25" customHeight="1" x14ac:dyDescent="0.25"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22:31" ht="11.25" customHeight="1" x14ac:dyDescent="0.25"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22:31" ht="11.25" customHeight="1" x14ac:dyDescent="0.25"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22:31" ht="11.25" customHeight="1" x14ac:dyDescent="0.25"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22:31" ht="11.25" customHeight="1" x14ac:dyDescent="0.25"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22:31" ht="11.25" customHeight="1" x14ac:dyDescent="0.25"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22:31" ht="11.25" customHeight="1" x14ac:dyDescent="0.25"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22:31" ht="11.25" customHeight="1" x14ac:dyDescent="0.25"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22:31" ht="11.25" customHeight="1" x14ac:dyDescent="0.25"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22:31" ht="11.25" customHeight="1" x14ac:dyDescent="0.25"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22:31" ht="11.25" customHeight="1" x14ac:dyDescent="0.25"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22:31" ht="11.25" customHeight="1" x14ac:dyDescent="0.25"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22:31" ht="11.25" customHeight="1" x14ac:dyDescent="0.25"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22:31" ht="11.25" customHeight="1" x14ac:dyDescent="0.25"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22:31" ht="11.25" customHeight="1" x14ac:dyDescent="0.25"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22:31" ht="11.25" customHeight="1" x14ac:dyDescent="0.25"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22:31" ht="11.25" customHeight="1" x14ac:dyDescent="0.25"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22:31" ht="11.25" customHeight="1" x14ac:dyDescent="0.25"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22:31" ht="11.25" customHeight="1" x14ac:dyDescent="0.25"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22:31" ht="11.25" customHeight="1" x14ac:dyDescent="0.25"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22:31" ht="11.25" customHeight="1" x14ac:dyDescent="0.25"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22:31" ht="11.25" customHeight="1" x14ac:dyDescent="0.25"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22:31" ht="11.25" customHeight="1" x14ac:dyDescent="0.25"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22:31" ht="11.25" customHeight="1" x14ac:dyDescent="0.25"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22:31" ht="11.25" customHeight="1" x14ac:dyDescent="0.25"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22:31" ht="11.25" customHeight="1" x14ac:dyDescent="0.25"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22:31" ht="11.25" customHeight="1" x14ac:dyDescent="0.25"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22:31" ht="11.25" customHeight="1" x14ac:dyDescent="0.25"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22:31" ht="11.25" customHeight="1" x14ac:dyDescent="0.25"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22:31" ht="11.25" customHeight="1" x14ac:dyDescent="0.25"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22:31" ht="11.25" customHeight="1" x14ac:dyDescent="0.25"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22:31" ht="11.25" customHeight="1" x14ac:dyDescent="0.25"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22:31" ht="11.25" customHeight="1" x14ac:dyDescent="0.25"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22:31" ht="11.25" customHeight="1" x14ac:dyDescent="0.25"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22:31" ht="11.25" customHeight="1" x14ac:dyDescent="0.25"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22:31" ht="11.25" customHeight="1" x14ac:dyDescent="0.25"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22:31" ht="11.25" customHeight="1" x14ac:dyDescent="0.25"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22:31" ht="11.25" customHeight="1" x14ac:dyDescent="0.25"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22:31" ht="11.25" customHeight="1" x14ac:dyDescent="0.25"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2:31" ht="11.25" customHeight="1" x14ac:dyDescent="0.25"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2:31" ht="11.25" customHeight="1" x14ac:dyDescent="0.25"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2:31" ht="11.25" customHeight="1" x14ac:dyDescent="0.25"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2:31" ht="11.25" customHeight="1" x14ac:dyDescent="0.25"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2:31" ht="11.25" customHeight="1" x14ac:dyDescent="0.25"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2:31" ht="11.25" customHeight="1" x14ac:dyDescent="0.25"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2:31" ht="11.25" customHeight="1" x14ac:dyDescent="0.25"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2:31" ht="11.25" customHeight="1" x14ac:dyDescent="0.25"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2:31" ht="11.25" customHeight="1" x14ac:dyDescent="0.25"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2:31" ht="11.25" customHeight="1" x14ac:dyDescent="0.25"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2:31" ht="11.25" customHeight="1" x14ac:dyDescent="0.25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2:31" ht="11.25" customHeight="1" x14ac:dyDescent="0.25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2:31" ht="11.25" customHeight="1" x14ac:dyDescent="0.25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2:31" ht="11.25" customHeight="1" x14ac:dyDescent="0.25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2:31" ht="11.25" customHeight="1" x14ac:dyDescent="0.25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2:31" ht="11.25" customHeight="1" x14ac:dyDescent="0.25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2:31" ht="11.25" customHeight="1" x14ac:dyDescent="0.25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2:31" ht="11.25" customHeight="1" x14ac:dyDescent="0.25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2:31" ht="11.25" customHeight="1" x14ac:dyDescent="0.25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25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25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25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25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25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25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25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25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25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25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25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25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25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25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25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25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25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25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25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25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25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25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25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25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25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25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25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25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25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25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25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25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25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25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25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25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25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25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25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25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25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25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25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25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25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176A-9409-4FCB-933C-CAE765559BBF}">
  <sheetPr codeName="Planilha19"/>
  <dimension ref="A1:J456"/>
  <sheetViews>
    <sheetView showGridLines="0" workbookViewId="0"/>
  </sheetViews>
  <sheetFormatPr defaultColWidth="9.140625" defaultRowHeight="11.25" customHeight="1" x14ac:dyDescent="0.2"/>
  <cols>
    <col min="1" max="1" width="34.7109375" style="14" bestFit="1" customWidth="1"/>
    <col min="2" max="2" width="24.5703125" style="39" bestFit="1" customWidth="1"/>
    <col min="3" max="3" width="25.5703125" style="39" bestFit="1" customWidth="1"/>
    <col min="4" max="4" width="26" style="39" bestFit="1" customWidth="1"/>
    <col min="5" max="5" width="26.85546875" style="39" bestFit="1" customWidth="1"/>
    <col min="6" max="6" width="23.7109375" style="39" bestFit="1" customWidth="1"/>
    <col min="7" max="7" width="24.5703125" style="39" bestFit="1" customWidth="1"/>
    <col min="8" max="8" width="18.28515625" style="40" bestFit="1" customWidth="1"/>
    <col min="9" max="9" width="16" style="40" bestFit="1" customWidth="1"/>
    <col min="10" max="10" width="13.85546875" style="40" bestFit="1" customWidth="1"/>
    <col min="11" max="16384" width="9.140625" style="14"/>
  </cols>
  <sheetData>
    <row r="1" spans="1:10" ht="11.25" customHeight="1" x14ac:dyDescent="0.2">
      <c r="A1" s="38" t="s">
        <v>605</v>
      </c>
      <c r="B1" s="39" t="s">
        <v>606</v>
      </c>
      <c r="C1" s="39" t="s">
        <v>607</v>
      </c>
      <c r="D1" s="39" t="s">
        <v>608</v>
      </c>
      <c r="E1" s="39" t="s">
        <v>609</v>
      </c>
      <c r="F1" s="39" t="s">
        <v>610</v>
      </c>
      <c r="G1" s="39" t="s">
        <v>611</v>
      </c>
      <c r="H1" s="40" t="s">
        <v>612</v>
      </c>
      <c r="I1" s="40" t="s">
        <v>613</v>
      </c>
      <c r="J1" s="40" t="s">
        <v>614</v>
      </c>
    </row>
    <row r="2" spans="1:10" ht="11.25" customHeight="1" x14ac:dyDescent="0.2">
      <c r="A2" s="41" t="s">
        <v>26</v>
      </c>
      <c r="B2" s="39">
        <v>279584.55</v>
      </c>
      <c r="C2" s="39">
        <v>242256.14933836184</v>
      </c>
      <c r="D2" s="39">
        <v>5203367.1209704019</v>
      </c>
      <c r="E2" s="39">
        <v>6315802.0009193607</v>
      </c>
      <c r="F2" s="39">
        <v>4658599.7432359979</v>
      </c>
      <c r="G2" s="39">
        <v>4222012.1472987086</v>
      </c>
      <c r="H2" s="40">
        <v>0.19608169901979822</v>
      </c>
      <c r="I2" s="40">
        <v>-9.3716485639528058E-2</v>
      </c>
      <c r="J2" s="40">
        <v>6.2960671131202739E-2</v>
      </c>
    </row>
    <row r="3" spans="1:10" ht="11.25" customHeight="1" x14ac:dyDescent="0.2">
      <c r="A3" s="42" t="s">
        <v>34</v>
      </c>
      <c r="B3" s="39">
        <v>279584.55</v>
      </c>
      <c r="C3" s="39">
        <v>242256.14933836184</v>
      </c>
      <c r="D3" s="39">
        <v>278153.87183000002</v>
      </c>
      <c r="E3" s="39">
        <v>352321.40860027913</v>
      </c>
      <c r="F3" s="39">
        <v>716110.51144000015</v>
      </c>
      <c r="G3" s="39">
        <v>648973.2126395728</v>
      </c>
      <c r="H3" s="40">
        <v>6.6050920407756175E-2</v>
      </c>
      <c r="I3" s="40">
        <v>-9.3752706779046457E-2</v>
      </c>
      <c r="J3" s="40">
        <v>-2.3784737656458499E-2</v>
      </c>
    </row>
    <row r="4" spans="1:10" ht="11.25" customHeight="1" x14ac:dyDescent="0.2">
      <c r="A4" s="43" t="s">
        <v>35</v>
      </c>
      <c r="B4" s="39">
        <v>279584.55</v>
      </c>
      <c r="C4" s="39">
        <v>242256.14933836184</v>
      </c>
      <c r="D4" s="39">
        <v>278153.87183000002</v>
      </c>
      <c r="E4" s="39">
        <v>352321.40860027913</v>
      </c>
      <c r="F4" s="39">
        <v>716110.51144000015</v>
      </c>
      <c r="G4" s="39">
        <v>648973.2126395728</v>
      </c>
      <c r="H4" s="40">
        <v>6.6050920407756175E-2</v>
      </c>
      <c r="I4" s="40">
        <v>-9.3752706779046457E-2</v>
      </c>
      <c r="J4" s="40">
        <v>-2.3784737656458499E-2</v>
      </c>
    </row>
    <row r="5" spans="1:10" ht="11.25" customHeight="1" x14ac:dyDescent="0.2">
      <c r="A5" s="44" t="s">
        <v>40</v>
      </c>
      <c r="B5" s="39">
        <v>44292.24</v>
      </c>
      <c r="C5" s="39">
        <v>38378.613939756549</v>
      </c>
      <c r="D5" s="39">
        <v>40241.433600000018</v>
      </c>
      <c r="E5" s="39">
        <v>51391.934147838721</v>
      </c>
      <c r="F5" s="39">
        <v>106162.86741999998</v>
      </c>
      <c r="G5" s="39">
        <v>96209.941766508244</v>
      </c>
      <c r="H5" s="40">
        <v>6.195015861223907E-2</v>
      </c>
      <c r="I5" s="40">
        <v>-9.3751477285519358E-2</v>
      </c>
      <c r="J5" s="40">
        <v>-2.4730659196392502E-2</v>
      </c>
    </row>
    <row r="6" spans="1:10" ht="11.25" customHeight="1" x14ac:dyDescent="0.2">
      <c r="A6" s="45" t="s">
        <v>25</v>
      </c>
      <c r="B6" s="39">
        <v>44292.24</v>
      </c>
      <c r="C6" s="39">
        <v>38378.613939756549</v>
      </c>
      <c r="D6" s="39">
        <v>40241.433600000018</v>
      </c>
      <c r="E6" s="39">
        <v>51391.934147838721</v>
      </c>
      <c r="F6" s="39">
        <v>106162.86741999998</v>
      </c>
      <c r="G6" s="39">
        <v>96209.941766508244</v>
      </c>
      <c r="H6" s="40">
        <v>6.195015861223907E-2</v>
      </c>
      <c r="I6" s="40">
        <v>-9.3751477285519358E-2</v>
      </c>
      <c r="J6" s="40">
        <v>-2.4730659196392502E-2</v>
      </c>
    </row>
    <row r="7" spans="1:10" ht="11.25" customHeight="1" x14ac:dyDescent="0.2">
      <c r="A7" s="46" t="s">
        <v>25</v>
      </c>
      <c r="B7" s="39">
        <v>44292.24</v>
      </c>
      <c r="C7" s="39">
        <v>38378.613939756549</v>
      </c>
      <c r="D7" s="39">
        <v>40241.433600000018</v>
      </c>
      <c r="E7" s="39">
        <v>51391.934147838721</v>
      </c>
      <c r="F7" s="39">
        <v>106162.86741999998</v>
      </c>
      <c r="G7" s="39">
        <v>96209.941766508244</v>
      </c>
      <c r="H7" s="40">
        <v>6.195015861223907E-2</v>
      </c>
      <c r="I7" s="40">
        <v>-9.3751477285519358E-2</v>
      </c>
      <c r="J7" s="40">
        <v>-2.4730659196392502E-2</v>
      </c>
    </row>
    <row r="8" spans="1:10" ht="11.25" customHeight="1" x14ac:dyDescent="0.2">
      <c r="A8" s="47" t="s">
        <v>25</v>
      </c>
      <c r="B8" s="39">
        <v>44292.24</v>
      </c>
      <c r="C8" s="39">
        <v>38378.613939756549</v>
      </c>
      <c r="D8" s="39">
        <v>40241.433600000018</v>
      </c>
      <c r="E8" s="39">
        <v>51391.934147838721</v>
      </c>
      <c r="F8" s="39">
        <v>106162.86741999998</v>
      </c>
      <c r="G8" s="39">
        <v>96209.941766508244</v>
      </c>
      <c r="H8" s="40">
        <v>6.195015861223907E-2</v>
      </c>
      <c r="I8" s="40">
        <v>-9.3751477285519358E-2</v>
      </c>
      <c r="J8" s="40">
        <v>-2.4730659196392502E-2</v>
      </c>
    </row>
    <row r="9" spans="1:10" ht="11.25" customHeight="1" x14ac:dyDescent="0.2">
      <c r="A9" s="48" t="s">
        <v>37</v>
      </c>
      <c r="B9" s="39">
        <v>0</v>
      </c>
      <c r="C9" s="39">
        <v>0</v>
      </c>
      <c r="D9" s="39">
        <v>23177.790850000001</v>
      </c>
      <c r="E9" s="39">
        <v>35967.643483723878</v>
      </c>
      <c r="F9" s="39">
        <v>99929.663299999986</v>
      </c>
      <c r="G9" s="39">
        <v>90563.038869670476</v>
      </c>
      <c r="H9" s="40">
        <v>0.55181499895723984</v>
      </c>
      <c r="I9" s="40">
        <v>-9.3732172420213811E-2</v>
      </c>
      <c r="J9" s="40">
        <v>2.780683125185357E-2</v>
      </c>
    </row>
    <row r="10" spans="1:10" ht="11.25" customHeight="1" x14ac:dyDescent="0.2">
      <c r="A10" s="49">
        <v>44409</v>
      </c>
      <c r="B10" s="39">
        <v>0</v>
      </c>
      <c r="C10" s="39">
        <v>0</v>
      </c>
      <c r="D10" s="39">
        <v>2958.9296399999998</v>
      </c>
      <c r="E10" s="39">
        <v>4591.7113962111471</v>
      </c>
      <c r="F10" s="39">
        <v>12757.24872</v>
      </c>
      <c r="G10" s="39">
        <v>11561.484083369407</v>
      </c>
      <c r="H10" s="40">
        <v>0.55181499895724029</v>
      </c>
      <c r="I10" s="40">
        <v>-9.3732172420213811E-2</v>
      </c>
      <c r="J10" s="40">
        <v>2.780683125185357E-2</v>
      </c>
    </row>
    <row r="11" spans="1:10" ht="11.25" customHeight="1" x14ac:dyDescent="0.2">
      <c r="A11" s="49">
        <v>44440</v>
      </c>
      <c r="B11" s="39">
        <v>0</v>
      </c>
      <c r="C11" s="39">
        <v>0</v>
      </c>
      <c r="D11" s="39">
        <v>2953.1038699999999</v>
      </c>
      <c r="E11" s="39">
        <v>4582.670878944672</v>
      </c>
      <c r="F11" s="39">
        <v>12732.13126</v>
      </c>
      <c r="G11" s="39">
        <v>11538.720937460886</v>
      </c>
      <c r="H11" s="40">
        <v>0.55181499895724029</v>
      </c>
      <c r="I11" s="40">
        <v>-9.3732172420213811E-2</v>
      </c>
      <c r="J11" s="40">
        <v>2.780683125185357E-2</v>
      </c>
    </row>
    <row r="12" spans="1:10" ht="11.25" customHeight="1" x14ac:dyDescent="0.2">
      <c r="A12" s="49">
        <v>44470</v>
      </c>
      <c r="B12" s="39">
        <v>0</v>
      </c>
      <c r="C12" s="39">
        <v>0</v>
      </c>
      <c r="D12" s="39">
        <v>2951.7702600000002</v>
      </c>
      <c r="E12" s="39">
        <v>4580.601362943913</v>
      </c>
      <c r="F12" s="39">
        <v>12726.38148</v>
      </c>
      <c r="G12" s="39">
        <v>11533.510096831224</v>
      </c>
      <c r="H12" s="40">
        <v>0.55181499895724029</v>
      </c>
      <c r="I12" s="40">
        <v>-9.3732172420213811E-2</v>
      </c>
      <c r="J12" s="40">
        <v>2.780683125185357E-2</v>
      </c>
    </row>
    <row r="13" spans="1:10" ht="11.25" customHeight="1" x14ac:dyDescent="0.2">
      <c r="A13" s="49">
        <v>44501</v>
      </c>
      <c r="B13" s="39">
        <v>0</v>
      </c>
      <c r="C13" s="39">
        <v>0</v>
      </c>
      <c r="D13" s="39">
        <v>3037.4722499999998</v>
      </c>
      <c r="E13" s="39">
        <v>4713.594996466396</v>
      </c>
      <c r="F13" s="39">
        <v>13095.880499999999</v>
      </c>
      <c r="G13" s="39">
        <v>11868.375170979483</v>
      </c>
      <c r="H13" s="40">
        <v>0.55181499895724029</v>
      </c>
      <c r="I13" s="40">
        <v>-9.3732172420213811E-2</v>
      </c>
      <c r="J13" s="40">
        <v>2.780683125185357E-2</v>
      </c>
    </row>
    <row r="14" spans="1:10" ht="11.25" customHeight="1" x14ac:dyDescent="0.2">
      <c r="A14" s="49">
        <v>44531</v>
      </c>
      <c r="B14" s="39">
        <v>0</v>
      </c>
      <c r="C14" s="39">
        <v>0</v>
      </c>
      <c r="D14" s="39">
        <v>1276.6859099999999</v>
      </c>
      <c r="E14" s="39">
        <v>1981.1803440953734</v>
      </c>
      <c r="F14" s="39">
        <v>5504.3551800000005</v>
      </c>
      <c r="G14" s="39">
        <v>4988.4200112061426</v>
      </c>
      <c r="H14" s="40">
        <v>0.55181499895724029</v>
      </c>
      <c r="I14" s="40">
        <v>-9.3732172420213922E-2</v>
      </c>
      <c r="J14" s="40">
        <v>2.780683125185357E-2</v>
      </c>
    </row>
    <row r="15" spans="1:10" ht="11.25" customHeight="1" x14ac:dyDescent="0.2">
      <c r="A15" s="49">
        <v>44562</v>
      </c>
      <c r="B15" s="39">
        <v>0</v>
      </c>
      <c r="C15" s="39">
        <v>0</v>
      </c>
      <c r="D15" s="39">
        <v>1272.1937499999999</v>
      </c>
      <c r="E15" s="39">
        <v>1974.2093428296578</v>
      </c>
      <c r="F15" s="39">
        <v>5484.9875000000002</v>
      </c>
      <c r="G15" s="39">
        <v>4970.8677059272823</v>
      </c>
      <c r="H15" s="40">
        <v>0.55181499895724051</v>
      </c>
      <c r="I15" s="40">
        <v>-9.3732172420213922E-2</v>
      </c>
      <c r="J15" s="40">
        <v>2.7806831251853792E-2</v>
      </c>
    </row>
    <row r="16" spans="1:10" ht="11.25" customHeight="1" x14ac:dyDescent="0.2">
      <c r="A16" s="49">
        <v>44593</v>
      </c>
      <c r="B16" s="39">
        <v>0</v>
      </c>
      <c r="C16" s="39">
        <v>0</v>
      </c>
      <c r="D16" s="39">
        <v>1357.1938399999999</v>
      </c>
      <c r="E16" s="39">
        <v>2106.1137574043728</v>
      </c>
      <c r="F16" s="39">
        <v>5851.4603199999992</v>
      </c>
      <c r="G16" s="39">
        <v>5302.9902323757196</v>
      </c>
      <c r="H16" s="40">
        <v>0.55181499895724029</v>
      </c>
      <c r="I16" s="40">
        <v>-9.3732172420213811E-2</v>
      </c>
      <c r="J16" s="40">
        <v>2.7806831251853792E-2</v>
      </c>
    </row>
    <row r="17" spans="1:10" ht="11.25" customHeight="1" x14ac:dyDescent="0.2">
      <c r="A17" s="49">
        <v>44621</v>
      </c>
      <c r="B17" s="39">
        <v>0</v>
      </c>
      <c r="C17" s="39">
        <v>0</v>
      </c>
      <c r="D17" s="39">
        <v>1594.9273699999999</v>
      </c>
      <c r="E17" s="39">
        <v>2475.0322150134239</v>
      </c>
      <c r="F17" s="39">
        <v>6876.43426</v>
      </c>
      <c r="G17" s="39">
        <v>6231.8911383054137</v>
      </c>
      <c r="H17" s="40">
        <v>0.55181499895724029</v>
      </c>
      <c r="I17" s="40">
        <v>-9.3732172420213922E-2</v>
      </c>
      <c r="J17" s="40">
        <v>2.7806831251853792E-2</v>
      </c>
    </row>
    <row r="18" spans="1:10" ht="11.25" customHeight="1" x14ac:dyDescent="0.2">
      <c r="A18" s="49">
        <v>44652</v>
      </c>
      <c r="B18" s="39">
        <v>0</v>
      </c>
      <c r="C18" s="39">
        <v>0</v>
      </c>
      <c r="D18" s="39">
        <v>1348.3498999999999</v>
      </c>
      <c r="E18" s="39">
        <v>2092.3895986624952</v>
      </c>
      <c r="F18" s="39">
        <v>5813.3302000000003</v>
      </c>
      <c r="G18" s="39">
        <v>5268.4341313579644</v>
      </c>
      <c r="H18" s="40">
        <v>0.55181499895724051</v>
      </c>
      <c r="I18" s="40">
        <v>-9.3732172420213811E-2</v>
      </c>
      <c r="J18" s="40">
        <v>2.7806831251853792E-2</v>
      </c>
    </row>
    <row r="19" spans="1:10" ht="11.25" customHeight="1" x14ac:dyDescent="0.2">
      <c r="A19" s="49">
        <v>44682</v>
      </c>
      <c r="B19" s="39">
        <v>0</v>
      </c>
      <c r="C19" s="39">
        <v>0</v>
      </c>
      <c r="D19" s="39">
        <v>1510.2782299999999</v>
      </c>
      <c r="E19" s="39">
        <v>2343.6724099125927</v>
      </c>
      <c r="F19" s="39">
        <v>6511.4745400000002</v>
      </c>
      <c r="G19" s="39">
        <v>5901.1398857068871</v>
      </c>
      <c r="H19" s="40">
        <v>0.55181499895724029</v>
      </c>
      <c r="I19" s="40">
        <v>-9.3732172420213922E-2</v>
      </c>
      <c r="J19" s="40">
        <v>2.7806831251853792E-2</v>
      </c>
    </row>
    <row r="20" spans="1:10" ht="11.25" customHeight="1" x14ac:dyDescent="0.2">
      <c r="A20" s="49">
        <v>44713</v>
      </c>
      <c r="B20" s="39">
        <v>0</v>
      </c>
      <c r="C20" s="39">
        <v>0</v>
      </c>
      <c r="D20" s="39">
        <v>1449.9148299999999</v>
      </c>
      <c r="E20" s="39">
        <v>2249.9995804045375</v>
      </c>
      <c r="F20" s="39">
        <v>6251.2213400000001</v>
      </c>
      <c r="G20" s="39">
        <v>5665.2807835222002</v>
      </c>
      <c r="H20" s="40">
        <v>0.55181499895724051</v>
      </c>
      <c r="I20" s="40">
        <v>-9.3732172420213811E-2</v>
      </c>
      <c r="J20" s="40">
        <v>2.7806831251853792E-2</v>
      </c>
    </row>
    <row r="21" spans="1:10" ht="11.25" customHeight="1" x14ac:dyDescent="0.2">
      <c r="A21" s="49">
        <v>44743</v>
      </c>
      <c r="B21" s="39">
        <v>0</v>
      </c>
      <c r="C21" s="39">
        <v>0</v>
      </c>
      <c r="D21" s="39">
        <v>1466.9709999999998</v>
      </c>
      <c r="E21" s="39">
        <v>2276.4676008353017</v>
      </c>
      <c r="F21" s="39">
        <v>6324.7579999999998</v>
      </c>
      <c r="G21" s="39">
        <v>5731.9246926278729</v>
      </c>
      <c r="H21" s="40">
        <v>0.55181499895724051</v>
      </c>
      <c r="I21" s="40">
        <v>-9.3732172420213811E-2</v>
      </c>
      <c r="J21" s="40">
        <v>2.7806831251853792E-2</v>
      </c>
    </row>
    <row r="22" spans="1:10" ht="11.25" customHeight="1" x14ac:dyDescent="0.2">
      <c r="A22" s="48" t="s">
        <v>25</v>
      </c>
      <c r="B22" s="39">
        <v>44292.24</v>
      </c>
      <c r="C22" s="39">
        <v>38378.613939756549</v>
      </c>
      <c r="D22" s="39">
        <v>0</v>
      </c>
      <c r="E22" s="39">
        <v>0</v>
      </c>
      <c r="F22" s="39">
        <v>0</v>
      </c>
      <c r="G22" s="39">
        <v>0</v>
      </c>
      <c r="H22" s="40">
        <v>-0.13351381777583271</v>
      </c>
      <c r="I22" s="40">
        <v>0</v>
      </c>
      <c r="J22" s="40">
        <v>-0.13351381777583271</v>
      </c>
    </row>
    <row r="23" spans="1:10" ht="11.25" customHeight="1" x14ac:dyDescent="0.2">
      <c r="A23" s="49">
        <v>44409</v>
      </c>
      <c r="B23" s="39">
        <v>5454.8099999999995</v>
      </c>
      <c r="C23" s="39">
        <v>4726.51749165821</v>
      </c>
      <c r="D23" s="39">
        <v>0</v>
      </c>
      <c r="E23" s="39">
        <v>0</v>
      </c>
      <c r="F23" s="39">
        <v>0</v>
      </c>
      <c r="G23" s="39">
        <v>0</v>
      </c>
      <c r="H23" s="40">
        <v>-0.1335138177758326</v>
      </c>
      <c r="I23" s="40">
        <v>0</v>
      </c>
      <c r="J23" s="40">
        <v>-0.1335138177758326</v>
      </c>
    </row>
    <row r="24" spans="1:10" ht="11.25" customHeight="1" x14ac:dyDescent="0.2">
      <c r="A24" s="49">
        <v>44440</v>
      </c>
      <c r="B24" s="39">
        <v>6006.42</v>
      </c>
      <c r="C24" s="39">
        <v>5204.4799346348827</v>
      </c>
      <c r="D24" s="39">
        <v>0</v>
      </c>
      <c r="E24" s="39">
        <v>0</v>
      </c>
      <c r="F24" s="39">
        <v>0</v>
      </c>
      <c r="G24" s="39">
        <v>0</v>
      </c>
      <c r="H24" s="40">
        <v>-0.13351381777583271</v>
      </c>
      <c r="I24" s="40">
        <v>0</v>
      </c>
      <c r="J24" s="40">
        <v>-0.13351381777583271</v>
      </c>
    </row>
    <row r="25" spans="1:10" ht="11.25" customHeight="1" x14ac:dyDescent="0.2">
      <c r="A25" s="49">
        <v>44470</v>
      </c>
      <c r="B25" s="39">
        <v>3677.4</v>
      </c>
      <c r="C25" s="39">
        <v>3186.416286511153</v>
      </c>
      <c r="D25" s="39">
        <v>0</v>
      </c>
      <c r="E25" s="39">
        <v>0</v>
      </c>
      <c r="F25" s="39">
        <v>0</v>
      </c>
      <c r="G25" s="39">
        <v>0</v>
      </c>
      <c r="H25" s="40">
        <v>-0.13351381777583271</v>
      </c>
      <c r="I25" s="40">
        <v>0</v>
      </c>
      <c r="J25" s="40">
        <v>-0.13351381777583271</v>
      </c>
    </row>
    <row r="26" spans="1:10" ht="11.25" customHeight="1" x14ac:dyDescent="0.2">
      <c r="A26" s="49">
        <v>44501</v>
      </c>
      <c r="B26" s="39">
        <v>4515.03</v>
      </c>
      <c r="C26" s="39">
        <v>3912.2111073275819</v>
      </c>
      <c r="D26" s="39">
        <v>0</v>
      </c>
      <c r="E26" s="39">
        <v>0</v>
      </c>
      <c r="F26" s="39">
        <v>0</v>
      </c>
      <c r="G26" s="39">
        <v>0</v>
      </c>
      <c r="H26" s="40">
        <v>-0.13351381777583271</v>
      </c>
      <c r="I26" s="40">
        <v>0</v>
      </c>
      <c r="J26" s="40">
        <v>-0.13351381777583271</v>
      </c>
    </row>
    <row r="27" spans="1:10" ht="11.25" customHeight="1" x14ac:dyDescent="0.2">
      <c r="A27" s="49">
        <v>44531</v>
      </c>
      <c r="B27" s="39">
        <v>3391.38</v>
      </c>
      <c r="C27" s="39">
        <v>2938.5839086713963</v>
      </c>
      <c r="D27" s="39">
        <v>0</v>
      </c>
      <c r="E27" s="39">
        <v>0</v>
      </c>
      <c r="F27" s="39">
        <v>0</v>
      </c>
      <c r="G27" s="39">
        <v>0</v>
      </c>
      <c r="H27" s="40">
        <v>-0.13351381777583282</v>
      </c>
      <c r="I27" s="40">
        <v>0</v>
      </c>
      <c r="J27" s="40">
        <v>-0.13351381777583282</v>
      </c>
    </row>
    <row r="28" spans="1:10" ht="11.25" customHeight="1" x14ac:dyDescent="0.2">
      <c r="A28" s="49">
        <v>44562</v>
      </c>
      <c r="B28" s="39">
        <v>2553.75</v>
      </c>
      <c r="C28" s="39">
        <v>2212.7890878549674</v>
      </c>
      <c r="D28" s="39">
        <v>0</v>
      </c>
      <c r="E28" s="39">
        <v>0</v>
      </c>
      <c r="F28" s="39">
        <v>0</v>
      </c>
      <c r="G28" s="39">
        <v>0</v>
      </c>
      <c r="H28" s="40">
        <v>-0.1335138177758326</v>
      </c>
      <c r="I28" s="40">
        <v>0</v>
      </c>
      <c r="J28" s="40">
        <v>-0.1335138177758326</v>
      </c>
    </row>
    <row r="29" spans="1:10" ht="11.25" customHeight="1" x14ac:dyDescent="0.2">
      <c r="A29" s="49">
        <v>44593</v>
      </c>
      <c r="B29" s="39">
        <v>3023.64</v>
      </c>
      <c r="C29" s="39">
        <v>2619.942280020281</v>
      </c>
      <c r="D29" s="39">
        <v>0</v>
      </c>
      <c r="E29" s="39">
        <v>0</v>
      </c>
      <c r="F29" s="39">
        <v>0</v>
      </c>
      <c r="G29" s="39">
        <v>0</v>
      </c>
      <c r="H29" s="40">
        <v>-0.13351381777583271</v>
      </c>
      <c r="I29" s="40">
        <v>0</v>
      </c>
      <c r="J29" s="40">
        <v>-0.13351381777583271</v>
      </c>
    </row>
    <row r="30" spans="1:10" ht="11.25" customHeight="1" x14ac:dyDescent="0.2">
      <c r="A30" s="49">
        <v>44621</v>
      </c>
      <c r="B30" s="39">
        <v>3227.94</v>
      </c>
      <c r="C30" s="39">
        <v>2796.9654070486786</v>
      </c>
      <c r="D30" s="39">
        <v>0</v>
      </c>
      <c r="E30" s="39">
        <v>0</v>
      </c>
      <c r="F30" s="39">
        <v>0</v>
      </c>
      <c r="G30" s="39">
        <v>0</v>
      </c>
      <c r="H30" s="40">
        <v>-0.13351381777583271</v>
      </c>
      <c r="I30" s="40">
        <v>0</v>
      </c>
      <c r="J30" s="40">
        <v>-0.13351381777583271</v>
      </c>
    </row>
    <row r="31" spans="1:10" ht="11.25" customHeight="1" x14ac:dyDescent="0.2">
      <c r="A31" s="49">
        <v>44652</v>
      </c>
      <c r="B31" s="39">
        <v>2901.06</v>
      </c>
      <c r="C31" s="39">
        <v>2513.7284038032426</v>
      </c>
      <c r="D31" s="39">
        <v>0</v>
      </c>
      <c r="E31" s="39">
        <v>0</v>
      </c>
      <c r="F31" s="39">
        <v>0</v>
      </c>
      <c r="G31" s="39">
        <v>0</v>
      </c>
      <c r="H31" s="40">
        <v>-0.13351381777583271</v>
      </c>
      <c r="I31" s="40">
        <v>0</v>
      </c>
      <c r="J31" s="40">
        <v>-0.13351381777583271</v>
      </c>
    </row>
    <row r="32" spans="1:10" ht="11.25" customHeight="1" x14ac:dyDescent="0.2">
      <c r="A32" s="49">
        <v>44682</v>
      </c>
      <c r="B32" s="39">
        <v>2901.06</v>
      </c>
      <c r="C32" s="39">
        <v>2513.7284038032426</v>
      </c>
      <c r="D32" s="39">
        <v>0</v>
      </c>
      <c r="E32" s="39">
        <v>0</v>
      </c>
      <c r="F32" s="39">
        <v>0</v>
      </c>
      <c r="G32" s="39">
        <v>0</v>
      </c>
      <c r="H32" s="40">
        <v>-0.13351381777583271</v>
      </c>
      <c r="I32" s="40">
        <v>0</v>
      </c>
      <c r="J32" s="40">
        <v>-0.13351381777583271</v>
      </c>
    </row>
    <row r="33" spans="1:10" ht="11.25" customHeight="1" x14ac:dyDescent="0.2">
      <c r="A33" s="49">
        <v>44713</v>
      </c>
      <c r="B33" s="39">
        <v>3513.96</v>
      </c>
      <c r="C33" s="39">
        <v>3044.7977848884348</v>
      </c>
      <c r="D33" s="39">
        <v>0</v>
      </c>
      <c r="E33" s="39">
        <v>0</v>
      </c>
      <c r="F33" s="39">
        <v>0</v>
      </c>
      <c r="G33" s="39">
        <v>0</v>
      </c>
      <c r="H33" s="40">
        <v>-0.13351381777583271</v>
      </c>
      <c r="I33" s="40">
        <v>0</v>
      </c>
      <c r="J33" s="40">
        <v>-0.13351381777583271</v>
      </c>
    </row>
    <row r="34" spans="1:10" ht="11.25" customHeight="1" x14ac:dyDescent="0.2">
      <c r="A34" s="49">
        <v>44743</v>
      </c>
      <c r="B34" s="39">
        <v>3125.79</v>
      </c>
      <c r="C34" s="39">
        <v>2708.4538435344798</v>
      </c>
      <c r="D34" s="39">
        <v>0</v>
      </c>
      <c r="E34" s="39">
        <v>0</v>
      </c>
      <c r="F34" s="39">
        <v>0</v>
      </c>
      <c r="G34" s="39">
        <v>0</v>
      </c>
      <c r="H34" s="40">
        <v>-0.13351381777583271</v>
      </c>
      <c r="I34" s="40">
        <v>0</v>
      </c>
      <c r="J34" s="40">
        <v>-0.13351381777583271</v>
      </c>
    </row>
    <row r="35" spans="1:10" ht="11.25" customHeight="1" x14ac:dyDescent="0.2">
      <c r="A35" s="48" t="s">
        <v>36</v>
      </c>
      <c r="B35" s="39">
        <v>0</v>
      </c>
      <c r="C35" s="39">
        <v>0</v>
      </c>
      <c r="D35" s="39">
        <v>17063.642749999995</v>
      </c>
      <c r="E35" s="39">
        <v>15424.290664114853</v>
      </c>
      <c r="F35" s="39">
        <v>6233.2041200000021</v>
      </c>
      <c r="G35" s="39">
        <v>5646.9028968377661</v>
      </c>
      <c r="H35" s="40">
        <v>-9.607280871402113E-2</v>
      </c>
      <c r="I35" s="40">
        <v>-9.4060969587216992E-2</v>
      </c>
      <c r="J35" s="40">
        <v>-9.5534529692660408E-2</v>
      </c>
    </row>
    <row r="36" spans="1:10" ht="11.25" customHeight="1" x14ac:dyDescent="0.2">
      <c r="A36" s="49">
        <v>44409</v>
      </c>
      <c r="B36" s="39">
        <v>0</v>
      </c>
      <c r="C36" s="39">
        <v>0</v>
      </c>
      <c r="D36" s="39">
        <v>3602.0564999999997</v>
      </c>
      <c r="E36" s="39">
        <v>3255.9968148984026</v>
      </c>
      <c r="F36" s="39">
        <v>1315.80072</v>
      </c>
      <c r="G36" s="39">
        <v>1192.0352284932419</v>
      </c>
      <c r="H36" s="40">
        <v>-9.6072808714021352E-2</v>
      </c>
      <c r="I36" s="40">
        <v>-9.4060969587216881E-2</v>
      </c>
      <c r="J36" s="40">
        <v>-9.5534529692660741E-2</v>
      </c>
    </row>
    <row r="37" spans="1:10" ht="11.25" customHeight="1" x14ac:dyDescent="0.2">
      <c r="A37" s="49">
        <v>44440</v>
      </c>
      <c r="B37" s="39">
        <v>0</v>
      </c>
      <c r="C37" s="39">
        <v>0</v>
      </c>
      <c r="D37" s="39">
        <v>3667.3420000000001</v>
      </c>
      <c r="E37" s="39">
        <v>3315.0101535451035</v>
      </c>
      <c r="F37" s="39">
        <v>1339.6489600000002</v>
      </c>
      <c r="G37" s="39">
        <v>1213.6402799158934</v>
      </c>
      <c r="H37" s="40">
        <v>-9.6072808714021352E-2</v>
      </c>
      <c r="I37" s="40">
        <v>-9.4060969587216881E-2</v>
      </c>
      <c r="J37" s="40">
        <v>-9.5534529692660519E-2</v>
      </c>
    </row>
    <row r="38" spans="1:10" ht="11.25" customHeight="1" x14ac:dyDescent="0.2">
      <c r="A38" s="49">
        <v>44470</v>
      </c>
      <c r="B38" s="39">
        <v>0</v>
      </c>
      <c r="C38" s="39">
        <v>0</v>
      </c>
      <c r="D38" s="39">
        <v>3491.355</v>
      </c>
      <c r="E38" s="39">
        <v>3155.9307189322576</v>
      </c>
      <c r="F38" s="39">
        <v>1275.3624000000002</v>
      </c>
      <c r="G38" s="39">
        <v>1155.40057608092</v>
      </c>
      <c r="H38" s="40">
        <v>-9.6072808714021463E-2</v>
      </c>
      <c r="I38" s="40">
        <v>-9.4060969587217103E-2</v>
      </c>
      <c r="J38" s="40">
        <v>-9.5534529692660741E-2</v>
      </c>
    </row>
    <row r="39" spans="1:10" ht="11.25" customHeight="1" x14ac:dyDescent="0.2">
      <c r="A39" s="49">
        <v>44501</v>
      </c>
      <c r="B39" s="39">
        <v>0</v>
      </c>
      <c r="C39" s="39">
        <v>0</v>
      </c>
      <c r="D39" s="39">
        <v>3795.0744999999997</v>
      </c>
      <c r="E39" s="39">
        <v>3430.4710335060395</v>
      </c>
      <c r="F39" s="39">
        <v>1386.3085600000002</v>
      </c>
      <c r="G39" s="39">
        <v>1255.9110326993416</v>
      </c>
      <c r="H39" s="40">
        <v>-9.6072808714021352E-2</v>
      </c>
      <c r="I39" s="40">
        <v>-9.4060969587216992E-2</v>
      </c>
      <c r="J39" s="40">
        <v>-9.553452969266063E-2</v>
      </c>
    </row>
    <row r="40" spans="1:10" ht="11.25" customHeight="1" x14ac:dyDescent="0.2">
      <c r="A40" s="49">
        <v>44531</v>
      </c>
      <c r="B40" s="39">
        <v>0</v>
      </c>
      <c r="C40" s="39">
        <v>0</v>
      </c>
      <c r="D40" s="39">
        <v>288.10775000000001</v>
      </c>
      <c r="E40" s="39">
        <v>260.4284292452229</v>
      </c>
      <c r="F40" s="39">
        <v>105.24332000000001</v>
      </c>
      <c r="G40" s="39">
        <v>95.344031278222275</v>
      </c>
      <c r="H40" s="40">
        <v>-9.6072808714021463E-2</v>
      </c>
      <c r="I40" s="40">
        <v>-9.4060969587216881E-2</v>
      </c>
      <c r="J40" s="40">
        <v>-9.5534529692660852E-2</v>
      </c>
    </row>
    <row r="41" spans="1:10" ht="11.25" customHeight="1" x14ac:dyDescent="0.2">
      <c r="A41" s="49">
        <v>44562</v>
      </c>
      <c r="B41" s="39">
        <v>0</v>
      </c>
      <c r="C41" s="39">
        <v>0</v>
      </c>
      <c r="D41" s="39">
        <v>198.69500000000002</v>
      </c>
      <c r="E41" s="39">
        <v>179.60581327256753</v>
      </c>
      <c r="F41" s="39">
        <v>72.581600000000009</v>
      </c>
      <c r="G41" s="39">
        <v>65.754504329808469</v>
      </c>
      <c r="H41" s="40">
        <v>-9.6072808714021463E-2</v>
      </c>
      <c r="I41" s="40">
        <v>-9.4060969587216881E-2</v>
      </c>
      <c r="J41" s="40">
        <v>-9.553452969266063E-2</v>
      </c>
    </row>
    <row r="42" spans="1:10" ht="11.25" customHeight="1" x14ac:dyDescent="0.2">
      <c r="A42" s="49">
        <v>44593</v>
      </c>
      <c r="B42" s="39">
        <v>0</v>
      </c>
      <c r="C42" s="39">
        <v>0</v>
      </c>
      <c r="D42" s="39">
        <v>161.7945</v>
      </c>
      <c r="E42" s="39">
        <v>146.25044795051926</v>
      </c>
      <c r="F42" s="39">
        <v>59.102160000000005</v>
      </c>
      <c r="G42" s="39">
        <v>53.542953525701179</v>
      </c>
      <c r="H42" s="40">
        <v>-9.6072808714021463E-2</v>
      </c>
      <c r="I42" s="40">
        <v>-9.4060969587216881E-2</v>
      </c>
      <c r="J42" s="40">
        <v>-9.5534529692660741E-2</v>
      </c>
    </row>
    <row r="43" spans="1:10" ht="11.25" customHeight="1" x14ac:dyDescent="0.2">
      <c r="A43" s="49">
        <v>44621</v>
      </c>
      <c r="B43" s="39">
        <v>0</v>
      </c>
      <c r="C43" s="39">
        <v>0</v>
      </c>
      <c r="D43" s="39">
        <v>261.142</v>
      </c>
      <c r="E43" s="39">
        <v>236.05335458680301</v>
      </c>
      <c r="F43" s="39">
        <v>95.392960000000002</v>
      </c>
      <c r="G43" s="39">
        <v>86.4202056906054</v>
      </c>
      <c r="H43" s="40">
        <v>-9.6072808714021463E-2</v>
      </c>
      <c r="I43" s="40">
        <v>-9.4060969587216992E-2</v>
      </c>
      <c r="J43" s="40">
        <v>-9.5534529692660741E-2</v>
      </c>
    </row>
    <row r="44" spans="1:10" ht="11.25" customHeight="1" x14ac:dyDescent="0.2">
      <c r="A44" s="49">
        <v>44652</v>
      </c>
      <c r="B44" s="39">
        <v>0</v>
      </c>
      <c r="C44" s="39">
        <v>0</v>
      </c>
      <c r="D44" s="39">
        <v>254.04575</v>
      </c>
      <c r="E44" s="39">
        <v>229.63886125563988</v>
      </c>
      <c r="F44" s="39">
        <v>92.800760000000011</v>
      </c>
      <c r="G44" s="39">
        <v>84.071830535969383</v>
      </c>
      <c r="H44" s="40">
        <v>-9.6072808714021463E-2</v>
      </c>
      <c r="I44" s="40">
        <v>-9.4060969587216992E-2</v>
      </c>
      <c r="J44" s="40">
        <v>-9.553452969266063E-2</v>
      </c>
    </row>
    <row r="45" spans="1:10" ht="11.25" customHeight="1" x14ac:dyDescent="0.2">
      <c r="A45" s="49">
        <v>44682</v>
      </c>
      <c r="B45" s="39">
        <v>0</v>
      </c>
      <c r="C45" s="39">
        <v>0</v>
      </c>
      <c r="D45" s="39">
        <v>245.53025</v>
      </c>
      <c r="E45" s="39">
        <v>221.94146925824413</v>
      </c>
      <c r="F45" s="39">
        <v>89.690120000000007</v>
      </c>
      <c r="G45" s="39">
        <v>81.25378035040616</v>
      </c>
      <c r="H45" s="40">
        <v>-9.6072808714021463E-2</v>
      </c>
      <c r="I45" s="40">
        <v>-9.4060969587216992E-2</v>
      </c>
      <c r="J45" s="40">
        <v>-9.5534529692660741E-2</v>
      </c>
    </row>
    <row r="46" spans="1:10" ht="11.25" customHeight="1" x14ac:dyDescent="0.2">
      <c r="A46" s="49">
        <v>44713</v>
      </c>
      <c r="B46" s="39">
        <v>0</v>
      </c>
      <c r="C46" s="39">
        <v>0</v>
      </c>
      <c r="D46" s="39">
        <v>455.57925</v>
      </c>
      <c r="E46" s="39">
        <v>411.81047186067269</v>
      </c>
      <c r="F46" s="39">
        <v>166.41924000000003</v>
      </c>
      <c r="G46" s="39">
        <v>150.76568492763226</v>
      </c>
      <c r="H46" s="40">
        <v>-9.6072808714021352E-2</v>
      </c>
      <c r="I46" s="40">
        <v>-9.4060969587216992E-2</v>
      </c>
      <c r="J46" s="40">
        <v>-9.553452969266063E-2</v>
      </c>
    </row>
    <row r="47" spans="1:10" ht="11.25" customHeight="1" x14ac:dyDescent="0.2">
      <c r="A47" s="49">
        <v>44743</v>
      </c>
      <c r="B47" s="39">
        <v>0</v>
      </c>
      <c r="C47" s="39">
        <v>0</v>
      </c>
      <c r="D47" s="39">
        <v>642.92025000000001</v>
      </c>
      <c r="E47" s="39">
        <v>581.15309580337919</v>
      </c>
      <c r="F47" s="39">
        <v>234.85332000000002</v>
      </c>
      <c r="G47" s="39">
        <v>212.76278901002311</v>
      </c>
      <c r="H47" s="40">
        <v>-9.6072808714021352E-2</v>
      </c>
      <c r="I47" s="40">
        <v>-9.4060969587216881E-2</v>
      </c>
      <c r="J47" s="40">
        <v>-9.5534529692660741E-2</v>
      </c>
    </row>
    <row r="48" spans="1:10" ht="11.25" customHeight="1" x14ac:dyDescent="0.2">
      <c r="A48" s="44" t="s">
        <v>33</v>
      </c>
      <c r="B48" s="39">
        <v>235292.31</v>
      </c>
      <c r="C48" s="39">
        <v>203877.53539860528</v>
      </c>
      <c r="D48" s="39">
        <v>237912.43822999994</v>
      </c>
      <c r="E48" s="39">
        <v>300929.47445244039</v>
      </c>
      <c r="F48" s="39">
        <v>609947.64402000012</v>
      </c>
      <c r="G48" s="39">
        <v>552763.27087306464</v>
      </c>
      <c r="H48" s="40">
        <v>6.6783483765225471E-2</v>
      </c>
      <c r="I48" s="40">
        <v>-9.375292077537789E-2</v>
      </c>
      <c r="J48" s="40">
        <v>-2.3618201565108299E-2</v>
      </c>
    </row>
    <row r="49" spans="1:10" ht="11.25" customHeight="1" x14ac:dyDescent="0.2">
      <c r="A49" s="45" t="s">
        <v>25</v>
      </c>
      <c r="B49" s="39">
        <v>235292.31</v>
      </c>
      <c r="C49" s="39">
        <v>203877.53539860528</v>
      </c>
      <c r="D49" s="39">
        <v>237912.43822999994</v>
      </c>
      <c r="E49" s="39">
        <v>300929.47445244039</v>
      </c>
      <c r="F49" s="39">
        <v>609947.64402000012</v>
      </c>
      <c r="G49" s="39">
        <v>552763.27087306464</v>
      </c>
      <c r="H49" s="40">
        <v>6.6783483765225471E-2</v>
      </c>
      <c r="I49" s="40">
        <v>-9.375292077537789E-2</v>
      </c>
      <c r="J49" s="40">
        <v>-2.3618201565108299E-2</v>
      </c>
    </row>
    <row r="50" spans="1:10" ht="11.25" customHeight="1" x14ac:dyDescent="0.2">
      <c r="A50" s="46" t="s">
        <v>25</v>
      </c>
      <c r="B50" s="39">
        <v>235292.31</v>
      </c>
      <c r="C50" s="39">
        <v>203877.53539860528</v>
      </c>
      <c r="D50" s="39">
        <v>237912.43822999994</v>
      </c>
      <c r="E50" s="39">
        <v>300929.47445244039</v>
      </c>
      <c r="F50" s="39">
        <v>609947.64402000012</v>
      </c>
      <c r="G50" s="39">
        <v>552763.27087306464</v>
      </c>
      <c r="H50" s="40">
        <v>6.6783483765225471E-2</v>
      </c>
      <c r="I50" s="40">
        <v>-9.375292077537789E-2</v>
      </c>
      <c r="J50" s="40">
        <v>-2.3618201565108299E-2</v>
      </c>
    </row>
    <row r="51" spans="1:10" ht="11.25" customHeight="1" x14ac:dyDescent="0.2">
      <c r="A51" s="47" t="s">
        <v>25</v>
      </c>
      <c r="B51" s="39">
        <v>235292.31</v>
      </c>
      <c r="C51" s="39">
        <v>203877.53539860528</v>
      </c>
      <c r="D51" s="39">
        <v>237912.43822999994</v>
      </c>
      <c r="E51" s="39">
        <v>300929.47445244039</v>
      </c>
      <c r="F51" s="39">
        <v>609947.64402000012</v>
      </c>
      <c r="G51" s="39">
        <v>552763.27087306464</v>
      </c>
      <c r="H51" s="40">
        <v>6.6783483765225471E-2</v>
      </c>
      <c r="I51" s="40">
        <v>-9.375292077537789E-2</v>
      </c>
      <c r="J51" s="40">
        <v>-2.3618201565108299E-2</v>
      </c>
    </row>
    <row r="52" spans="1:10" ht="11.25" customHeight="1" x14ac:dyDescent="0.2">
      <c r="A52" s="48" t="s">
        <v>37</v>
      </c>
      <c r="B52" s="39">
        <v>0</v>
      </c>
      <c r="C52" s="39">
        <v>0</v>
      </c>
      <c r="D52" s="39">
        <v>132544.47972999996</v>
      </c>
      <c r="E52" s="39">
        <v>205684.51167399791</v>
      </c>
      <c r="F52" s="39">
        <v>571457.62154000008</v>
      </c>
      <c r="G52" s="39">
        <v>517893.65722696751</v>
      </c>
      <c r="H52" s="40">
        <v>0.55181499895724073</v>
      </c>
      <c r="I52" s="40">
        <v>-9.3732172420213811E-2</v>
      </c>
      <c r="J52" s="40">
        <v>2.7806831251854014E-2</v>
      </c>
    </row>
    <row r="53" spans="1:10" ht="11.25" customHeight="1" x14ac:dyDescent="0.2">
      <c r="A53" s="49">
        <v>44409</v>
      </c>
      <c r="B53" s="39">
        <v>0</v>
      </c>
      <c r="C53" s="39">
        <v>0</v>
      </c>
      <c r="D53" s="39">
        <v>12641.64014</v>
      </c>
      <c r="E53" s="39">
        <v>19617.486780671908</v>
      </c>
      <c r="F53" s="39">
        <v>54503.67772</v>
      </c>
      <c r="G53" s="39">
        <v>49394.929602413191</v>
      </c>
      <c r="H53" s="40">
        <v>0.55181499895724051</v>
      </c>
      <c r="I53" s="40">
        <v>-9.3732172420213811E-2</v>
      </c>
      <c r="J53" s="40">
        <v>2.7806831251853792E-2</v>
      </c>
    </row>
    <row r="54" spans="1:10" ht="11.25" customHeight="1" x14ac:dyDescent="0.2">
      <c r="A54" s="49">
        <v>44440</v>
      </c>
      <c r="B54" s="39">
        <v>0</v>
      </c>
      <c r="C54" s="39">
        <v>0</v>
      </c>
      <c r="D54" s="39">
        <v>12171.086379999999</v>
      </c>
      <c r="E54" s="39">
        <v>18887.274398088182</v>
      </c>
      <c r="F54" s="39">
        <v>52474.913239999994</v>
      </c>
      <c r="G54" s="39">
        <v>47556.325624452555</v>
      </c>
      <c r="H54" s="40">
        <v>0.55181499895724051</v>
      </c>
      <c r="I54" s="40">
        <v>-9.3732172420213811E-2</v>
      </c>
      <c r="J54" s="40">
        <v>2.7806831251853792E-2</v>
      </c>
    </row>
    <row r="55" spans="1:10" ht="11.25" customHeight="1" x14ac:dyDescent="0.2">
      <c r="A55" s="49">
        <v>44470</v>
      </c>
      <c r="B55" s="39">
        <v>0</v>
      </c>
      <c r="C55" s="39">
        <v>0</v>
      </c>
      <c r="D55" s="39">
        <v>13416.046410000001</v>
      </c>
      <c r="E55" s="39">
        <v>20819.222045744438</v>
      </c>
      <c r="F55" s="39">
        <v>57842.484180000007</v>
      </c>
      <c r="G55" s="39">
        <v>52420.782479626752</v>
      </c>
      <c r="H55" s="40">
        <v>0.55181499895724029</v>
      </c>
      <c r="I55" s="40">
        <v>-9.3732172420213922E-2</v>
      </c>
      <c r="J55" s="40">
        <v>2.780683125185357E-2</v>
      </c>
    </row>
    <row r="56" spans="1:10" ht="11.25" customHeight="1" x14ac:dyDescent="0.2">
      <c r="A56" s="49">
        <v>44501</v>
      </c>
      <c r="B56" s="39">
        <v>0</v>
      </c>
      <c r="C56" s="39">
        <v>0</v>
      </c>
      <c r="D56" s="39">
        <v>14505.53559</v>
      </c>
      <c r="E56" s="39">
        <v>22509.907696470062</v>
      </c>
      <c r="F56" s="39">
        <v>62539.751820000005</v>
      </c>
      <c r="G56" s="39">
        <v>56677.765019290375</v>
      </c>
      <c r="H56" s="40">
        <v>0.55181499895724029</v>
      </c>
      <c r="I56" s="40">
        <v>-9.3732172420213922E-2</v>
      </c>
      <c r="J56" s="40">
        <v>2.780683125185357E-2</v>
      </c>
    </row>
    <row r="57" spans="1:10" ht="11.25" customHeight="1" x14ac:dyDescent="0.2">
      <c r="A57" s="49">
        <v>44531</v>
      </c>
      <c r="B57" s="39">
        <v>0</v>
      </c>
      <c r="C57" s="39">
        <v>0</v>
      </c>
      <c r="D57" s="39">
        <v>11139.223189999999</v>
      </c>
      <c r="E57" s="39">
        <v>17286.013622974318</v>
      </c>
      <c r="F57" s="39">
        <v>48026.096619999997</v>
      </c>
      <c r="G57" s="39">
        <v>43524.506250944309</v>
      </c>
      <c r="H57" s="40">
        <v>0.55181499895724051</v>
      </c>
      <c r="I57" s="40">
        <v>-9.3732172420213811E-2</v>
      </c>
      <c r="J57" s="40">
        <v>2.7806831251853792E-2</v>
      </c>
    </row>
    <row r="58" spans="1:10" ht="11.25" customHeight="1" x14ac:dyDescent="0.2">
      <c r="A58" s="49">
        <v>44562</v>
      </c>
      <c r="B58" s="39">
        <v>0</v>
      </c>
      <c r="C58" s="39">
        <v>0</v>
      </c>
      <c r="D58" s="39">
        <v>9403.7754399999994</v>
      </c>
      <c r="E58" s="39">
        <v>14592.919774617721</v>
      </c>
      <c r="F58" s="39">
        <v>40543.81712</v>
      </c>
      <c r="G58" s="39">
        <v>36743.55706313454</v>
      </c>
      <c r="H58" s="40">
        <v>0.55181499895724029</v>
      </c>
      <c r="I58" s="40">
        <v>-9.3732172420213922E-2</v>
      </c>
      <c r="J58" s="40">
        <v>2.7806831251853792E-2</v>
      </c>
    </row>
    <row r="59" spans="1:10" ht="11.25" customHeight="1" x14ac:dyDescent="0.2">
      <c r="A59" s="49">
        <v>44593</v>
      </c>
      <c r="B59" s="39">
        <v>0</v>
      </c>
      <c r="C59" s="39">
        <v>0</v>
      </c>
      <c r="D59" s="39">
        <v>9732.9665399999994</v>
      </c>
      <c r="E59" s="39">
        <v>15103.763461120954</v>
      </c>
      <c r="F59" s="39">
        <v>41963.104919999998</v>
      </c>
      <c r="G59" s="39">
        <v>38029.811934351033</v>
      </c>
      <c r="H59" s="40">
        <v>0.55181499895724029</v>
      </c>
      <c r="I59" s="40">
        <v>-9.3732172420213811E-2</v>
      </c>
      <c r="J59" s="40">
        <v>2.780683125185357E-2</v>
      </c>
    </row>
    <row r="60" spans="1:10" ht="11.25" customHeight="1" x14ac:dyDescent="0.2">
      <c r="A60" s="49">
        <v>44621</v>
      </c>
      <c r="B60" s="39">
        <v>0</v>
      </c>
      <c r="C60" s="39">
        <v>0</v>
      </c>
      <c r="D60" s="39">
        <v>10578.054139999998</v>
      </c>
      <c r="E60" s="39">
        <v>16415.18307423373</v>
      </c>
      <c r="F60" s="39">
        <v>45606.649719999994</v>
      </c>
      <c r="G60" s="39">
        <v>41331.839364936663</v>
      </c>
      <c r="H60" s="40">
        <v>0.55181499895724029</v>
      </c>
      <c r="I60" s="40">
        <v>-9.37321724202137E-2</v>
      </c>
      <c r="J60" s="40">
        <v>2.7806831251853792E-2</v>
      </c>
    </row>
    <row r="61" spans="1:10" ht="11.25" customHeight="1" x14ac:dyDescent="0.2">
      <c r="A61" s="49">
        <v>44652</v>
      </c>
      <c r="B61" s="39">
        <v>0</v>
      </c>
      <c r="C61" s="39">
        <v>0</v>
      </c>
      <c r="D61" s="39">
        <v>8407.6389600000002</v>
      </c>
      <c r="E61" s="39">
        <v>13047.100243945253</v>
      </c>
      <c r="F61" s="39">
        <v>36249.034080000005</v>
      </c>
      <c r="G61" s="39">
        <v>32851.333367547231</v>
      </c>
      <c r="H61" s="40">
        <v>0.55181499895724029</v>
      </c>
      <c r="I61" s="40">
        <v>-9.3732172420214033E-2</v>
      </c>
      <c r="J61" s="40">
        <v>2.7806831251853348E-2</v>
      </c>
    </row>
    <row r="62" spans="1:10" ht="11.25" customHeight="1" x14ac:dyDescent="0.2">
      <c r="A62" s="49">
        <v>44682</v>
      </c>
      <c r="B62" s="39">
        <v>0</v>
      </c>
      <c r="C62" s="39">
        <v>0</v>
      </c>
      <c r="D62" s="39">
        <v>10396.823559999999</v>
      </c>
      <c r="E62" s="39">
        <v>16133.946741920012</v>
      </c>
      <c r="F62" s="39">
        <v>44825.284879999999</v>
      </c>
      <c r="G62" s="39">
        <v>40623.713548842636</v>
      </c>
      <c r="H62" s="40">
        <v>0.55181499895724051</v>
      </c>
      <c r="I62" s="40">
        <v>-9.3732172420213811E-2</v>
      </c>
      <c r="J62" s="40">
        <v>2.7806831251853792E-2</v>
      </c>
    </row>
    <row r="63" spans="1:10" ht="11.25" customHeight="1" x14ac:dyDescent="0.2">
      <c r="A63" s="49">
        <v>44713</v>
      </c>
      <c r="B63" s="39">
        <v>0</v>
      </c>
      <c r="C63" s="39">
        <v>0</v>
      </c>
      <c r="D63" s="39">
        <v>10060.402889999999</v>
      </c>
      <c r="E63" s="39">
        <v>15611.884100254767</v>
      </c>
      <c r="F63" s="39">
        <v>43374.827219999999</v>
      </c>
      <c r="G63" s="39">
        <v>39309.210436317975</v>
      </c>
      <c r="H63" s="40">
        <v>0.55181499895724029</v>
      </c>
      <c r="I63" s="40">
        <v>-9.3732172420213811E-2</v>
      </c>
      <c r="J63" s="40">
        <v>2.7806831251853792E-2</v>
      </c>
    </row>
    <row r="64" spans="1:10" ht="11.25" customHeight="1" x14ac:dyDescent="0.2">
      <c r="A64" s="49">
        <v>44743</v>
      </c>
      <c r="B64" s="39">
        <v>0</v>
      </c>
      <c r="C64" s="39">
        <v>0</v>
      </c>
      <c r="D64" s="39">
        <v>10091.286489999999</v>
      </c>
      <c r="E64" s="39">
        <v>15659.809733956563</v>
      </c>
      <c r="F64" s="39">
        <v>43507.980019999995</v>
      </c>
      <c r="G64" s="39">
        <v>39429.88253511014</v>
      </c>
      <c r="H64" s="40">
        <v>0.55181499895724051</v>
      </c>
      <c r="I64" s="40">
        <v>-9.3732172420213811E-2</v>
      </c>
      <c r="J64" s="40">
        <v>2.7806831251853792E-2</v>
      </c>
    </row>
    <row r="65" spans="1:10" ht="11.25" customHeight="1" x14ac:dyDescent="0.2">
      <c r="A65" s="48" t="s">
        <v>25</v>
      </c>
      <c r="B65" s="39">
        <v>235292.31</v>
      </c>
      <c r="C65" s="39">
        <v>203877.53539860528</v>
      </c>
      <c r="D65" s="39">
        <v>0</v>
      </c>
      <c r="E65" s="39">
        <v>0</v>
      </c>
      <c r="F65" s="39">
        <v>0</v>
      </c>
      <c r="G65" s="39">
        <v>0</v>
      </c>
      <c r="H65" s="40">
        <v>-0.1335138177758326</v>
      </c>
      <c r="I65" s="40">
        <v>0</v>
      </c>
      <c r="J65" s="40">
        <v>-0.1335138177758326</v>
      </c>
    </row>
    <row r="66" spans="1:10" ht="11.25" customHeight="1" x14ac:dyDescent="0.2">
      <c r="A66" s="49">
        <v>44409</v>
      </c>
      <c r="B66" s="39">
        <v>21655.8</v>
      </c>
      <c r="C66" s="39">
        <v>18764.451465010123</v>
      </c>
      <c r="D66" s="39">
        <v>0</v>
      </c>
      <c r="E66" s="39">
        <v>0</v>
      </c>
      <c r="F66" s="39">
        <v>0</v>
      </c>
      <c r="G66" s="39">
        <v>0</v>
      </c>
      <c r="H66" s="40">
        <v>-0.1335138177758326</v>
      </c>
      <c r="I66" s="40">
        <v>0</v>
      </c>
      <c r="J66" s="40">
        <v>-0.1335138177758326</v>
      </c>
    </row>
    <row r="67" spans="1:10" ht="11.25" customHeight="1" x14ac:dyDescent="0.2">
      <c r="A67" s="49">
        <v>44440</v>
      </c>
      <c r="B67" s="39">
        <v>21594.51</v>
      </c>
      <c r="C67" s="39">
        <v>18711.344526901601</v>
      </c>
      <c r="D67" s="39">
        <v>0</v>
      </c>
      <c r="E67" s="39">
        <v>0</v>
      </c>
      <c r="F67" s="39">
        <v>0</v>
      </c>
      <c r="G67" s="39">
        <v>0</v>
      </c>
      <c r="H67" s="40">
        <v>-0.13351381777583271</v>
      </c>
      <c r="I67" s="40">
        <v>0</v>
      </c>
      <c r="J67" s="40">
        <v>-0.13351381777583271</v>
      </c>
    </row>
    <row r="68" spans="1:10" ht="11.25" customHeight="1" x14ac:dyDescent="0.2">
      <c r="A68" s="49">
        <v>44470</v>
      </c>
      <c r="B68" s="39">
        <v>19510.650000000001</v>
      </c>
      <c r="C68" s="39">
        <v>16905.70863121195</v>
      </c>
      <c r="D68" s="39">
        <v>0</v>
      </c>
      <c r="E68" s="39">
        <v>0</v>
      </c>
      <c r="F68" s="39">
        <v>0</v>
      </c>
      <c r="G68" s="39">
        <v>0</v>
      </c>
      <c r="H68" s="40">
        <v>-0.13351381777583271</v>
      </c>
      <c r="I68" s="40">
        <v>0</v>
      </c>
      <c r="J68" s="40">
        <v>-0.13351381777583271</v>
      </c>
    </row>
    <row r="69" spans="1:10" ht="11.25" customHeight="1" x14ac:dyDescent="0.2">
      <c r="A69" s="49">
        <v>44501</v>
      </c>
      <c r="B69" s="39">
        <v>20082.689999999999</v>
      </c>
      <c r="C69" s="39">
        <v>17401.373386891461</v>
      </c>
      <c r="D69" s="39">
        <v>0</v>
      </c>
      <c r="E69" s="39">
        <v>0</v>
      </c>
      <c r="F69" s="39">
        <v>0</v>
      </c>
      <c r="G69" s="39">
        <v>0</v>
      </c>
      <c r="H69" s="40">
        <v>-0.13351381777583271</v>
      </c>
      <c r="I69" s="40">
        <v>0</v>
      </c>
      <c r="J69" s="40">
        <v>-0.13351381777583271</v>
      </c>
    </row>
    <row r="70" spans="1:10" ht="11.25" customHeight="1" x14ac:dyDescent="0.2">
      <c r="A70" s="49">
        <v>44531</v>
      </c>
      <c r="B70" s="39">
        <v>22043.97</v>
      </c>
      <c r="C70" s="39">
        <v>19100.795406364075</v>
      </c>
      <c r="D70" s="39">
        <v>0</v>
      </c>
      <c r="E70" s="39">
        <v>0</v>
      </c>
      <c r="F70" s="39">
        <v>0</v>
      </c>
      <c r="G70" s="39">
        <v>0</v>
      </c>
      <c r="H70" s="40">
        <v>-0.13351381777583282</v>
      </c>
      <c r="I70" s="40">
        <v>0</v>
      </c>
      <c r="J70" s="40">
        <v>-0.13351381777583282</v>
      </c>
    </row>
    <row r="71" spans="1:10" ht="11.25" customHeight="1" x14ac:dyDescent="0.2">
      <c r="A71" s="49">
        <v>44562</v>
      </c>
      <c r="B71" s="39">
        <v>17855.82</v>
      </c>
      <c r="C71" s="39">
        <v>15471.821302281931</v>
      </c>
      <c r="D71" s="39">
        <v>0</v>
      </c>
      <c r="E71" s="39">
        <v>0</v>
      </c>
      <c r="F71" s="39">
        <v>0</v>
      </c>
      <c r="G71" s="39">
        <v>0</v>
      </c>
      <c r="H71" s="40">
        <v>-0.13351381777583271</v>
      </c>
      <c r="I71" s="40">
        <v>0</v>
      </c>
      <c r="J71" s="40">
        <v>-0.13351381777583271</v>
      </c>
    </row>
    <row r="72" spans="1:10" ht="11.25" customHeight="1" x14ac:dyDescent="0.2">
      <c r="A72" s="49">
        <v>44593</v>
      </c>
      <c r="B72" s="39">
        <v>19122.48</v>
      </c>
      <c r="C72" s="39">
        <v>16569.364689857994</v>
      </c>
      <c r="D72" s="39">
        <v>0</v>
      </c>
      <c r="E72" s="39">
        <v>0</v>
      </c>
      <c r="F72" s="39">
        <v>0</v>
      </c>
      <c r="G72" s="39">
        <v>0</v>
      </c>
      <c r="H72" s="40">
        <v>-0.13351381777583271</v>
      </c>
      <c r="I72" s="40">
        <v>0</v>
      </c>
      <c r="J72" s="40">
        <v>-0.13351381777583271</v>
      </c>
    </row>
    <row r="73" spans="1:10" ht="11.25" customHeight="1" x14ac:dyDescent="0.2">
      <c r="A73" s="49">
        <v>44621</v>
      </c>
      <c r="B73" s="39">
        <v>18121.41</v>
      </c>
      <c r="C73" s="39">
        <v>15701.951367418847</v>
      </c>
      <c r="D73" s="39">
        <v>0</v>
      </c>
      <c r="E73" s="39">
        <v>0</v>
      </c>
      <c r="F73" s="39">
        <v>0</v>
      </c>
      <c r="G73" s="39">
        <v>0</v>
      </c>
      <c r="H73" s="40">
        <v>-0.13351381777583271</v>
      </c>
      <c r="I73" s="40">
        <v>0</v>
      </c>
      <c r="J73" s="40">
        <v>-0.13351381777583271</v>
      </c>
    </row>
    <row r="74" spans="1:10" ht="11.25" customHeight="1" x14ac:dyDescent="0.2">
      <c r="A74" s="49">
        <v>44652</v>
      </c>
      <c r="B74" s="39">
        <v>18856.89</v>
      </c>
      <c r="C74" s="39">
        <v>16339.234624721077</v>
      </c>
      <c r="D74" s="39">
        <v>0</v>
      </c>
      <c r="E74" s="39">
        <v>0</v>
      </c>
      <c r="F74" s="39">
        <v>0</v>
      </c>
      <c r="G74" s="39">
        <v>0</v>
      </c>
      <c r="H74" s="40">
        <v>-0.13351381777583271</v>
      </c>
      <c r="I74" s="40">
        <v>0</v>
      </c>
      <c r="J74" s="40">
        <v>-0.13351381777583271</v>
      </c>
    </row>
    <row r="75" spans="1:10" ht="11.25" customHeight="1" x14ac:dyDescent="0.2">
      <c r="A75" s="49">
        <v>44682</v>
      </c>
      <c r="B75" s="39">
        <v>18427.86</v>
      </c>
      <c r="C75" s="39">
        <v>15967.486057961443</v>
      </c>
      <c r="D75" s="39">
        <v>0</v>
      </c>
      <c r="E75" s="39">
        <v>0</v>
      </c>
      <c r="F75" s="39">
        <v>0</v>
      </c>
      <c r="G75" s="39">
        <v>0</v>
      </c>
      <c r="H75" s="40">
        <v>-0.13351381777583271</v>
      </c>
      <c r="I75" s="40">
        <v>0</v>
      </c>
      <c r="J75" s="40">
        <v>-0.13351381777583271</v>
      </c>
    </row>
    <row r="76" spans="1:10" ht="11.25" customHeight="1" x14ac:dyDescent="0.2">
      <c r="A76" s="49">
        <v>44713</v>
      </c>
      <c r="B76" s="39">
        <v>19020.329999999998</v>
      </c>
      <c r="C76" s="39">
        <v>16480.853126343794</v>
      </c>
      <c r="D76" s="39">
        <v>0</v>
      </c>
      <c r="E76" s="39">
        <v>0</v>
      </c>
      <c r="F76" s="39">
        <v>0</v>
      </c>
      <c r="G76" s="39">
        <v>0</v>
      </c>
      <c r="H76" s="40">
        <v>-0.13351381777583271</v>
      </c>
      <c r="I76" s="40">
        <v>0</v>
      </c>
      <c r="J76" s="40">
        <v>-0.13351381777583271</v>
      </c>
    </row>
    <row r="77" spans="1:10" ht="11.25" customHeight="1" x14ac:dyDescent="0.2">
      <c r="A77" s="49">
        <v>44743</v>
      </c>
      <c r="B77" s="39">
        <v>18999.900000000001</v>
      </c>
      <c r="C77" s="39">
        <v>16463.150813640957</v>
      </c>
      <c r="D77" s="39">
        <v>0</v>
      </c>
      <c r="E77" s="39">
        <v>0</v>
      </c>
      <c r="F77" s="39">
        <v>0</v>
      </c>
      <c r="G77" s="39">
        <v>0</v>
      </c>
      <c r="H77" s="40">
        <v>-0.13351381777583271</v>
      </c>
      <c r="I77" s="40">
        <v>0</v>
      </c>
      <c r="J77" s="40">
        <v>-0.13351381777583271</v>
      </c>
    </row>
    <row r="78" spans="1:10" ht="11.25" customHeight="1" x14ac:dyDescent="0.2">
      <c r="A78" s="48" t="s">
        <v>36</v>
      </c>
      <c r="B78" s="39">
        <v>0</v>
      </c>
      <c r="C78" s="39">
        <v>0</v>
      </c>
      <c r="D78" s="39">
        <v>105367.95850000001</v>
      </c>
      <c r="E78" s="39">
        <v>95244.962778442554</v>
      </c>
      <c r="F78" s="39">
        <v>38490.02248</v>
      </c>
      <c r="G78" s="39">
        <v>34869.613646097423</v>
      </c>
      <c r="H78" s="40">
        <v>-9.6072808714021463E-2</v>
      </c>
      <c r="I78" s="40">
        <v>-9.4060969587216992E-2</v>
      </c>
      <c r="J78" s="40">
        <v>-9.553452969266063E-2</v>
      </c>
    </row>
    <row r="79" spans="1:10" ht="11.25" customHeight="1" x14ac:dyDescent="0.2">
      <c r="A79" s="49">
        <v>44409</v>
      </c>
      <c r="B79" s="39">
        <v>0</v>
      </c>
      <c r="C79" s="39">
        <v>0</v>
      </c>
      <c r="D79" s="39">
        <v>13436.03975</v>
      </c>
      <c r="E79" s="39">
        <v>12145.201673224263</v>
      </c>
      <c r="F79" s="39">
        <v>4908.0714800000005</v>
      </c>
      <c r="G79" s="39">
        <v>4446.4135177878343</v>
      </c>
      <c r="H79" s="40">
        <v>-9.6072808714021352E-2</v>
      </c>
      <c r="I79" s="40">
        <v>-9.4060969587216769E-2</v>
      </c>
      <c r="J79" s="40">
        <v>-9.553452969266063E-2</v>
      </c>
    </row>
    <row r="80" spans="1:10" ht="11.25" customHeight="1" x14ac:dyDescent="0.2">
      <c r="A80" s="49">
        <v>44440</v>
      </c>
      <c r="B80" s="39">
        <v>0</v>
      </c>
      <c r="C80" s="39">
        <v>0</v>
      </c>
      <c r="D80" s="39">
        <v>12321.9285</v>
      </c>
      <c r="E80" s="39">
        <v>11138.126220231652</v>
      </c>
      <c r="F80" s="39">
        <v>4501.0960800000003</v>
      </c>
      <c r="G80" s="39">
        <v>4077.718618509979</v>
      </c>
      <c r="H80" s="40">
        <v>-9.6072808714021352E-2</v>
      </c>
      <c r="I80" s="40">
        <v>-9.4060969587216881E-2</v>
      </c>
      <c r="J80" s="40">
        <v>-9.553452969266063E-2</v>
      </c>
    </row>
    <row r="81" spans="1:10" ht="11.25" customHeight="1" x14ac:dyDescent="0.2">
      <c r="A81" s="49">
        <v>44470</v>
      </c>
      <c r="B81" s="39">
        <v>0</v>
      </c>
      <c r="C81" s="39">
        <v>0</v>
      </c>
      <c r="D81" s="39">
        <v>11024.734</v>
      </c>
      <c r="E81" s="39">
        <v>9965.5568392950318</v>
      </c>
      <c r="F81" s="39">
        <v>4027.2419200000004</v>
      </c>
      <c r="G81" s="39">
        <v>3648.4356402425151</v>
      </c>
      <c r="H81" s="40">
        <v>-9.6072808714021463E-2</v>
      </c>
      <c r="I81" s="40">
        <v>-9.4060969587216992E-2</v>
      </c>
      <c r="J81" s="40">
        <v>-9.5534529692660741E-2</v>
      </c>
    </row>
    <row r="82" spans="1:10" ht="11.25" customHeight="1" x14ac:dyDescent="0.2">
      <c r="A82" s="49">
        <v>44501</v>
      </c>
      <c r="B82" s="39">
        <v>0</v>
      </c>
      <c r="C82" s="39">
        <v>0</v>
      </c>
      <c r="D82" s="39">
        <v>11099.954249999999</v>
      </c>
      <c r="E82" s="39">
        <v>10033.550468605361</v>
      </c>
      <c r="F82" s="39">
        <v>4054.7192400000004</v>
      </c>
      <c r="G82" s="39">
        <v>3673.3284168816567</v>
      </c>
      <c r="H82" s="40">
        <v>-9.6072808714021352E-2</v>
      </c>
      <c r="I82" s="40">
        <v>-9.4060969587216992E-2</v>
      </c>
      <c r="J82" s="40">
        <v>-9.553452969266063E-2</v>
      </c>
    </row>
    <row r="83" spans="1:10" ht="11.25" customHeight="1" x14ac:dyDescent="0.2">
      <c r="A83" s="49">
        <v>44531</v>
      </c>
      <c r="B83" s="39">
        <v>0</v>
      </c>
      <c r="C83" s="39">
        <v>0</v>
      </c>
      <c r="D83" s="39">
        <v>8024.4394999999995</v>
      </c>
      <c r="E83" s="39">
        <v>7253.5090588792627</v>
      </c>
      <c r="F83" s="39">
        <v>2931.2597600000004</v>
      </c>
      <c r="G83" s="39">
        <v>2655.5426248624076</v>
      </c>
      <c r="H83" s="40">
        <v>-9.6072808714021352E-2</v>
      </c>
      <c r="I83" s="40">
        <v>-9.4060969587216881E-2</v>
      </c>
      <c r="J83" s="40">
        <v>-9.5534529692660519E-2</v>
      </c>
    </row>
    <row r="84" spans="1:10" ht="11.25" customHeight="1" x14ac:dyDescent="0.2">
      <c r="A84" s="49">
        <v>44562</v>
      </c>
      <c r="B84" s="39">
        <v>0</v>
      </c>
      <c r="C84" s="39">
        <v>0</v>
      </c>
      <c r="D84" s="39">
        <v>6788.2727500000001</v>
      </c>
      <c r="E84" s="39">
        <v>6136.1043205906462</v>
      </c>
      <c r="F84" s="39">
        <v>2479.6985200000004</v>
      </c>
      <c r="G84" s="39">
        <v>2246.4556729248134</v>
      </c>
      <c r="H84" s="40">
        <v>-9.6072808714021352E-2</v>
      </c>
      <c r="I84" s="40">
        <v>-9.4060969587216992E-2</v>
      </c>
      <c r="J84" s="40">
        <v>-9.5534529692660519E-2</v>
      </c>
    </row>
    <row r="85" spans="1:10" ht="11.25" customHeight="1" x14ac:dyDescent="0.2">
      <c r="A85" s="49">
        <v>44593</v>
      </c>
      <c r="B85" s="39">
        <v>0</v>
      </c>
      <c r="C85" s="39">
        <v>0</v>
      </c>
      <c r="D85" s="39">
        <v>6903.232</v>
      </c>
      <c r="E85" s="39">
        <v>6240.0191125554884</v>
      </c>
      <c r="F85" s="39">
        <v>2521.6921600000001</v>
      </c>
      <c r="G85" s="39">
        <v>2284.4993504299168</v>
      </c>
      <c r="H85" s="40">
        <v>-9.6072808714021463E-2</v>
      </c>
      <c r="I85" s="40">
        <v>-9.4060969587216881E-2</v>
      </c>
      <c r="J85" s="40">
        <v>-9.5534529692660741E-2</v>
      </c>
    </row>
    <row r="86" spans="1:10" ht="11.25" customHeight="1" x14ac:dyDescent="0.2">
      <c r="A86" s="49">
        <v>44621</v>
      </c>
      <c r="B86" s="39">
        <v>0</v>
      </c>
      <c r="C86" s="39">
        <v>0</v>
      </c>
      <c r="D86" s="39">
        <v>7903.8032499999999</v>
      </c>
      <c r="E86" s="39">
        <v>7144.4626722494895</v>
      </c>
      <c r="F86" s="39">
        <v>2887.1923600000005</v>
      </c>
      <c r="G86" s="39">
        <v>2615.6202472335949</v>
      </c>
      <c r="H86" s="40">
        <v>-9.6072808714021352E-2</v>
      </c>
      <c r="I86" s="40">
        <v>-9.4060969587217103E-2</v>
      </c>
      <c r="J86" s="40">
        <v>-9.553452969266063E-2</v>
      </c>
    </row>
    <row r="87" spans="1:10" ht="11.25" customHeight="1" x14ac:dyDescent="0.2">
      <c r="A87" s="49">
        <v>44652</v>
      </c>
      <c r="B87" s="39">
        <v>0</v>
      </c>
      <c r="C87" s="39">
        <v>0</v>
      </c>
      <c r="D87" s="39">
        <v>5579.0717500000001</v>
      </c>
      <c r="E87" s="39">
        <v>5043.0746569604498</v>
      </c>
      <c r="F87" s="39">
        <v>2037.9876400000003</v>
      </c>
      <c r="G87" s="39">
        <v>1846.2925465748363</v>
      </c>
      <c r="H87" s="40">
        <v>-9.6072808714021352E-2</v>
      </c>
      <c r="I87" s="40">
        <v>-9.4060969587216881E-2</v>
      </c>
      <c r="J87" s="40">
        <v>-9.5534529692660519E-2</v>
      </c>
    </row>
    <row r="88" spans="1:10" ht="11.25" customHeight="1" x14ac:dyDescent="0.2">
      <c r="A88" s="49">
        <v>44682</v>
      </c>
      <c r="B88" s="39">
        <v>0</v>
      </c>
      <c r="C88" s="39">
        <v>0</v>
      </c>
      <c r="D88" s="39">
        <v>8067.0169999999998</v>
      </c>
      <c r="E88" s="39">
        <v>7291.9960188662417</v>
      </c>
      <c r="F88" s="39">
        <v>2946.8129600000002</v>
      </c>
      <c r="G88" s="39">
        <v>2669.6328757902238</v>
      </c>
      <c r="H88" s="40">
        <v>-9.6072808714021352E-2</v>
      </c>
      <c r="I88" s="40">
        <v>-9.4060969587216769E-2</v>
      </c>
      <c r="J88" s="40">
        <v>-9.5534529692660519E-2</v>
      </c>
    </row>
    <row r="89" spans="1:10" ht="11.25" customHeight="1" x14ac:dyDescent="0.2">
      <c r="A89" s="49">
        <v>44713</v>
      </c>
      <c r="B89" s="39">
        <v>0</v>
      </c>
      <c r="C89" s="39">
        <v>0</v>
      </c>
      <c r="D89" s="39">
        <v>7875.4182500000006</v>
      </c>
      <c r="E89" s="39">
        <v>7118.8046989248378</v>
      </c>
      <c r="F89" s="39">
        <v>2876.8235600000007</v>
      </c>
      <c r="G89" s="39">
        <v>2606.2267466150511</v>
      </c>
      <c r="H89" s="40">
        <v>-9.6072808714021352E-2</v>
      </c>
      <c r="I89" s="40">
        <v>-9.4060969587217103E-2</v>
      </c>
      <c r="J89" s="40">
        <v>-9.553452969266063E-2</v>
      </c>
    </row>
    <row r="90" spans="1:10" ht="11.25" customHeight="1" x14ac:dyDescent="0.2">
      <c r="A90" s="49">
        <v>44743</v>
      </c>
      <c r="B90" s="39">
        <v>0</v>
      </c>
      <c r="C90" s="39">
        <v>0</v>
      </c>
      <c r="D90" s="39">
        <v>6344.0474999999997</v>
      </c>
      <c r="E90" s="39">
        <v>5734.5570380598338</v>
      </c>
      <c r="F90" s="39">
        <v>2317.4268000000002</v>
      </c>
      <c r="G90" s="39">
        <v>2099.4473882445986</v>
      </c>
      <c r="H90" s="40">
        <v>-9.6072808714021463E-2</v>
      </c>
      <c r="I90" s="40">
        <v>-9.4060969587216992E-2</v>
      </c>
      <c r="J90" s="40">
        <v>-9.553452969266063E-2</v>
      </c>
    </row>
    <row r="91" spans="1:10" ht="11.25" customHeight="1" x14ac:dyDescent="0.2">
      <c r="A91" s="42" t="s">
        <v>22</v>
      </c>
      <c r="B91" s="39">
        <v>0</v>
      </c>
      <c r="C91" s="39">
        <v>0</v>
      </c>
      <c r="D91" s="39">
        <v>2892558.20743</v>
      </c>
      <c r="E91" s="39">
        <v>3493875.1925037899</v>
      </c>
      <c r="F91" s="39">
        <v>2328803.5828400003</v>
      </c>
      <c r="G91" s="39">
        <v>2110449.4944879944</v>
      </c>
      <c r="H91" s="40">
        <v>0.20788414336112937</v>
      </c>
      <c r="I91" s="40">
        <v>-9.3762346451614853E-2</v>
      </c>
      <c r="J91" s="40">
        <v>7.3345405299328981E-2</v>
      </c>
    </row>
    <row r="92" spans="1:10" ht="11.25" customHeight="1" x14ac:dyDescent="0.2">
      <c r="A92" s="43" t="s">
        <v>23</v>
      </c>
      <c r="B92" s="39">
        <v>0</v>
      </c>
      <c r="C92" s="39">
        <v>0</v>
      </c>
      <c r="D92" s="39">
        <v>2892558.20743</v>
      </c>
      <c r="E92" s="39">
        <v>3493875.1925037899</v>
      </c>
      <c r="F92" s="39">
        <v>2328803.5828400003</v>
      </c>
      <c r="G92" s="39">
        <v>2110449.4944879944</v>
      </c>
      <c r="H92" s="40">
        <v>0.20788414336112937</v>
      </c>
      <c r="I92" s="40">
        <v>-9.3762346451614853E-2</v>
      </c>
      <c r="J92" s="40">
        <v>7.3345405299328981E-2</v>
      </c>
    </row>
    <row r="93" spans="1:10" ht="11.25" customHeight="1" x14ac:dyDescent="0.2">
      <c r="A93" s="44" t="s">
        <v>24</v>
      </c>
      <c r="B93" s="39">
        <v>0</v>
      </c>
      <c r="C93" s="39">
        <v>0</v>
      </c>
      <c r="D93" s="39">
        <v>2892558.20743</v>
      </c>
      <c r="E93" s="39">
        <v>3493875.1925037899</v>
      </c>
      <c r="F93" s="39">
        <v>2328803.5828400003</v>
      </c>
      <c r="G93" s="39">
        <v>2110449.4944879944</v>
      </c>
      <c r="H93" s="40">
        <v>0.20788414336112937</v>
      </c>
      <c r="I93" s="40">
        <v>-9.3762346451614853E-2</v>
      </c>
      <c r="J93" s="40">
        <v>7.3345405299328981E-2</v>
      </c>
    </row>
    <row r="94" spans="1:10" ht="11.25" customHeight="1" x14ac:dyDescent="0.2">
      <c r="A94" s="45" t="s">
        <v>24</v>
      </c>
      <c r="B94" s="39">
        <v>0</v>
      </c>
      <c r="C94" s="39">
        <v>0</v>
      </c>
      <c r="D94" s="39">
        <v>2696957.5041599995</v>
      </c>
      <c r="E94" s="39">
        <v>3275771.0131596806</v>
      </c>
      <c r="F94" s="39">
        <v>2138409.6944000004</v>
      </c>
      <c r="G94" s="39">
        <v>1937907.3837781756</v>
      </c>
      <c r="H94" s="40">
        <v>0.21461721517928001</v>
      </c>
      <c r="I94" s="40">
        <v>-9.3762346451614964E-2</v>
      </c>
      <c r="J94" s="40">
        <v>7.8238359744533748E-2</v>
      </c>
    </row>
    <row r="95" spans="1:10" ht="11.25" customHeight="1" x14ac:dyDescent="0.2">
      <c r="A95" s="46" t="s">
        <v>25</v>
      </c>
      <c r="B95" s="39">
        <v>0</v>
      </c>
      <c r="C95" s="39">
        <v>0</v>
      </c>
      <c r="D95" s="39">
        <v>2696957.5041599995</v>
      </c>
      <c r="E95" s="39">
        <v>3275771.0131596806</v>
      </c>
      <c r="F95" s="39">
        <v>2138409.6944000004</v>
      </c>
      <c r="G95" s="39">
        <v>1937907.3837781756</v>
      </c>
      <c r="H95" s="40">
        <v>0.21461721517928001</v>
      </c>
      <c r="I95" s="40">
        <v>-9.3762346451614964E-2</v>
      </c>
      <c r="J95" s="40">
        <v>7.8238359744533748E-2</v>
      </c>
    </row>
    <row r="96" spans="1:10" ht="11.25" customHeight="1" x14ac:dyDescent="0.2">
      <c r="A96" s="47" t="s">
        <v>25</v>
      </c>
      <c r="B96" s="39">
        <v>0</v>
      </c>
      <c r="C96" s="39">
        <v>0</v>
      </c>
      <c r="D96" s="39">
        <v>2696957.5041599995</v>
      </c>
      <c r="E96" s="39">
        <v>3275771.0131596806</v>
      </c>
      <c r="F96" s="39">
        <v>2138409.6944000004</v>
      </c>
      <c r="G96" s="39">
        <v>1937907.3837781756</v>
      </c>
      <c r="H96" s="40">
        <v>0.21461721517928001</v>
      </c>
      <c r="I96" s="40">
        <v>-9.3762346451614964E-2</v>
      </c>
      <c r="J96" s="40">
        <v>7.8238359744533748E-2</v>
      </c>
    </row>
    <row r="97" spans="1:10" ht="11.25" customHeight="1" x14ac:dyDescent="0.2">
      <c r="A97" s="48" t="s">
        <v>25</v>
      </c>
      <c r="B97" s="39">
        <v>0</v>
      </c>
      <c r="C97" s="39">
        <v>0</v>
      </c>
      <c r="D97" s="39">
        <v>2696957.5041599995</v>
      </c>
      <c r="E97" s="39">
        <v>3275771.0131596806</v>
      </c>
      <c r="F97" s="39">
        <v>2138409.6944000004</v>
      </c>
      <c r="G97" s="39">
        <v>1937907.3837781756</v>
      </c>
      <c r="H97" s="40">
        <v>0.21461721517928001</v>
      </c>
      <c r="I97" s="40">
        <v>-9.3762346451614964E-2</v>
      </c>
      <c r="J97" s="40">
        <v>7.8238359744533748E-2</v>
      </c>
    </row>
    <row r="98" spans="1:10" ht="11.25" customHeight="1" x14ac:dyDescent="0.2">
      <c r="A98" s="49">
        <v>44409</v>
      </c>
      <c r="B98" s="39">
        <v>0</v>
      </c>
      <c r="C98" s="39">
        <v>0</v>
      </c>
      <c r="D98" s="39">
        <v>220376.62151999999</v>
      </c>
      <c r="E98" s="39">
        <v>267673.23832124053</v>
      </c>
      <c r="F98" s="39">
        <v>174735.9768</v>
      </c>
      <c r="G98" s="39">
        <v>158352.32160571706</v>
      </c>
      <c r="H98" s="40">
        <v>0.21461721517927979</v>
      </c>
      <c r="I98" s="40">
        <v>-9.3762346451614853E-2</v>
      </c>
      <c r="J98" s="40">
        <v>7.8238359744533748E-2</v>
      </c>
    </row>
    <row r="99" spans="1:10" ht="11.25" customHeight="1" x14ac:dyDescent="0.2">
      <c r="A99" s="49">
        <v>44440</v>
      </c>
      <c r="B99" s="39">
        <v>0</v>
      </c>
      <c r="C99" s="39">
        <v>0</v>
      </c>
      <c r="D99" s="39">
        <v>204267.31157999998</v>
      </c>
      <c r="E99" s="39">
        <v>248106.59314345784</v>
      </c>
      <c r="F99" s="39">
        <v>161962.9522</v>
      </c>
      <c r="G99" s="39">
        <v>146776.92576349727</v>
      </c>
      <c r="H99" s="40">
        <v>0.21461721517927979</v>
      </c>
      <c r="I99" s="40">
        <v>-9.3762346451614742E-2</v>
      </c>
      <c r="J99" s="40">
        <v>7.8238359744533748E-2</v>
      </c>
    </row>
    <row r="100" spans="1:10" ht="11.25" customHeight="1" x14ac:dyDescent="0.2">
      <c r="A100" s="49">
        <v>44470</v>
      </c>
      <c r="B100" s="39">
        <v>0</v>
      </c>
      <c r="C100" s="39">
        <v>0</v>
      </c>
      <c r="D100" s="39">
        <v>228562.88915999996</v>
      </c>
      <c r="E100" s="39">
        <v>277616.41992484959</v>
      </c>
      <c r="F100" s="39">
        <v>181226.84439999997</v>
      </c>
      <c r="G100" s="39">
        <v>164234.59022903428</v>
      </c>
      <c r="H100" s="40">
        <v>0.21461721517928001</v>
      </c>
      <c r="I100" s="40">
        <v>-9.3762346451614853E-2</v>
      </c>
      <c r="J100" s="40">
        <v>7.8238359744533748E-2</v>
      </c>
    </row>
    <row r="101" spans="1:10" ht="11.25" customHeight="1" x14ac:dyDescent="0.2">
      <c r="A101" s="49">
        <v>44501</v>
      </c>
      <c r="B101" s="39">
        <v>0</v>
      </c>
      <c r="C101" s="39">
        <v>0</v>
      </c>
      <c r="D101" s="39">
        <v>226995.66731999998</v>
      </c>
      <c r="E101" s="39">
        <v>275712.84529798065</v>
      </c>
      <c r="F101" s="39">
        <v>179984.19880000001</v>
      </c>
      <c r="G101" s="39">
        <v>163108.45799629806</v>
      </c>
      <c r="H101" s="40">
        <v>0.21461721517927979</v>
      </c>
      <c r="I101" s="40">
        <v>-9.3762346451614964E-2</v>
      </c>
      <c r="J101" s="40">
        <v>7.8238359744533525E-2</v>
      </c>
    </row>
    <row r="102" spans="1:10" ht="11.25" customHeight="1" x14ac:dyDescent="0.2">
      <c r="A102" s="49">
        <v>44531</v>
      </c>
      <c r="B102" s="39">
        <v>0</v>
      </c>
      <c r="C102" s="39">
        <v>0</v>
      </c>
      <c r="D102" s="39">
        <v>215185.7046</v>
      </c>
      <c r="E102" s="39">
        <v>261368.26126764319</v>
      </c>
      <c r="F102" s="39">
        <v>170620.114</v>
      </c>
      <c r="G102" s="39">
        <v>154622.37175951799</v>
      </c>
      <c r="H102" s="40">
        <v>0.21461721517928001</v>
      </c>
      <c r="I102" s="40">
        <v>-9.3762346451614742E-2</v>
      </c>
      <c r="J102" s="40">
        <v>7.823835974453397E-2</v>
      </c>
    </row>
    <row r="103" spans="1:10" ht="11.25" customHeight="1" x14ac:dyDescent="0.2">
      <c r="A103" s="49">
        <v>44562</v>
      </c>
      <c r="B103" s="39">
        <v>0</v>
      </c>
      <c r="C103" s="39">
        <v>0</v>
      </c>
      <c r="D103" s="39">
        <v>207860.68115999998</v>
      </c>
      <c r="E103" s="39">
        <v>252471.16169582741</v>
      </c>
      <c r="F103" s="39">
        <v>164812.12440000003</v>
      </c>
      <c r="G103" s="39">
        <v>149358.95289258054</v>
      </c>
      <c r="H103" s="40">
        <v>0.21461721517928001</v>
      </c>
      <c r="I103" s="40">
        <v>-9.3762346451615186E-2</v>
      </c>
      <c r="J103" s="40">
        <v>7.8238359744533525E-2</v>
      </c>
    </row>
    <row r="104" spans="1:10" ht="11.25" customHeight="1" x14ac:dyDescent="0.2">
      <c r="A104" s="49">
        <v>44593</v>
      </c>
      <c r="B104" s="39">
        <v>0</v>
      </c>
      <c r="C104" s="39">
        <v>0</v>
      </c>
      <c r="D104" s="39">
        <v>278032.67513999995</v>
      </c>
      <c r="E104" s="39">
        <v>337703.27360739221</v>
      </c>
      <c r="F104" s="39">
        <v>220451.29260000002</v>
      </c>
      <c r="G104" s="39">
        <v>199781.26212753248</v>
      </c>
      <c r="H104" s="40">
        <v>0.21461721517928023</v>
      </c>
      <c r="I104" s="40">
        <v>-9.3762346451614964E-2</v>
      </c>
      <c r="J104" s="40">
        <v>7.8238359744533748E-2</v>
      </c>
    </row>
    <row r="105" spans="1:10" ht="11.25" customHeight="1" x14ac:dyDescent="0.2">
      <c r="A105" s="49">
        <v>44621</v>
      </c>
      <c r="B105" s="39">
        <v>0</v>
      </c>
      <c r="C105" s="39">
        <v>0</v>
      </c>
      <c r="D105" s="39">
        <v>221422.24476</v>
      </c>
      <c r="E105" s="39">
        <v>268943.27030913613</v>
      </c>
      <c r="F105" s="39">
        <v>175565.04840000003</v>
      </c>
      <c r="G105" s="39">
        <v>159103.65750712471</v>
      </c>
      <c r="H105" s="40">
        <v>0.21461721517928001</v>
      </c>
      <c r="I105" s="40">
        <v>-9.3762346451614742E-2</v>
      </c>
      <c r="J105" s="40">
        <v>7.823835974453397E-2</v>
      </c>
    </row>
    <row r="106" spans="1:10" ht="11.25" customHeight="1" x14ac:dyDescent="0.2">
      <c r="A106" s="49">
        <v>44652</v>
      </c>
      <c r="B106" s="39">
        <v>0</v>
      </c>
      <c r="C106" s="39">
        <v>0</v>
      </c>
      <c r="D106" s="39">
        <v>240054.63629999998</v>
      </c>
      <c r="E106" s="39">
        <v>291574.49383358087</v>
      </c>
      <c r="F106" s="39">
        <v>190338.617</v>
      </c>
      <c r="G106" s="39">
        <v>172492.02164972477</v>
      </c>
      <c r="H106" s="40">
        <v>0.21461721517928001</v>
      </c>
      <c r="I106" s="40">
        <v>-9.3762346451614853E-2</v>
      </c>
      <c r="J106" s="40">
        <v>7.823835974453397E-2</v>
      </c>
    </row>
    <row r="107" spans="1:10" ht="11.25" customHeight="1" x14ac:dyDescent="0.2">
      <c r="A107" s="49">
        <v>44682</v>
      </c>
      <c r="B107" s="39">
        <v>0</v>
      </c>
      <c r="C107" s="39">
        <v>0</v>
      </c>
      <c r="D107" s="39">
        <v>213442.19051999997</v>
      </c>
      <c r="E107" s="39">
        <v>259250.55905116766</v>
      </c>
      <c r="F107" s="39">
        <v>169237.6868</v>
      </c>
      <c r="G107" s="39">
        <v>153369.5641775885</v>
      </c>
      <c r="H107" s="40">
        <v>0.21461721517927979</v>
      </c>
      <c r="I107" s="40">
        <v>-9.3762346451614853E-2</v>
      </c>
      <c r="J107" s="40">
        <v>7.8238359744533748E-2</v>
      </c>
    </row>
    <row r="108" spans="1:10" ht="11.25" customHeight="1" x14ac:dyDescent="0.2">
      <c r="A108" s="49">
        <v>44713</v>
      </c>
      <c r="B108" s="39">
        <v>0</v>
      </c>
      <c r="C108" s="39">
        <v>0</v>
      </c>
      <c r="D108" s="39">
        <v>205913.37972</v>
      </c>
      <c r="E108" s="39">
        <v>250105.93584365997</v>
      </c>
      <c r="F108" s="39">
        <v>163268.11480000001</v>
      </c>
      <c r="G108" s="39">
        <v>147959.71325562036</v>
      </c>
      <c r="H108" s="40">
        <v>0.21461721517927979</v>
      </c>
      <c r="I108" s="40">
        <v>-9.3762346451614964E-2</v>
      </c>
      <c r="J108" s="40">
        <v>7.8238359744533748E-2</v>
      </c>
    </row>
    <row r="109" spans="1:10" ht="11.25" customHeight="1" x14ac:dyDescent="0.2">
      <c r="A109" s="49">
        <v>44743</v>
      </c>
      <c r="B109" s="39">
        <v>0</v>
      </c>
      <c r="C109" s="39">
        <v>0</v>
      </c>
      <c r="D109" s="39">
        <v>234843.50237999999</v>
      </c>
      <c r="E109" s="39">
        <v>285244.9608637442</v>
      </c>
      <c r="F109" s="39">
        <v>186206.72420000003</v>
      </c>
      <c r="G109" s="39">
        <v>168747.54481393931</v>
      </c>
      <c r="H109" s="40">
        <v>0.21461721517928001</v>
      </c>
      <c r="I109" s="40">
        <v>-9.3762346451614964E-2</v>
      </c>
      <c r="J109" s="40">
        <v>7.8238359744533748E-2</v>
      </c>
    </row>
    <row r="110" spans="1:10" ht="11.25" customHeight="1" x14ac:dyDescent="0.2">
      <c r="A110" s="45" t="s">
        <v>28</v>
      </c>
      <c r="B110" s="39">
        <v>0</v>
      </c>
      <c r="C110" s="39">
        <v>0</v>
      </c>
      <c r="D110" s="39">
        <v>14687.824799999999</v>
      </c>
      <c r="E110" s="39">
        <v>16377.441700927804</v>
      </c>
      <c r="F110" s="39">
        <v>14296.676099999999</v>
      </c>
      <c r="G110" s="39">
        <v>12956.186202405275</v>
      </c>
      <c r="H110" s="40">
        <v>0.1150352025527841</v>
      </c>
      <c r="I110" s="40">
        <v>-9.3762346451614964E-2</v>
      </c>
      <c r="J110" s="40">
        <v>1.2045299815153232E-2</v>
      </c>
    </row>
    <row r="111" spans="1:10" ht="11.25" customHeight="1" x14ac:dyDescent="0.2">
      <c r="A111" s="46" t="s">
        <v>25</v>
      </c>
      <c r="B111" s="39">
        <v>0</v>
      </c>
      <c r="C111" s="39">
        <v>0</v>
      </c>
      <c r="D111" s="39">
        <v>14687.824799999999</v>
      </c>
      <c r="E111" s="39">
        <v>16377.441700927804</v>
      </c>
      <c r="F111" s="39">
        <v>14296.676099999999</v>
      </c>
      <c r="G111" s="39">
        <v>12956.186202405275</v>
      </c>
      <c r="H111" s="40">
        <v>0.1150352025527841</v>
      </c>
      <c r="I111" s="40">
        <v>-9.3762346451614964E-2</v>
      </c>
      <c r="J111" s="40">
        <v>1.2045299815153232E-2</v>
      </c>
    </row>
    <row r="112" spans="1:10" ht="11.25" customHeight="1" x14ac:dyDescent="0.2">
      <c r="A112" s="47" t="s">
        <v>25</v>
      </c>
      <c r="B112" s="39">
        <v>0</v>
      </c>
      <c r="C112" s="39">
        <v>0</v>
      </c>
      <c r="D112" s="39">
        <v>14687.824799999999</v>
      </c>
      <c r="E112" s="39">
        <v>16377.441700927804</v>
      </c>
      <c r="F112" s="39">
        <v>14296.676099999999</v>
      </c>
      <c r="G112" s="39">
        <v>12956.186202405275</v>
      </c>
      <c r="H112" s="40">
        <v>0.1150352025527841</v>
      </c>
      <c r="I112" s="40">
        <v>-9.3762346451614964E-2</v>
      </c>
      <c r="J112" s="40">
        <v>1.2045299815153232E-2</v>
      </c>
    </row>
    <row r="113" spans="1:10" ht="11.25" customHeight="1" x14ac:dyDescent="0.2">
      <c r="A113" s="48" t="s">
        <v>25</v>
      </c>
      <c r="B113" s="39">
        <v>0</v>
      </c>
      <c r="C113" s="39">
        <v>0</v>
      </c>
      <c r="D113" s="39">
        <v>14687.824799999999</v>
      </c>
      <c r="E113" s="39">
        <v>16377.441700927804</v>
      </c>
      <c r="F113" s="39">
        <v>14296.676099999999</v>
      </c>
      <c r="G113" s="39">
        <v>12956.186202405275</v>
      </c>
      <c r="H113" s="40">
        <v>0.1150352025527841</v>
      </c>
      <c r="I113" s="40">
        <v>-9.3762346451614964E-2</v>
      </c>
      <c r="J113" s="40">
        <v>1.2045299815153232E-2</v>
      </c>
    </row>
    <row r="114" spans="1:10" ht="11.25" customHeight="1" x14ac:dyDescent="0.2">
      <c r="A114" s="49">
        <v>44409</v>
      </c>
      <c r="B114" s="39">
        <v>0</v>
      </c>
      <c r="C114" s="39">
        <v>0</v>
      </c>
      <c r="D114" s="39">
        <v>1210.44</v>
      </c>
      <c r="E114" s="39">
        <v>1349.6832105779918</v>
      </c>
      <c r="F114" s="39">
        <v>1178.2049999999999</v>
      </c>
      <c r="G114" s="39">
        <v>1067.7337345989749</v>
      </c>
      <c r="H114" s="40">
        <v>0.11503520255278388</v>
      </c>
      <c r="I114" s="40">
        <v>-9.3762346451614964E-2</v>
      </c>
      <c r="J114" s="40">
        <v>1.2045299815153232E-2</v>
      </c>
    </row>
    <row r="115" spans="1:10" ht="11.25" customHeight="1" x14ac:dyDescent="0.2">
      <c r="A115" s="49">
        <v>44440</v>
      </c>
      <c r="B115" s="39">
        <v>0</v>
      </c>
      <c r="C115" s="39">
        <v>0</v>
      </c>
      <c r="D115" s="39">
        <v>1193.1479999999999</v>
      </c>
      <c r="E115" s="39">
        <v>1330.402021855449</v>
      </c>
      <c r="F115" s="39">
        <v>1161.3734999999999</v>
      </c>
      <c r="G115" s="39">
        <v>1052.4803955332754</v>
      </c>
      <c r="H115" s="40">
        <v>0.11503520255278388</v>
      </c>
      <c r="I115" s="40">
        <v>-9.3762346451614853E-2</v>
      </c>
      <c r="J115" s="40">
        <v>1.2045299815153232E-2</v>
      </c>
    </row>
    <row r="116" spans="1:10" ht="11.25" customHeight="1" x14ac:dyDescent="0.2">
      <c r="A116" s="49">
        <v>44470</v>
      </c>
      <c r="B116" s="39">
        <v>0</v>
      </c>
      <c r="C116" s="39">
        <v>0</v>
      </c>
      <c r="D116" s="39">
        <v>1196.6064000000001</v>
      </c>
      <c r="E116" s="39">
        <v>1334.2582595999577</v>
      </c>
      <c r="F116" s="39">
        <v>1164.7398000000001</v>
      </c>
      <c r="G116" s="39">
        <v>1055.5310633464153</v>
      </c>
      <c r="H116" s="40">
        <v>0.11503520255278388</v>
      </c>
      <c r="I116" s="40">
        <v>-9.3762346451614964E-2</v>
      </c>
      <c r="J116" s="40">
        <v>1.2045299815153232E-2</v>
      </c>
    </row>
    <row r="117" spans="1:10" ht="11.25" customHeight="1" x14ac:dyDescent="0.2">
      <c r="A117" s="49">
        <v>44501</v>
      </c>
      <c r="B117" s="39">
        <v>0</v>
      </c>
      <c r="C117" s="39">
        <v>0</v>
      </c>
      <c r="D117" s="39">
        <v>1220.8152</v>
      </c>
      <c r="E117" s="39">
        <v>1361.2519238115174</v>
      </c>
      <c r="F117" s="39">
        <v>1188.3038999999999</v>
      </c>
      <c r="G117" s="39">
        <v>1076.8857380383947</v>
      </c>
      <c r="H117" s="40">
        <v>0.11503520255278388</v>
      </c>
      <c r="I117" s="40">
        <v>-9.3762346451614964E-2</v>
      </c>
      <c r="J117" s="40">
        <v>1.2045299815153232E-2</v>
      </c>
    </row>
    <row r="118" spans="1:10" ht="11.25" customHeight="1" x14ac:dyDescent="0.2">
      <c r="A118" s="49">
        <v>44531</v>
      </c>
      <c r="B118" s="39">
        <v>0</v>
      </c>
      <c r="C118" s="39">
        <v>0</v>
      </c>
      <c r="D118" s="39">
        <v>1238.1072000000001</v>
      </c>
      <c r="E118" s="39">
        <v>1380.5331125340601</v>
      </c>
      <c r="F118" s="39">
        <v>1205.1353999999999</v>
      </c>
      <c r="G118" s="39">
        <v>1092.1390771040944</v>
      </c>
      <c r="H118" s="40">
        <v>0.11503520255278388</v>
      </c>
      <c r="I118" s="40">
        <v>-9.3762346451614853E-2</v>
      </c>
      <c r="J118" s="40">
        <v>1.2045299815153232E-2</v>
      </c>
    </row>
    <row r="119" spans="1:10" ht="11.25" customHeight="1" x14ac:dyDescent="0.2">
      <c r="A119" s="49">
        <v>44562</v>
      </c>
      <c r="B119" s="39">
        <v>0</v>
      </c>
      <c r="C119" s="39">
        <v>0</v>
      </c>
      <c r="D119" s="39">
        <v>1245.0240000000001</v>
      </c>
      <c r="E119" s="39">
        <v>1388.2455880230773</v>
      </c>
      <c r="F119" s="39">
        <v>1211.8679999999999</v>
      </c>
      <c r="G119" s="39">
        <v>1098.2404127303744</v>
      </c>
      <c r="H119" s="40">
        <v>0.11503520255278388</v>
      </c>
      <c r="I119" s="40">
        <v>-9.3762346451614853E-2</v>
      </c>
      <c r="J119" s="40">
        <v>1.2045299815153454E-2</v>
      </c>
    </row>
    <row r="120" spans="1:10" ht="11.25" customHeight="1" x14ac:dyDescent="0.2">
      <c r="A120" s="49">
        <v>44593</v>
      </c>
      <c r="B120" s="39">
        <v>0</v>
      </c>
      <c r="C120" s="39">
        <v>0</v>
      </c>
      <c r="D120" s="39">
        <v>1245.0240000000001</v>
      </c>
      <c r="E120" s="39">
        <v>1388.2455880230773</v>
      </c>
      <c r="F120" s="39">
        <v>1211.8679999999999</v>
      </c>
      <c r="G120" s="39">
        <v>1098.2404127303744</v>
      </c>
      <c r="H120" s="40">
        <v>0.11503520255278388</v>
      </c>
      <c r="I120" s="40">
        <v>-9.3762346451614853E-2</v>
      </c>
      <c r="J120" s="40">
        <v>1.2045299815153454E-2</v>
      </c>
    </row>
    <row r="121" spans="1:10" ht="11.25" customHeight="1" x14ac:dyDescent="0.2">
      <c r="A121" s="49">
        <v>44621</v>
      </c>
      <c r="B121" s="39">
        <v>0</v>
      </c>
      <c r="C121" s="39">
        <v>0</v>
      </c>
      <c r="D121" s="39">
        <v>1258.8576</v>
      </c>
      <c r="E121" s="39">
        <v>1403.6705390011114</v>
      </c>
      <c r="F121" s="39">
        <v>1225.3332</v>
      </c>
      <c r="G121" s="39">
        <v>1110.443083982934</v>
      </c>
      <c r="H121" s="40">
        <v>0.11503520255278388</v>
      </c>
      <c r="I121" s="40">
        <v>-9.3762346451614964E-2</v>
      </c>
      <c r="J121" s="40">
        <v>1.204529981515301E-2</v>
      </c>
    </row>
    <row r="122" spans="1:10" ht="11.25" customHeight="1" x14ac:dyDescent="0.2">
      <c r="A122" s="49">
        <v>44652</v>
      </c>
      <c r="B122" s="39">
        <v>0</v>
      </c>
      <c r="C122" s="39">
        <v>0</v>
      </c>
      <c r="D122" s="39">
        <v>1283.0664000000002</v>
      </c>
      <c r="E122" s="39">
        <v>1430.6642032126713</v>
      </c>
      <c r="F122" s="39">
        <v>1248.8973000000001</v>
      </c>
      <c r="G122" s="39">
        <v>1131.7977586749137</v>
      </c>
      <c r="H122" s="40">
        <v>0.11503520255278388</v>
      </c>
      <c r="I122" s="40">
        <v>-9.3762346451614853E-2</v>
      </c>
      <c r="J122" s="40">
        <v>1.2045299815153232E-2</v>
      </c>
    </row>
    <row r="123" spans="1:10" ht="11.25" customHeight="1" x14ac:dyDescent="0.2">
      <c r="A123" s="49">
        <v>44682</v>
      </c>
      <c r="B123" s="39">
        <v>0</v>
      </c>
      <c r="C123" s="39">
        <v>0</v>
      </c>
      <c r="D123" s="39">
        <v>1307.2752</v>
      </c>
      <c r="E123" s="39">
        <v>1457.6578674242312</v>
      </c>
      <c r="F123" s="39">
        <v>1272.4613999999999</v>
      </c>
      <c r="G123" s="39">
        <v>1153.1524333668931</v>
      </c>
      <c r="H123" s="40">
        <v>0.11503520255278388</v>
      </c>
      <c r="I123" s="40">
        <v>-9.3762346451614853E-2</v>
      </c>
      <c r="J123" s="40">
        <v>1.2045299815153232E-2</v>
      </c>
    </row>
    <row r="124" spans="1:10" ht="11.25" customHeight="1" x14ac:dyDescent="0.2">
      <c r="A124" s="49">
        <v>44713</v>
      </c>
      <c r="B124" s="39">
        <v>0</v>
      </c>
      <c r="C124" s="39">
        <v>0</v>
      </c>
      <c r="D124" s="39">
        <v>1151.6472000000001</v>
      </c>
      <c r="E124" s="39">
        <v>1284.1271689213465</v>
      </c>
      <c r="F124" s="39">
        <v>1120.9778999999999</v>
      </c>
      <c r="G124" s="39">
        <v>1015.8723817755963</v>
      </c>
      <c r="H124" s="40">
        <v>0.11503520255278388</v>
      </c>
      <c r="I124" s="40">
        <v>-9.3762346451614742E-2</v>
      </c>
      <c r="J124" s="40">
        <v>1.2045299815153232E-2</v>
      </c>
    </row>
    <row r="125" spans="1:10" ht="11.25" customHeight="1" x14ac:dyDescent="0.2">
      <c r="A125" s="49">
        <v>44743</v>
      </c>
      <c r="B125" s="39">
        <v>0</v>
      </c>
      <c r="C125" s="39">
        <v>0</v>
      </c>
      <c r="D125" s="39">
        <v>1137.8136</v>
      </c>
      <c r="E125" s="39">
        <v>1268.7022179433122</v>
      </c>
      <c r="F125" s="39">
        <v>1107.5126999999998</v>
      </c>
      <c r="G125" s="39">
        <v>1003.6697105230364</v>
      </c>
      <c r="H125" s="40">
        <v>0.11503520255278388</v>
      </c>
      <c r="I125" s="40">
        <v>-9.3762346451614853E-2</v>
      </c>
      <c r="J125" s="40">
        <v>1.2045299815153232E-2</v>
      </c>
    </row>
    <row r="126" spans="1:10" ht="11.25" customHeight="1" x14ac:dyDescent="0.2">
      <c r="A126" s="45" t="s">
        <v>29</v>
      </c>
      <c r="B126" s="39">
        <v>0</v>
      </c>
      <c r="C126" s="39">
        <v>0</v>
      </c>
      <c r="D126" s="39">
        <v>54430.674220000001</v>
      </c>
      <c r="E126" s="39">
        <v>60692.995326156219</v>
      </c>
      <c r="F126" s="39">
        <v>52981.90716000001</v>
      </c>
      <c r="G126" s="39">
        <v>48014.199225196782</v>
      </c>
      <c r="H126" s="40">
        <v>0.11505132346597291</v>
      </c>
      <c r="I126" s="40">
        <v>-9.3762346451615075E-2</v>
      </c>
      <c r="J126" s="40">
        <v>1.2052714446671331E-2</v>
      </c>
    </row>
    <row r="127" spans="1:10" ht="11.25" customHeight="1" x14ac:dyDescent="0.2">
      <c r="A127" s="46" t="s">
        <v>25</v>
      </c>
      <c r="B127" s="39">
        <v>0</v>
      </c>
      <c r="C127" s="39">
        <v>0</v>
      </c>
      <c r="D127" s="39">
        <v>54430.674220000001</v>
      </c>
      <c r="E127" s="39">
        <v>60692.995326156219</v>
      </c>
      <c r="F127" s="39">
        <v>52981.90716000001</v>
      </c>
      <c r="G127" s="39">
        <v>48014.199225196782</v>
      </c>
      <c r="H127" s="40">
        <v>0.11505132346597291</v>
      </c>
      <c r="I127" s="40">
        <v>-9.3762346451615075E-2</v>
      </c>
      <c r="J127" s="40">
        <v>1.2052714446671331E-2</v>
      </c>
    </row>
    <row r="128" spans="1:10" ht="11.25" customHeight="1" x14ac:dyDescent="0.2">
      <c r="A128" s="47" t="s">
        <v>25</v>
      </c>
      <c r="B128" s="39">
        <v>0</v>
      </c>
      <c r="C128" s="39">
        <v>0</v>
      </c>
      <c r="D128" s="39">
        <v>54430.674220000001</v>
      </c>
      <c r="E128" s="39">
        <v>60692.995326156219</v>
      </c>
      <c r="F128" s="39">
        <v>52981.90716000001</v>
      </c>
      <c r="G128" s="39">
        <v>48014.199225196782</v>
      </c>
      <c r="H128" s="40">
        <v>0.11505132346597291</v>
      </c>
      <c r="I128" s="40">
        <v>-9.3762346451615075E-2</v>
      </c>
      <c r="J128" s="40">
        <v>1.2052714446671331E-2</v>
      </c>
    </row>
    <row r="129" spans="1:10" ht="11.25" customHeight="1" x14ac:dyDescent="0.2">
      <c r="A129" s="48" t="s">
        <v>25</v>
      </c>
      <c r="B129" s="39">
        <v>0</v>
      </c>
      <c r="C129" s="39">
        <v>0</v>
      </c>
      <c r="D129" s="39">
        <v>54430.674220000001</v>
      </c>
      <c r="E129" s="39">
        <v>60692.995326156219</v>
      </c>
      <c r="F129" s="39">
        <v>52981.90716000001</v>
      </c>
      <c r="G129" s="39">
        <v>48014.199225196782</v>
      </c>
      <c r="H129" s="40">
        <v>0.11505132346597291</v>
      </c>
      <c r="I129" s="40">
        <v>-9.3762346451615075E-2</v>
      </c>
      <c r="J129" s="40">
        <v>1.2052714446671331E-2</v>
      </c>
    </row>
    <row r="130" spans="1:10" ht="11.25" customHeight="1" x14ac:dyDescent="0.2">
      <c r="A130" s="49">
        <v>44409</v>
      </c>
      <c r="B130" s="39">
        <v>0</v>
      </c>
      <c r="C130" s="39">
        <v>0</v>
      </c>
      <c r="D130" s="39">
        <v>4273.3348799999994</v>
      </c>
      <c r="E130" s="39">
        <v>4764.9877135573051</v>
      </c>
      <c r="F130" s="39">
        <v>4159.5926399999998</v>
      </c>
      <c r="G130" s="39">
        <v>3769.5794737907322</v>
      </c>
      <c r="H130" s="40">
        <v>0.11505132346597313</v>
      </c>
      <c r="I130" s="40">
        <v>-9.3762346451614964E-2</v>
      </c>
      <c r="J130" s="40">
        <v>1.2052714446671553E-2</v>
      </c>
    </row>
    <row r="131" spans="1:10" ht="11.25" customHeight="1" x14ac:dyDescent="0.2">
      <c r="A131" s="49">
        <v>44440</v>
      </c>
      <c r="B131" s="39">
        <v>0</v>
      </c>
      <c r="C131" s="39">
        <v>0</v>
      </c>
      <c r="D131" s="39">
        <v>4297.6421399999999</v>
      </c>
      <c r="E131" s="39">
        <v>4792.0915559901368</v>
      </c>
      <c r="F131" s="39">
        <v>4183.2529199999999</v>
      </c>
      <c r="G131" s="39">
        <v>3791.0213104202303</v>
      </c>
      <c r="H131" s="40">
        <v>0.11505132346597313</v>
      </c>
      <c r="I131" s="40">
        <v>-9.3762346451614853E-2</v>
      </c>
      <c r="J131" s="40">
        <v>1.2052714446671553E-2</v>
      </c>
    </row>
    <row r="132" spans="1:10" ht="11.25" customHeight="1" x14ac:dyDescent="0.2">
      <c r="A132" s="49">
        <v>44470</v>
      </c>
      <c r="B132" s="39">
        <v>0</v>
      </c>
      <c r="C132" s="39">
        <v>0</v>
      </c>
      <c r="D132" s="39">
        <v>4405.3450400000002</v>
      </c>
      <c r="E132" s="39">
        <v>4912.1858171762606</v>
      </c>
      <c r="F132" s="39">
        <v>4288.0891200000005</v>
      </c>
      <c r="G132" s="39">
        <v>3886.0278223151599</v>
      </c>
      <c r="H132" s="40">
        <v>0.11505132346597313</v>
      </c>
      <c r="I132" s="40">
        <v>-9.3762346451614964E-2</v>
      </c>
      <c r="J132" s="40">
        <v>1.2052714446671331E-2</v>
      </c>
    </row>
    <row r="133" spans="1:10" ht="11.25" customHeight="1" x14ac:dyDescent="0.2">
      <c r="A133" s="49">
        <v>44501</v>
      </c>
      <c r="B133" s="39">
        <v>0</v>
      </c>
      <c r="C133" s="39">
        <v>0</v>
      </c>
      <c r="D133" s="39">
        <v>4480.8358799999996</v>
      </c>
      <c r="E133" s="39">
        <v>4996.3619782278183</v>
      </c>
      <c r="F133" s="39">
        <v>4361.5706399999999</v>
      </c>
      <c r="G133" s="39">
        <v>3952.6195425791284</v>
      </c>
      <c r="H133" s="40">
        <v>0.11505132346597313</v>
      </c>
      <c r="I133" s="40">
        <v>-9.3762346451614853E-2</v>
      </c>
      <c r="J133" s="40">
        <v>1.2052714446671553E-2</v>
      </c>
    </row>
    <row r="134" spans="1:10" ht="11.25" customHeight="1" x14ac:dyDescent="0.2">
      <c r="A134" s="49">
        <v>44531</v>
      </c>
      <c r="B134" s="39">
        <v>0</v>
      </c>
      <c r="C134" s="39">
        <v>0</v>
      </c>
      <c r="D134" s="39">
        <v>4625.4937199999995</v>
      </c>
      <c r="E134" s="39">
        <v>5157.6628941695471</v>
      </c>
      <c r="F134" s="39">
        <v>4502.3781600000002</v>
      </c>
      <c r="G134" s="39">
        <v>4080.2246191058953</v>
      </c>
      <c r="H134" s="40">
        <v>0.11505132346597313</v>
      </c>
      <c r="I134" s="40">
        <v>-9.3762346451614964E-2</v>
      </c>
      <c r="J134" s="40">
        <v>1.2052714446671553E-2</v>
      </c>
    </row>
    <row r="135" spans="1:10" ht="11.25" customHeight="1" x14ac:dyDescent="0.2">
      <c r="A135" s="49">
        <v>44562</v>
      </c>
      <c r="B135" s="39">
        <v>0</v>
      </c>
      <c r="C135" s="39">
        <v>0</v>
      </c>
      <c r="D135" s="39">
        <v>4625.6913400000003</v>
      </c>
      <c r="E135" s="39">
        <v>5157.8832506120907</v>
      </c>
      <c r="F135" s="39">
        <v>4502.5705200000002</v>
      </c>
      <c r="G135" s="39">
        <v>4080.3989429809321</v>
      </c>
      <c r="H135" s="40">
        <v>0.11505132346597313</v>
      </c>
      <c r="I135" s="40">
        <v>-9.3762346451614964E-2</v>
      </c>
      <c r="J135" s="40">
        <v>1.2052714446671331E-2</v>
      </c>
    </row>
    <row r="136" spans="1:10" ht="11.25" customHeight="1" x14ac:dyDescent="0.2">
      <c r="A136" s="49">
        <v>44593</v>
      </c>
      <c r="B136" s="39">
        <v>0</v>
      </c>
      <c r="C136" s="39">
        <v>0</v>
      </c>
      <c r="D136" s="39">
        <v>4786.3563999999997</v>
      </c>
      <c r="E136" s="39">
        <v>5337.0330383998307</v>
      </c>
      <c r="F136" s="39">
        <v>4658.9592000000002</v>
      </c>
      <c r="G136" s="39">
        <v>4222.1242533856612</v>
      </c>
      <c r="H136" s="40">
        <v>0.11505132346597313</v>
      </c>
      <c r="I136" s="40">
        <v>-9.3762346451614964E-2</v>
      </c>
      <c r="J136" s="40">
        <v>1.2052714446671553E-2</v>
      </c>
    </row>
    <row r="137" spans="1:10" ht="11.25" customHeight="1" x14ac:dyDescent="0.2">
      <c r="A137" s="49">
        <v>44621</v>
      </c>
      <c r="B137" s="39">
        <v>0</v>
      </c>
      <c r="C137" s="39">
        <v>0</v>
      </c>
      <c r="D137" s="39">
        <v>4765.4086800000005</v>
      </c>
      <c r="E137" s="39">
        <v>5313.6752554902369</v>
      </c>
      <c r="F137" s="39">
        <v>4638.5690400000003</v>
      </c>
      <c r="G137" s="39">
        <v>4203.6459226317857</v>
      </c>
      <c r="H137" s="40">
        <v>0.11505132346597313</v>
      </c>
      <c r="I137" s="40">
        <v>-9.3762346451614853E-2</v>
      </c>
      <c r="J137" s="40">
        <v>1.2052714446671775E-2</v>
      </c>
    </row>
    <row r="138" spans="1:10" ht="11.25" customHeight="1" x14ac:dyDescent="0.2">
      <c r="A138" s="49">
        <v>44652</v>
      </c>
      <c r="B138" s="39">
        <v>0</v>
      </c>
      <c r="C138" s="39">
        <v>0</v>
      </c>
      <c r="D138" s="39">
        <v>4865.0091599999996</v>
      </c>
      <c r="E138" s="39">
        <v>5424.7349025320818</v>
      </c>
      <c r="F138" s="39">
        <v>4735.5184799999997</v>
      </c>
      <c r="G138" s="39">
        <v>4291.5051556502149</v>
      </c>
      <c r="H138" s="40">
        <v>0.11505132346597313</v>
      </c>
      <c r="I138" s="40">
        <v>-9.3762346451614964E-2</v>
      </c>
      <c r="J138" s="40">
        <v>1.2052714446671331E-2</v>
      </c>
    </row>
    <row r="139" spans="1:10" ht="11.25" customHeight="1" x14ac:dyDescent="0.2">
      <c r="A139" s="49">
        <v>44682</v>
      </c>
      <c r="B139" s="39">
        <v>0</v>
      </c>
      <c r="C139" s="39">
        <v>0</v>
      </c>
      <c r="D139" s="39">
        <v>4889.51404</v>
      </c>
      <c r="E139" s="39">
        <v>5452.059101407458</v>
      </c>
      <c r="F139" s="39">
        <v>4759.3711200000007</v>
      </c>
      <c r="G139" s="39">
        <v>4313.1213161547494</v>
      </c>
      <c r="H139" s="40">
        <v>0.11505132346597335</v>
      </c>
      <c r="I139" s="40">
        <v>-9.3762346451615075E-2</v>
      </c>
      <c r="J139" s="40">
        <v>1.2052714446671553E-2</v>
      </c>
    </row>
    <row r="140" spans="1:10" ht="11.25" customHeight="1" x14ac:dyDescent="0.2">
      <c r="A140" s="49">
        <v>44713</v>
      </c>
      <c r="B140" s="39">
        <v>0</v>
      </c>
      <c r="C140" s="39">
        <v>0</v>
      </c>
      <c r="D140" s="39">
        <v>4257.5252799999998</v>
      </c>
      <c r="E140" s="39">
        <v>4747.3591981538384</v>
      </c>
      <c r="F140" s="39">
        <v>4144.2038400000001</v>
      </c>
      <c r="G140" s="39">
        <v>3755.6335637878074</v>
      </c>
      <c r="H140" s="40">
        <v>0.11505132346597335</v>
      </c>
      <c r="I140" s="40">
        <v>-9.3762346451614853E-2</v>
      </c>
      <c r="J140" s="40">
        <v>1.2052714446671553E-2</v>
      </c>
    </row>
    <row r="141" spans="1:10" ht="11.25" customHeight="1" x14ac:dyDescent="0.2">
      <c r="A141" s="49">
        <v>44743</v>
      </c>
      <c r="B141" s="39">
        <v>0</v>
      </c>
      <c r="C141" s="39">
        <v>0</v>
      </c>
      <c r="D141" s="39">
        <v>4158.5176599999995</v>
      </c>
      <c r="E141" s="39">
        <v>4636.9606204396214</v>
      </c>
      <c r="F141" s="39">
        <v>4047.8314800000003</v>
      </c>
      <c r="G141" s="39">
        <v>3668.2973023944869</v>
      </c>
      <c r="H141" s="40">
        <v>0.11505132346597313</v>
      </c>
      <c r="I141" s="40">
        <v>-9.3762346451614964E-2</v>
      </c>
      <c r="J141" s="40">
        <v>1.2052714446671553E-2</v>
      </c>
    </row>
    <row r="142" spans="1:10" ht="11.25" customHeight="1" x14ac:dyDescent="0.2">
      <c r="A142" s="45" t="s">
        <v>30</v>
      </c>
      <c r="B142" s="39">
        <v>0</v>
      </c>
      <c r="C142" s="39">
        <v>0</v>
      </c>
      <c r="D142" s="39">
        <v>90422.117910000015</v>
      </c>
      <c r="E142" s="39">
        <v>100825.30224614179</v>
      </c>
      <c r="F142" s="39">
        <v>88015.375980000012</v>
      </c>
      <c r="G142" s="39">
        <v>79762.847804294113</v>
      </c>
      <c r="H142" s="40">
        <v>0.11505132346597313</v>
      </c>
      <c r="I142" s="40">
        <v>-9.3762346451614853E-2</v>
      </c>
      <c r="J142" s="40">
        <v>1.2052714446671553E-2</v>
      </c>
    </row>
    <row r="143" spans="1:10" ht="11.25" customHeight="1" x14ac:dyDescent="0.2">
      <c r="A143" s="46" t="s">
        <v>25</v>
      </c>
      <c r="B143" s="39">
        <v>0</v>
      </c>
      <c r="C143" s="39">
        <v>0</v>
      </c>
      <c r="D143" s="39">
        <v>90422.117910000015</v>
      </c>
      <c r="E143" s="39">
        <v>100825.30224614179</v>
      </c>
      <c r="F143" s="39">
        <v>88015.375980000012</v>
      </c>
      <c r="G143" s="39">
        <v>79762.847804294113</v>
      </c>
      <c r="H143" s="40">
        <v>0.11505132346597313</v>
      </c>
      <c r="I143" s="40">
        <v>-9.3762346451614853E-2</v>
      </c>
      <c r="J143" s="40">
        <v>1.2052714446671553E-2</v>
      </c>
    </row>
    <row r="144" spans="1:10" ht="11.25" customHeight="1" x14ac:dyDescent="0.2">
      <c r="A144" s="47" t="s">
        <v>25</v>
      </c>
      <c r="B144" s="39">
        <v>0</v>
      </c>
      <c r="C144" s="39">
        <v>0</v>
      </c>
      <c r="D144" s="39">
        <v>90422.117910000015</v>
      </c>
      <c r="E144" s="39">
        <v>100825.30224614179</v>
      </c>
      <c r="F144" s="39">
        <v>88015.375980000012</v>
      </c>
      <c r="G144" s="39">
        <v>79762.847804294113</v>
      </c>
      <c r="H144" s="40">
        <v>0.11505132346597313</v>
      </c>
      <c r="I144" s="40">
        <v>-9.3762346451614853E-2</v>
      </c>
      <c r="J144" s="40">
        <v>1.2052714446671553E-2</v>
      </c>
    </row>
    <row r="145" spans="1:10" ht="11.25" customHeight="1" x14ac:dyDescent="0.2">
      <c r="A145" s="48" t="s">
        <v>25</v>
      </c>
      <c r="B145" s="39">
        <v>0</v>
      </c>
      <c r="C145" s="39">
        <v>0</v>
      </c>
      <c r="D145" s="39">
        <v>90422.117910000015</v>
      </c>
      <c r="E145" s="39">
        <v>100825.30224614179</v>
      </c>
      <c r="F145" s="39">
        <v>88015.375980000012</v>
      </c>
      <c r="G145" s="39">
        <v>79762.847804294113</v>
      </c>
      <c r="H145" s="40">
        <v>0.11505132346597313</v>
      </c>
      <c r="I145" s="40">
        <v>-9.3762346451614853E-2</v>
      </c>
      <c r="J145" s="40">
        <v>1.2052714446671553E-2</v>
      </c>
    </row>
    <row r="146" spans="1:10" ht="11.25" customHeight="1" x14ac:dyDescent="0.2">
      <c r="A146" s="49">
        <v>44409</v>
      </c>
      <c r="B146" s="39">
        <v>0</v>
      </c>
      <c r="C146" s="39">
        <v>0</v>
      </c>
      <c r="D146" s="39">
        <v>7033.09818</v>
      </c>
      <c r="E146" s="39">
        <v>7842.2654336751275</v>
      </c>
      <c r="F146" s="39">
        <v>6845.9000400000004</v>
      </c>
      <c r="G146" s="39">
        <v>6204.0123886763959</v>
      </c>
      <c r="H146" s="40">
        <v>0.11505132346597313</v>
      </c>
      <c r="I146" s="40">
        <v>-9.3762346451614964E-2</v>
      </c>
      <c r="J146" s="40">
        <v>1.2052714446671553E-2</v>
      </c>
    </row>
    <row r="147" spans="1:10" ht="11.25" customHeight="1" x14ac:dyDescent="0.2">
      <c r="A147" s="49">
        <v>44440</v>
      </c>
      <c r="B147" s="39">
        <v>0</v>
      </c>
      <c r="C147" s="39">
        <v>0</v>
      </c>
      <c r="D147" s="39">
        <v>6304.7696699999997</v>
      </c>
      <c r="E147" s="39">
        <v>7030.1417646816271</v>
      </c>
      <c r="F147" s="39">
        <v>6136.9572600000001</v>
      </c>
      <c r="G147" s="39">
        <v>5561.5417472291265</v>
      </c>
      <c r="H147" s="40">
        <v>0.11505132346597335</v>
      </c>
      <c r="I147" s="40">
        <v>-9.3762346451614964E-2</v>
      </c>
      <c r="J147" s="40">
        <v>1.2052714446671331E-2</v>
      </c>
    </row>
    <row r="148" spans="1:10" ht="11.25" customHeight="1" x14ac:dyDescent="0.2">
      <c r="A148" s="49">
        <v>44470</v>
      </c>
      <c r="B148" s="39">
        <v>0</v>
      </c>
      <c r="C148" s="39">
        <v>0</v>
      </c>
      <c r="D148" s="39">
        <v>7828.1234400000003</v>
      </c>
      <c r="E148" s="39">
        <v>8728.759402027008</v>
      </c>
      <c r="F148" s="39">
        <v>7619.7643200000011</v>
      </c>
      <c r="G148" s="39">
        <v>6905.317337948507</v>
      </c>
      <c r="H148" s="40">
        <v>0.11505132346597335</v>
      </c>
      <c r="I148" s="40">
        <v>-9.3762346451614964E-2</v>
      </c>
      <c r="J148" s="40">
        <v>1.2052714446671553E-2</v>
      </c>
    </row>
    <row r="149" spans="1:10" ht="11.25" customHeight="1" x14ac:dyDescent="0.2">
      <c r="A149" s="49">
        <v>44501</v>
      </c>
      <c r="B149" s="39">
        <v>0</v>
      </c>
      <c r="C149" s="39">
        <v>0</v>
      </c>
      <c r="D149" s="39">
        <v>6700.5037199999997</v>
      </c>
      <c r="E149" s="39">
        <v>7471.4055408746772</v>
      </c>
      <c r="F149" s="39">
        <v>6522.15816</v>
      </c>
      <c r="G149" s="39">
        <v>5910.625306989853</v>
      </c>
      <c r="H149" s="40">
        <v>0.11505132346597335</v>
      </c>
      <c r="I149" s="40">
        <v>-9.3762346451614853E-2</v>
      </c>
      <c r="J149" s="40">
        <v>1.2052714446671775E-2</v>
      </c>
    </row>
    <row r="150" spans="1:10" ht="11.25" customHeight="1" x14ac:dyDescent="0.2">
      <c r="A150" s="49">
        <v>44531</v>
      </c>
      <c r="B150" s="39">
        <v>0</v>
      </c>
      <c r="C150" s="39">
        <v>0</v>
      </c>
      <c r="D150" s="39">
        <v>7672.4976900000001</v>
      </c>
      <c r="E150" s="39">
        <v>8555.2287035241225</v>
      </c>
      <c r="F150" s="39">
        <v>7468.2808199999999</v>
      </c>
      <c r="G150" s="39">
        <v>6768.0372863572102</v>
      </c>
      <c r="H150" s="40">
        <v>0.11505132346597313</v>
      </c>
      <c r="I150" s="40">
        <v>-9.3762346451614742E-2</v>
      </c>
      <c r="J150" s="40">
        <v>1.2052714446671553E-2</v>
      </c>
    </row>
    <row r="151" spans="1:10" ht="11.25" customHeight="1" x14ac:dyDescent="0.2">
      <c r="A151" s="49">
        <v>44562</v>
      </c>
      <c r="B151" s="39">
        <v>0</v>
      </c>
      <c r="C151" s="39">
        <v>0</v>
      </c>
      <c r="D151" s="39">
        <v>7240.8956100000005</v>
      </c>
      <c r="E151" s="39">
        <v>8073.970233009456</v>
      </c>
      <c r="F151" s="39">
        <v>7048.1665800000001</v>
      </c>
      <c r="G151" s="39">
        <v>6387.3139432773469</v>
      </c>
      <c r="H151" s="40">
        <v>0.11505132346597313</v>
      </c>
      <c r="I151" s="40">
        <v>-9.3762346451614853E-2</v>
      </c>
      <c r="J151" s="40">
        <v>1.2052714446671553E-2</v>
      </c>
    </row>
    <row r="152" spans="1:10" ht="11.25" customHeight="1" x14ac:dyDescent="0.2">
      <c r="A152" s="49">
        <v>44593</v>
      </c>
      <c r="B152" s="39">
        <v>0</v>
      </c>
      <c r="C152" s="39">
        <v>0</v>
      </c>
      <c r="D152" s="39">
        <v>9297.230520000001</v>
      </c>
      <c r="E152" s="39">
        <v>10366.889195894239</v>
      </c>
      <c r="F152" s="39">
        <v>9049.7685600000004</v>
      </c>
      <c r="G152" s="39">
        <v>8201.2410249703498</v>
      </c>
      <c r="H152" s="40">
        <v>0.11505132346597313</v>
      </c>
      <c r="I152" s="40">
        <v>-9.3762346451614742E-2</v>
      </c>
      <c r="J152" s="40">
        <v>1.2052714446671553E-2</v>
      </c>
    </row>
    <row r="153" spans="1:10" ht="11.25" customHeight="1" x14ac:dyDescent="0.2">
      <c r="A153" s="49">
        <v>44621</v>
      </c>
      <c r="B153" s="39">
        <v>0</v>
      </c>
      <c r="C153" s="39">
        <v>0</v>
      </c>
      <c r="D153" s="39">
        <v>7859.5450199999996</v>
      </c>
      <c r="E153" s="39">
        <v>8763.7960763913998</v>
      </c>
      <c r="F153" s="39">
        <v>7650.3495600000006</v>
      </c>
      <c r="G153" s="39">
        <v>6933.0348340793207</v>
      </c>
      <c r="H153" s="40">
        <v>0.11505132346597335</v>
      </c>
      <c r="I153" s="40">
        <v>-9.3762346451614964E-2</v>
      </c>
      <c r="J153" s="40">
        <v>1.2052714446671553E-2</v>
      </c>
    </row>
    <row r="154" spans="1:10" ht="11.25" customHeight="1" x14ac:dyDescent="0.2">
      <c r="A154" s="49">
        <v>44652</v>
      </c>
      <c r="B154" s="39">
        <v>0</v>
      </c>
      <c r="C154" s="39">
        <v>0</v>
      </c>
      <c r="D154" s="39">
        <v>8827.38897</v>
      </c>
      <c r="E154" s="39">
        <v>9842.9917537474339</v>
      </c>
      <c r="F154" s="39">
        <v>8592.4326600000004</v>
      </c>
      <c r="G154" s="39">
        <v>7786.7860120709101</v>
      </c>
      <c r="H154" s="40">
        <v>0.11505132346597313</v>
      </c>
      <c r="I154" s="40">
        <v>-9.3762346451614853E-2</v>
      </c>
      <c r="J154" s="40">
        <v>1.2052714446671775E-2</v>
      </c>
    </row>
    <row r="155" spans="1:10" ht="11.25" customHeight="1" x14ac:dyDescent="0.2">
      <c r="A155" s="49">
        <v>44682</v>
      </c>
      <c r="B155" s="39">
        <v>0</v>
      </c>
      <c r="C155" s="39">
        <v>0</v>
      </c>
      <c r="D155" s="39">
        <v>8303.8935900000015</v>
      </c>
      <c r="E155" s="39">
        <v>9259.2675374501123</v>
      </c>
      <c r="F155" s="39">
        <v>8082.8710200000014</v>
      </c>
      <c r="G155" s="39">
        <v>7325.0020670990434</v>
      </c>
      <c r="H155" s="40">
        <v>0.11505132346597313</v>
      </c>
      <c r="I155" s="40">
        <v>-9.3762346451614853E-2</v>
      </c>
      <c r="J155" s="40">
        <v>1.2052714446671553E-2</v>
      </c>
    </row>
    <row r="156" spans="1:10" ht="11.25" customHeight="1" x14ac:dyDescent="0.2">
      <c r="A156" s="49">
        <v>44713</v>
      </c>
      <c r="B156" s="39">
        <v>0</v>
      </c>
      <c r="C156" s="39">
        <v>0</v>
      </c>
      <c r="D156" s="39">
        <v>6632.6212500000001</v>
      </c>
      <c r="E156" s="39">
        <v>7395.7131028610384</v>
      </c>
      <c r="F156" s="39">
        <v>6456.0825000000004</v>
      </c>
      <c r="G156" s="39">
        <v>5850.7450559147928</v>
      </c>
      <c r="H156" s="40">
        <v>0.11505132346597335</v>
      </c>
      <c r="I156" s="40">
        <v>-9.3762346451614853E-2</v>
      </c>
      <c r="J156" s="40">
        <v>1.2052714446671775E-2</v>
      </c>
    </row>
    <row r="157" spans="1:10" ht="11.25" customHeight="1" x14ac:dyDescent="0.2">
      <c r="A157" s="49">
        <v>44743</v>
      </c>
      <c r="B157" s="39">
        <v>0</v>
      </c>
      <c r="C157" s="39">
        <v>0</v>
      </c>
      <c r="D157" s="39">
        <v>6721.5502500000002</v>
      </c>
      <c r="E157" s="39">
        <v>7494.8735020055437</v>
      </c>
      <c r="F157" s="39">
        <v>6542.6445000000003</v>
      </c>
      <c r="G157" s="39">
        <v>5929.1907996812479</v>
      </c>
      <c r="H157" s="40">
        <v>0.11505132346597335</v>
      </c>
      <c r="I157" s="40">
        <v>-9.3762346451614853E-2</v>
      </c>
      <c r="J157" s="40">
        <v>1.2052714446671553E-2</v>
      </c>
    </row>
    <row r="158" spans="1:10" ht="11.25" customHeight="1" x14ac:dyDescent="0.2">
      <c r="A158" s="45" t="s">
        <v>31</v>
      </c>
      <c r="B158" s="39">
        <v>0</v>
      </c>
      <c r="C158" s="39">
        <v>0</v>
      </c>
      <c r="D158" s="39">
        <v>36060.086340000002</v>
      </c>
      <c r="E158" s="39">
        <v>40208.440070884266</v>
      </c>
      <c r="F158" s="39">
        <v>35099.929200000006</v>
      </c>
      <c r="G158" s="39">
        <v>31808.877477922448</v>
      </c>
      <c r="H158" s="40">
        <v>0.11504003877779589</v>
      </c>
      <c r="I158" s="40">
        <v>-9.3762346451614964E-2</v>
      </c>
      <c r="J158" s="40">
        <v>1.2047524193200987E-2</v>
      </c>
    </row>
    <row r="159" spans="1:10" ht="11.25" customHeight="1" x14ac:dyDescent="0.2">
      <c r="A159" s="46" t="s">
        <v>25</v>
      </c>
      <c r="B159" s="39">
        <v>0</v>
      </c>
      <c r="C159" s="39">
        <v>0</v>
      </c>
      <c r="D159" s="39">
        <v>36060.086340000002</v>
      </c>
      <c r="E159" s="39">
        <v>40208.440070884266</v>
      </c>
      <c r="F159" s="39">
        <v>35099.929200000006</v>
      </c>
      <c r="G159" s="39">
        <v>31808.877477922448</v>
      </c>
      <c r="H159" s="40">
        <v>0.11504003877779589</v>
      </c>
      <c r="I159" s="40">
        <v>-9.3762346451614964E-2</v>
      </c>
      <c r="J159" s="40">
        <v>1.2047524193200987E-2</v>
      </c>
    </row>
    <row r="160" spans="1:10" ht="11.25" customHeight="1" x14ac:dyDescent="0.2">
      <c r="A160" s="47" t="s">
        <v>25</v>
      </c>
      <c r="B160" s="39">
        <v>0</v>
      </c>
      <c r="C160" s="39">
        <v>0</v>
      </c>
      <c r="D160" s="39">
        <v>36060.086340000002</v>
      </c>
      <c r="E160" s="39">
        <v>40208.440070884266</v>
      </c>
      <c r="F160" s="39">
        <v>35099.929200000006</v>
      </c>
      <c r="G160" s="39">
        <v>31808.877477922448</v>
      </c>
      <c r="H160" s="40">
        <v>0.11504003877779589</v>
      </c>
      <c r="I160" s="40">
        <v>-9.3762346451614964E-2</v>
      </c>
      <c r="J160" s="40">
        <v>1.2047524193200987E-2</v>
      </c>
    </row>
    <row r="161" spans="1:10" ht="11.25" customHeight="1" x14ac:dyDescent="0.2">
      <c r="A161" s="48" t="s">
        <v>25</v>
      </c>
      <c r="B161" s="39">
        <v>0</v>
      </c>
      <c r="C161" s="39">
        <v>0</v>
      </c>
      <c r="D161" s="39">
        <v>36060.086340000002</v>
      </c>
      <c r="E161" s="39">
        <v>40208.440070884266</v>
      </c>
      <c r="F161" s="39">
        <v>35099.929200000006</v>
      </c>
      <c r="G161" s="39">
        <v>31808.877477922448</v>
      </c>
      <c r="H161" s="40">
        <v>0.11504003877779589</v>
      </c>
      <c r="I161" s="40">
        <v>-9.3762346451614964E-2</v>
      </c>
      <c r="J161" s="40">
        <v>1.2047524193200987E-2</v>
      </c>
    </row>
    <row r="162" spans="1:10" ht="11.25" customHeight="1" x14ac:dyDescent="0.2">
      <c r="A162" s="49">
        <v>44409</v>
      </c>
      <c r="B162" s="39">
        <v>0</v>
      </c>
      <c r="C162" s="39">
        <v>0</v>
      </c>
      <c r="D162" s="39">
        <v>2624.0907899999997</v>
      </c>
      <c r="E162" s="39">
        <v>2925.9662962380576</v>
      </c>
      <c r="F162" s="39">
        <v>2554.2202000000002</v>
      </c>
      <c r="G162" s="39">
        <v>2314.7305206938868</v>
      </c>
      <c r="H162" s="40">
        <v>0.11504003877779612</v>
      </c>
      <c r="I162" s="40">
        <v>-9.3762346451615075E-2</v>
      </c>
      <c r="J162" s="40">
        <v>1.2047524193201209E-2</v>
      </c>
    </row>
    <row r="163" spans="1:10" ht="11.25" customHeight="1" x14ac:dyDescent="0.2">
      <c r="A163" s="49">
        <v>44440</v>
      </c>
      <c r="B163" s="39">
        <v>0</v>
      </c>
      <c r="C163" s="39">
        <v>0</v>
      </c>
      <c r="D163" s="39">
        <v>1774.6455599999999</v>
      </c>
      <c r="E163" s="39">
        <v>1978.8008540392436</v>
      </c>
      <c r="F163" s="39">
        <v>1727.3928000000001</v>
      </c>
      <c r="G163" s="39">
        <v>1565.428397828375</v>
      </c>
      <c r="H163" s="40">
        <v>0.11504003877779612</v>
      </c>
      <c r="I163" s="40">
        <v>-9.3762346451614853E-2</v>
      </c>
      <c r="J163" s="40">
        <v>1.2047524193201209E-2</v>
      </c>
    </row>
    <row r="164" spans="1:10" ht="11.25" customHeight="1" x14ac:dyDescent="0.2">
      <c r="A164" s="49">
        <v>44470</v>
      </c>
      <c r="B164" s="39">
        <v>0</v>
      </c>
      <c r="C164" s="39">
        <v>0</v>
      </c>
      <c r="D164" s="39">
        <v>3062.8116299999997</v>
      </c>
      <c r="E164" s="39">
        <v>3415.1575986842845</v>
      </c>
      <c r="F164" s="39">
        <v>2981.2593999999999</v>
      </c>
      <c r="G164" s="39">
        <v>2701.7295232750666</v>
      </c>
      <c r="H164" s="40">
        <v>0.11504003877779612</v>
      </c>
      <c r="I164" s="40">
        <v>-9.3762346451614853E-2</v>
      </c>
      <c r="J164" s="40">
        <v>1.2047524193201209E-2</v>
      </c>
    </row>
    <row r="165" spans="1:10" ht="11.25" customHeight="1" x14ac:dyDescent="0.2">
      <c r="A165" s="49">
        <v>44501</v>
      </c>
      <c r="B165" s="39">
        <v>0</v>
      </c>
      <c r="C165" s="39">
        <v>0</v>
      </c>
      <c r="D165" s="39">
        <v>1774.9749300000001</v>
      </c>
      <c r="E165" s="39">
        <v>1979.1681147768161</v>
      </c>
      <c r="F165" s="39">
        <v>1727.7134000000001</v>
      </c>
      <c r="G165" s="39">
        <v>1565.7189376201027</v>
      </c>
      <c r="H165" s="40">
        <v>0.11504003877779612</v>
      </c>
      <c r="I165" s="40">
        <v>-9.3762346451614853E-2</v>
      </c>
      <c r="J165" s="40">
        <v>1.2047524193201431E-2</v>
      </c>
    </row>
    <row r="166" spans="1:10" ht="11.25" customHeight="1" x14ac:dyDescent="0.2">
      <c r="A166" s="49">
        <v>44531</v>
      </c>
      <c r="B166" s="39">
        <v>0</v>
      </c>
      <c r="C166" s="39">
        <v>0</v>
      </c>
      <c r="D166" s="39">
        <v>2665.9207799999999</v>
      </c>
      <c r="E166" s="39">
        <v>2972.608409909732</v>
      </c>
      <c r="F166" s="39">
        <v>2594.9364</v>
      </c>
      <c r="G166" s="39">
        <v>2351.6290742432939</v>
      </c>
      <c r="H166" s="40">
        <v>0.11504003877779589</v>
      </c>
      <c r="I166" s="40">
        <v>-9.3762346451614853E-2</v>
      </c>
      <c r="J166" s="40">
        <v>1.2047524193200987E-2</v>
      </c>
    </row>
    <row r="167" spans="1:10" ht="11.25" customHeight="1" x14ac:dyDescent="0.2">
      <c r="A167" s="49">
        <v>44562</v>
      </c>
      <c r="B167" s="39">
        <v>0</v>
      </c>
      <c r="C167" s="39">
        <v>0</v>
      </c>
      <c r="D167" s="39">
        <v>2277.2641800000001</v>
      </c>
      <c r="E167" s="39">
        <v>2539.2407395744858</v>
      </c>
      <c r="F167" s="39">
        <v>2216.6284000000001</v>
      </c>
      <c r="G167" s="39">
        <v>2008.7921200047113</v>
      </c>
      <c r="H167" s="40">
        <v>0.11504003877779589</v>
      </c>
      <c r="I167" s="40">
        <v>-9.3762346451614853E-2</v>
      </c>
      <c r="J167" s="40">
        <v>1.2047524193201209E-2</v>
      </c>
    </row>
    <row r="168" spans="1:10" ht="11.25" customHeight="1" x14ac:dyDescent="0.2">
      <c r="A168" s="49">
        <v>44593</v>
      </c>
      <c r="B168" s="39">
        <v>0</v>
      </c>
      <c r="C168" s="39">
        <v>0</v>
      </c>
      <c r="D168" s="39">
        <v>6006.7206899999992</v>
      </c>
      <c r="E168" s="39">
        <v>6697.7340711049892</v>
      </c>
      <c r="F168" s="39">
        <v>5846.7821999999996</v>
      </c>
      <c r="G168" s="39">
        <v>5298.5741817364651</v>
      </c>
      <c r="H168" s="40">
        <v>0.11504003877779612</v>
      </c>
      <c r="I168" s="40">
        <v>-9.3762346451614853E-2</v>
      </c>
      <c r="J168" s="40">
        <v>1.2047524193201209E-2</v>
      </c>
    </row>
    <row r="169" spans="1:10" ht="11.25" customHeight="1" x14ac:dyDescent="0.2">
      <c r="A169" s="49">
        <v>44621</v>
      </c>
      <c r="B169" s="39">
        <v>0</v>
      </c>
      <c r="C169" s="39">
        <v>0</v>
      </c>
      <c r="D169" s="39">
        <v>3133.2968099999998</v>
      </c>
      <c r="E169" s="39">
        <v>3493.7513965247449</v>
      </c>
      <c r="F169" s="39">
        <v>3049.8678</v>
      </c>
      <c r="G169" s="39">
        <v>2763.9050387047755</v>
      </c>
      <c r="H169" s="40">
        <v>0.11504003877779612</v>
      </c>
      <c r="I169" s="40">
        <v>-9.3762346451614853E-2</v>
      </c>
      <c r="J169" s="40">
        <v>1.2047524193201209E-2</v>
      </c>
    </row>
    <row r="170" spans="1:10" ht="11.25" customHeight="1" x14ac:dyDescent="0.2">
      <c r="A170" s="49">
        <v>44652</v>
      </c>
      <c r="B170" s="39">
        <v>0</v>
      </c>
      <c r="C170" s="39">
        <v>0</v>
      </c>
      <c r="D170" s="39">
        <v>4481.7375899999997</v>
      </c>
      <c r="E170" s="39">
        <v>4997.3168561455059</v>
      </c>
      <c r="F170" s="39">
        <v>4362.4041999999999</v>
      </c>
      <c r="G170" s="39">
        <v>3953.3749460376202</v>
      </c>
      <c r="H170" s="40">
        <v>0.11504003877779612</v>
      </c>
      <c r="I170" s="40">
        <v>-9.3762346451614853E-2</v>
      </c>
      <c r="J170" s="40">
        <v>1.2047524193201209E-2</v>
      </c>
    </row>
    <row r="171" spans="1:10" ht="11.25" customHeight="1" x14ac:dyDescent="0.2">
      <c r="A171" s="49">
        <v>44682</v>
      </c>
      <c r="B171" s="39">
        <v>0</v>
      </c>
      <c r="C171" s="39">
        <v>0</v>
      </c>
      <c r="D171" s="39">
        <v>2916.2419799999998</v>
      </c>
      <c r="E171" s="39">
        <v>3251.7265704646366</v>
      </c>
      <c r="F171" s="39">
        <v>2838.5924</v>
      </c>
      <c r="G171" s="39">
        <v>2572.4393159562787</v>
      </c>
      <c r="H171" s="40">
        <v>0.11504003877779612</v>
      </c>
      <c r="I171" s="40">
        <v>-9.3762346451614964E-2</v>
      </c>
      <c r="J171" s="40">
        <v>1.2047524193200987E-2</v>
      </c>
    </row>
    <row r="172" spans="1:10" ht="11.25" customHeight="1" x14ac:dyDescent="0.2">
      <c r="A172" s="49">
        <v>44713</v>
      </c>
      <c r="B172" s="39">
        <v>0</v>
      </c>
      <c r="C172" s="39">
        <v>0</v>
      </c>
      <c r="D172" s="39">
        <v>1970.29134</v>
      </c>
      <c r="E172" s="39">
        <v>2196.9537321571561</v>
      </c>
      <c r="F172" s="39">
        <v>1917.8292000000001</v>
      </c>
      <c r="G172" s="39">
        <v>1738.0090341145767</v>
      </c>
      <c r="H172" s="40">
        <v>0.11504003877779634</v>
      </c>
      <c r="I172" s="40">
        <v>-9.3762346451614853E-2</v>
      </c>
      <c r="J172" s="40">
        <v>1.2047524193201431E-2</v>
      </c>
    </row>
    <row r="173" spans="1:10" ht="11.25" customHeight="1" x14ac:dyDescent="0.2">
      <c r="A173" s="49">
        <v>44743</v>
      </c>
      <c r="B173" s="39">
        <v>0</v>
      </c>
      <c r="C173" s="39">
        <v>0</v>
      </c>
      <c r="D173" s="39">
        <v>3372.09006</v>
      </c>
      <c r="E173" s="39">
        <v>3760.0154312646205</v>
      </c>
      <c r="F173" s="39">
        <v>3282.3027999999999</v>
      </c>
      <c r="G173" s="39">
        <v>2974.5463877072943</v>
      </c>
      <c r="H173" s="40">
        <v>0.11504003877779612</v>
      </c>
      <c r="I173" s="40">
        <v>-9.3762346451614853E-2</v>
      </c>
      <c r="J173" s="40">
        <v>1.2047524193201209E-2</v>
      </c>
    </row>
    <row r="174" spans="1:10" ht="11.25" customHeight="1" x14ac:dyDescent="0.2">
      <c r="A174" s="42" t="s">
        <v>41</v>
      </c>
      <c r="B174" s="39">
        <v>0</v>
      </c>
      <c r="C174" s="39">
        <v>0</v>
      </c>
      <c r="D174" s="39">
        <v>4212.9088000000002</v>
      </c>
      <c r="E174" s="39">
        <v>5465.950507533702</v>
      </c>
      <c r="F174" s="39">
        <v>3340.4192000000003</v>
      </c>
      <c r="G174" s="39">
        <v>3233.5916660116336</v>
      </c>
      <c r="H174" s="40">
        <v>0.29742910825264057</v>
      </c>
      <c r="I174" s="40">
        <v>-3.1980277801171408E-2</v>
      </c>
      <c r="J174" s="40">
        <v>0.15174955642669485</v>
      </c>
    </row>
    <row r="175" spans="1:10" ht="11.25" customHeight="1" x14ac:dyDescent="0.2">
      <c r="A175" s="43" t="s">
        <v>23</v>
      </c>
      <c r="B175" s="39">
        <v>0</v>
      </c>
      <c r="C175" s="39">
        <v>0</v>
      </c>
      <c r="D175" s="39">
        <v>4212.9088000000002</v>
      </c>
      <c r="E175" s="39">
        <v>5465.950507533702</v>
      </c>
      <c r="F175" s="39">
        <v>3340.4192000000003</v>
      </c>
      <c r="G175" s="39">
        <v>3233.5916660116336</v>
      </c>
      <c r="H175" s="40">
        <v>0.29742910825264057</v>
      </c>
      <c r="I175" s="40">
        <v>-3.1980277801171408E-2</v>
      </c>
      <c r="J175" s="40">
        <v>0.15174955642669485</v>
      </c>
    </row>
    <row r="176" spans="1:10" ht="11.25" customHeight="1" x14ac:dyDescent="0.2">
      <c r="A176" s="44" t="s">
        <v>42</v>
      </c>
      <c r="B176" s="39">
        <v>0</v>
      </c>
      <c r="C176" s="39">
        <v>0</v>
      </c>
      <c r="D176" s="39">
        <v>4212.9088000000002</v>
      </c>
      <c r="E176" s="39">
        <v>5465.950507533702</v>
      </c>
      <c r="F176" s="39">
        <v>3340.4192000000003</v>
      </c>
      <c r="G176" s="39">
        <v>3233.5916660116336</v>
      </c>
      <c r="H176" s="40">
        <v>0.29742910825264057</v>
      </c>
      <c r="I176" s="40">
        <v>-3.1980277801171408E-2</v>
      </c>
      <c r="J176" s="40">
        <v>0.15174955642669485</v>
      </c>
    </row>
    <row r="177" spans="1:10" ht="11.25" customHeight="1" x14ac:dyDescent="0.2">
      <c r="A177" s="45" t="s">
        <v>25</v>
      </c>
      <c r="B177" s="39">
        <v>0</v>
      </c>
      <c r="C177" s="39">
        <v>0</v>
      </c>
      <c r="D177" s="39">
        <v>4212.9088000000002</v>
      </c>
      <c r="E177" s="39">
        <v>5465.950507533702</v>
      </c>
      <c r="F177" s="39">
        <v>3340.4192000000003</v>
      </c>
      <c r="G177" s="39">
        <v>3233.5916660116336</v>
      </c>
      <c r="H177" s="40">
        <v>0.29742910825264057</v>
      </c>
      <c r="I177" s="40">
        <v>-3.1980277801171408E-2</v>
      </c>
      <c r="J177" s="40">
        <v>0.15174955642669485</v>
      </c>
    </row>
    <row r="178" spans="1:10" ht="11.25" customHeight="1" x14ac:dyDescent="0.2">
      <c r="A178" s="46" t="s">
        <v>25</v>
      </c>
      <c r="B178" s="39">
        <v>0</v>
      </c>
      <c r="C178" s="39">
        <v>0</v>
      </c>
      <c r="D178" s="39">
        <v>4212.9088000000002</v>
      </c>
      <c r="E178" s="39">
        <v>5465.950507533702</v>
      </c>
      <c r="F178" s="39">
        <v>3340.4192000000003</v>
      </c>
      <c r="G178" s="39">
        <v>3233.5916660116336</v>
      </c>
      <c r="H178" s="40">
        <v>0.29742910825264057</v>
      </c>
      <c r="I178" s="40">
        <v>-3.1980277801171408E-2</v>
      </c>
      <c r="J178" s="40">
        <v>0.15174955642669485</v>
      </c>
    </row>
    <row r="179" spans="1:10" ht="11.25" customHeight="1" x14ac:dyDescent="0.2">
      <c r="A179" s="47" t="s">
        <v>25</v>
      </c>
      <c r="B179" s="39">
        <v>0</v>
      </c>
      <c r="C179" s="39">
        <v>0</v>
      </c>
      <c r="D179" s="39">
        <v>4212.9088000000002</v>
      </c>
      <c r="E179" s="39">
        <v>5465.950507533702</v>
      </c>
      <c r="F179" s="39">
        <v>3340.4192000000003</v>
      </c>
      <c r="G179" s="39">
        <v>3233.5916660116336</v>
      </c>
      <c r="H179" s="40">
        <v>0.29742910825264057</v>
      </c>
      <c r="I179" s="40">
        <v>-3.1980277801171408E-2</v>
      </c>
      <c r="J179" s="40">
        <v>0.15174955642669485</v>
      </c>
    </row>
    <row r="180" spans="1:10" ht="11.25" customHeight="1" x14ac:dyDescent="0.2">
      <c r="A180" s="48" t="s">
        <v>25</v>
      </c>
      <c r="B180" s="39">
        <v>0</v>
      </c>
      <c r="C180" s="39">
        <v>0</v>
      </c>
      <c r="D180" s="39">
        <v>4212.9088000000002</v>
      </c>
      <c r="E180" s="39">
        <v>5465.950507533702</v>
      </c>
      <c r="F180" s="39">
        <v>3340.4192000000003</v>
      </c>
      <c r="G180" s="39">
        <v>3233.5916660116336</v>
      </c>
      <c r="H180" s="40">
        <v>0.29742910825264057</v>
      </c>
      <c r="I180" s="40">
        <v>-3.1980277801171408E-2</v>
      </c>
      <c r="J180" s="40">
        <v>0.15174955642669485</v>
      </c>
    </row>
    <row r="181" spans="1:10" ht="11.25" customHeight="1" x14ac:dyDescent="0.2">
      <c r="A181" s="49">
        <v>44409</v>
      </c>
      <c r="B181" s="39">
        <v>0</v>
      </c>
      <c r="C181" s="39">
        <v>0</v>
      </c>
      <c r="D181" s="39">
        <v>303.51445999999999</v>
      </c>
      <c r="E181" s="39">
        <v>393.78849517958173</v>
      </c>
      <c r="F181" s="39">
        <v>240.65689</v>
      </c>
      <c r="G181" s="39">
        <v>232.96061580303407</v>
      </c>
      <c r="H181" s="40">
        <v>0.29742910825264057</v>
      </c>
      <c r="I181" s="40">
        <v>-3.1980277801171297E-2</v>
      </c>
      <c r="J181" s="40">
        <v>0.15174955642669508</v>
      </c>
    </row>
    <row r="182" spans="1:10" ht="11.25" customHeight="1" x14ac:dyDescent="0.2">
      <c r="A182" s="49">
        <v>44440</v>
      </c>
      <c r="B182" s="39">
        <v>0</v>
      </c>
      <c r="C182" s="39">
        <v>0</v>
      </c>
      <c r="D182" s="39">
        <v>328.42185999999998</v>
      </c>
      <c r="E182" s="39">
        <v>426.10408095047359</v>
      </c>
      <c r="F182" s="39">
        <v>260.40599000000003</v>
      </c>
      <c r="G182" s="39">
        <v>252.07813409871099</v>
      </c>
      <c r="H182" s="40">
        <v>0.29742910825264079</v>
      </c>
      <c r="I182" s="40">
        <v>-3.1980277801171297E-2</v>
      </c>
      <c r="J182" s="40">
        <v>0.15174955642669508</v>
      </c>
    </row>
    <row r="183" spans="1:10" ht="11.25" customHeight="1" x14ac:dyDescent="0.2">
      <c r="A183" s="49">
        <v>44470</v>
      </c>
      <c r="B183" s="39">
        <v>0</v>
      </c>
      <c r="C183" s="39">
        <v>0</v>
      </c>
      <c r="D183" s="39">
        <v>362.58057999999994</v>
      </c>
      <c r="E183" s="39">
        <v>470.42259857912518</v>
      </c>
      <c r="F183" s="39">
        <v>287.49046999999996</v>
      </c>
      <c r="G183" s="39">
        <v>278.29644490421066</v>
      </c>
      <c r="H183" s="40">
        <v>0.29742910825264079</v>
      </c>
      <c r="I183" s="40">
        <v>-3.1980277801171297E-2</v>
      </c>
      <c r="J183" s="40">
        <v>0.15174955642669508</v>
      </c>
    </row>
    <row r="184" spans="1:10" ht="11.25" customHeight="1" x14ac:dyDescent="0.2">
      <c r="A184" s="49">
        <v>44501</v>
      </c>
      <c r="B184" s="39">
        <v>0</v>
      </c>
      <c r="C184" s="39">
        <v>0</v>
      </c>
      <c r="D184" s="39">
        <v>331.26841999999999</v>
      </c>
      <c r="E184" s="39">
        <v>429.79729075286122</v>
      </c>
      <c r="F184" s="39">
        <v>262.66302999999999</v>
      </c>
      <c r="G184" s="39">
        <v>254.26299333250262</v>
      </c>
      <c r="H184" s="40">
        <v>0.29742910825264057</v>
      </c>
      <c r="I184" s="40">
        <v>-3.1980277801171186E-2</v>
      </c>
      <c r="J184" s="40">
        <v>0.15174955642669508</v>
      </c>
    </row>
    <row r="185" spans="1:10" ht="11.25" customHeight="1" x14ac:dyDescent="0.2">
      <c r="A185" s="49">
        <v>44531</v>
      </c>
      <c r="B185" s="39">
        <v>0</v>
      </c>
      <c r="C185" s="39">
        <v>0</v>
      </c>
      <c r="D185" s="39">
        <v>417.02103999999997</v>
      </c>
      <c r="E185" s="39">
        <v>541.05523604978873</v>
      </c>
      <c r="F185" s="39">
        <v>330.65635999999995</v>
      </c>
      <c r="G185" s="39">
        <v>320.08187775047588</v>
      </c>
      <c r="H185" s="40">
        <v>0.29742910825264057</v>
      </c>
      <c r="I185" s="40">
        <v>-3.1980277801171186E-2</v>
      </c>
      <c r="J185" s="40">
        <v>0.15174955642669508</v>
      </c>
    </row>
    <row r="186" spans="1:10" ht="11.25" customHeight="1" x14ac:dyDescent="0.2">
      <c r="A186" s="49">
        <v>44562</v>
      </c>
      <c r="B186" s="39">
        <v>0</v>
      </c>
      <c r="C186" s="39">
        <v>0</v>
      </c>
      <c r="D186" s="39">
        <v>403.49987999999996</v>
      </c>
      <c r="E186" s="39">
        <v>523.51248948844739</v>
      </c>
      <c r="F186" s="39">
        <v>319.93541999999997</v>
      </c>
      <c r="G186" s="39">
        <v>309.70379638996553</v>
      </c>
      <c r="H186" s="40">
        <v>0.29742910825264035</v>
      </c>
      <c r="I186" s="40">
        <v>-3.1980277801171408E-2</v>
      </c>
      <c r="J186" s="40">
        <v>0.15174955642669508</v>
      </c>
    </row>
    <row r="187" spans="1:10" ht="11.25" customHeight="1" x14ac:dyDescent="0.2">
      <c r="A187" s="49">
        <v>44593</v>
      </c>
      <c r="B187" s="39">
        <v>0</v>
      </c>
      <c r="C187" s="39">
        <v>0</v>
      </c>
      <c r="D187" s="39">
        <v>525.90196000000003</v>
      </c>
      <c r="E187" s="39">
        <v>682.32051099111584</v>
      </c>
      <c r="F187" s="39">
        <v>416.98813999999999</v>
      </c>
      <c r="G187" s="39">
        <v>403.65274344300627</v>
      </c>
      <c r="H187" s="40">
        <v>0.29742910825264057</v>
      </c>
      <c r="I187" s="40">
        <v>-3.1980277801171297E-2</v>
      </c>
      <c r="J187" s="40">
        <v>0.15174955642669485</v>
      </c>
    </row>
    <row r="188" spans="1:10" ht="11.25" customHeight="1" x14ac:dyDescent="0.2">
      <c r="A188" s="49">
        <v>44621</v>
      </c>
      <c r="B188" s="39">
        <v>0</v>
      </c>
      <c r="C188" s="39">
        <v>0</v>
      </c>
      <c r="D188" s="39">
        <v>381.43904000000003</v>
      </c>
      <c r="E188" s="39">
        <v>494.89011351994333</v>
      </c>
      <c r="F188" s="39">
        <v>302.44336000000004</v>
      </c>
      <c r="G188" s="39">
        <v>292.77113732808039</v>
      </c>
      <c r="H188" s="40">
        <v>0.29742910825264057</v>
      </c>
      <c r="I188" s="40">
        <v>-3.1980277801171297E-2</v>
      </c>
      <c r="J188" s="40">
        <v>0.15174955642669485</v>
      </c>
    </row>
    <row r="189" spans="1:10" ht="11.25" customHeight="1" x14ac:dyDescent="0.2">
      <c r="A189" s="49">
        <v>44652</v>
      </c>
      <c r="B189" s="39">
        <v>0</v>
      </c>
      <c r="C189" s="39">
        <v>0</v>
      </c>
      <c r="D189" s="39">
        <v>406.70226000000002</v>
      </c>
      <c r="E189" s="39">
        <v>527.66735051613352</v>
      </c>
      <c r="F189" s="39">
        <v>322.47458999999998</v>
      </c>
      <c r="G189" s="39">
        <v>312.16176302798118</v>
      </c>
      <c r="H189" s="40">
        <v>0.29742910825264035</v>
      </c>
      <c r="I189" s="40">
        <v>-3.1980277801171297E-2</v>
      </c>
      <c r="J189" s="40">
        <v>0.15174955642669508</v>
      </c>
    </row>
    <row r="190" spans="1:10" ht="11.25" customHeight="1" x14ac:dyDescent="0.2">
      <c r="A190" s="49">
        <v>44682</v>
      </c>
      <c r="B190" s="39">
        <v>0</v>
      </c>
      <c r="C190" s="39">
        <v>0</v>
      </c>
      <c r="D190" s="39">
        <v>274.33722</v>
      </c>
      <c r="E190" s="39">
        <v>355.93309470510849</v>
      </c>
      <c r="F190" s="39">
        <v>217.52223000000001</v>
      </c>
      <c r="G190" s="39">
        <v>210.56580865666973</v>
      </c>
      <c r="H190" s="40">
        <v>0.29742910825264057</v>
      </c>
      <c r="I190" s="40">
        <v>-3.1980277801171297E-2</v>
      </c>
      <c r="J190" s="40">
        <v>0.15174955642669508</v>
      </c>
    </row>
    <row r="191" spans="1:10" ht="11.25" customHeight="1" x14ac:dyDescent="0.2">
      <c r="A191" s="49">
        <v>44713</v>
      </c>
      <c r="B191" s="39">
        <v>0</v>
      </c>
      <c r="C191" s="39">
        <v>0</v>
      </c>
      <c r="D191" s="39">
        <v>246.58325999999997</v>
      </c>
      <c r="E191" s="39">
        <v>319.924299131829</v>
      </c>
      <c r="F191" s="39">
        <v>195.51608999999999</v>
      </c>
      <c r="G191" s="39">
        <v>189.26343112720119</v>
      </c>
      <c r="H191" s="40">
        <v>0.29742910825264079</v>
      </c>
      <c r="I191" s="40">
        <v>-3.1980277801171297E-2</v>
      </c>
      <c r="J191" s="40">
        <v>0.1517495564266953</v>
      </c>
    </row>
    <row r="192" spans="1:10" ht="11.25" customHeight="1" x14ac:dyDescent="0.2">
      <c r="A192" s="49">
        <v>44743</v>
      </c>
      <c r="B192" s="39">
        <v>0</v>
      </c>
      <c r="C192" s="39">
        <v>0</v>
      </c>
      <c r="D192" s="39">
        <v>231.63882000000001</v>
      </c>
      <c r="E192" s="39">
        <v>300.53494766929396</v>
      </c>
      <c r="F192" s="39">
        <v>183.66663</v>
      </c>
      <c r="G192" s="39">
        <v>177.79292014979507</v>
      </c>
      <c r="H192" s="40">
        <v>0.29742910825264057</v>
      </c>
      <c r="I192" s="40">
        <v>-3.1980277801171297E-2</v>
      </c>
      <c r="J192" s="40">
        <v>0.15174955642669508</v>
      </c>
    </row>
    <row r="193" spans="1:10" ht="11.25" customHeight="1" x14ac:dyDescent="0.2">
      <c r="A193" s="42" t="s">
        <v>32</v>
      </c>
      <c r="B193" s="39">
        <v>0</v>
      </c>
      <c r="C193" s="39">
        <v>0</v>
      </c>
      <c r="D193" s="39">
        <v>1949116.5094704002</v>
      </c>
      <c r="E193" s="39">
        <v>2367790.4812200144</v>
      </c>
      <c r="F193" s="39">
        <v>1547449.0240759996</v>
      </c>
      <c r="G193" s="39">
        <v>1402356.9386525892</v>
      </c>
      <c r="H193" s="40">
        <v>0.21480192164775969</v>
      </c>
      <c r="I193" s="40">
        <v>-9.3762109876315058E-2</v>
      </c>
      <c r="J193" s="40">
        <v>7.8243031254936701E-2</v>
      </c>
    </row>
    <row r="194" spans="1:10" ht="11.25" customHeight="1" x14ac:dyDescent="0.2">
      <c r="A194" s="43" t="s">
        <v>38</v>
      </c>
      <c r="B194" s="39">
        <v>0</v>
      </c>
      <c r="C194" s="39">
        <v>0</v>
      </c>
      <c r="D194" s="39">
        <v>76168.723470000055</v>
      </c>
      <c r="E194" s="39">
        <v>92875.857212009156</v>
      </c>
      <c r="F194" s="39">
        <v>62394.218239999987</v>
      </c>
      <c r="G194" s="39">
        <v>56544.356021019681</v>
      </c>
      <c r="H194" s="40">
        <v>0.21934375398308203</v>
      </c>
      <c r="I194" s="40">
        <v>-9.3756479109630808E-2</v>
      </c>
      <c r="J194" s="40">
        <v>7.8356242939415122E-2</v>
      </c>
    </row>
    <row r="195" spans="1:10" ht="11.25" customHeight="1" x14ac:dyDescent="0.2">
      <c r="A195" s="44" t="s">
        <v>40</v>
      </c>
      <c r="B195" s="39">
        <v>0</v>
      </c>
      <c r="C195" s="39">
        <v>0</v>
      </c>
      <c r="D195" s="39">
        <v>41337.43180000002</v>
      </c>
      <c r="E195" s="39">
        <v>50439.608867416719</v>
      </c>
      <c r="F195" s="39">
        <v>34147.737119999976</v>
      </c>
      <c r="G195" s="39">
        <v>30946.213629133868</v>
      </c>
      <c r="H195" s="40">
        <v>0.22019212783839892</v>
      </c>
      <c r="I195" s="40">
        <v>-9.3755070200274182E-2</v>
      </c>
      <c r="J195" s="40">
        <v>7.8169707519687437E-2</v>
      </c>
    </row>
    <row r="196" spans="1:10" ht="11.25" customHeight="1" x14ac:dyDescent="0.2">
      <c r="A196" s="45" t="s">
        <v>25</v>
      </c>
      <c r="B196" s="39">
        <v>0</v>
      </c>
      <c r="C196" s="39">
        <v>0</v>
      </c>
      <c r="D196" s="39">
        <v>41337.43180000002</v>
      </c>
      <c r="E196" s="39">
        <v>50439.608867416719</v>
      </c>
      <c r="F196" s="39">
        <v>34147.737119999976</v>
      </c>
      <c r="G196" s="39">
        <v>30946.213629133868</v>
      </c>
      <c r="H196" s="40">
        <v>0.22019212783839892</v>
      </c>
      <c r="I196" s="40">
        <v>-9.3755070200274182E-2</v>
      </c>
      <c r="J196" s="40">
        <v>7.8169707519687437E-2</v>
      </c>
    </row>
    <row r="197" spans="1:10" ht="11.25" customHeight="1" x14ac:dyDescent="0.2">
      <c r="A197" s="46" t="s">
        <v>25</v>
      </c>
      <c r="B197" s="39">
        <v>0</v>
      </c>
      <c r="C197" s="39">
        <v>0</v>
      </c>
      <c r="D197" s="39">
        <v>41337.43180000002</v>
      </c>
      <c r="E197" s="39">
        <v>50439.608867416719</v>
      </c>
      <c r="F197" s="39">
        <v>34147.737119999976</v>
      </c>
      <c r="G197" s="39">
        <v>30946.213629133868</v>
      </c>
      <c r="H197" s="40">
        <v>0.22019212783839892</v>
      </c>
      <c r="I197" s="40">
        <v>-9.3755070200274182E-2</v>
      </c>
      <c r="J197" s="40">
        <v>7.8169707519687437E-2</v>
      </c>
    </row>
    <row r="198" spans="1:10" ht="11.25" customHeight="1" x14ac:dyDescent="0.2">
      <c r="A198" s="47" t="s">
        <v>25</v>
      </c>
      <c r="B198" s="39">
        <v>0</v>
      </c>
      <c r="C198" s="39">
        <v>0</v>
      </c>
      <c r="D198" s="39">
        <v>41337.43180000002</v>
      </c>
      <c r="E198" s="39">
        <v>50439.608867416719</v>
      </c>
      <c r="F198" s="39">
        <v>34147.737119999976</v>
      </c>
      <c r="G198" s="39">
        <v>30946.213629133868</v>
      </c>
      <c r="H198" s="40">
        <v>0.22019212783839892</v>
      </c>
      <c r="I198" s="40">
        <v>-9.3755070200274182E-2</v>
      </c>
      <c r="J198" s="40">
        <v>7.8169707519687437E-2</v>
      </c>
    </row>
    <row r="199" spans="1:10" ht="11.25" customHeight="1" x14ac:dyDescent="0.2">
      <c r="A199" s="48" t="s">
        <v>37</v>
      </c>
      <c r="B199" s="39">
        <v>0</v>
      </c>
      <c r="C199" s="39">
        <v>0</v>
      </c>
      <c r="D199" s="39">
        <v>33000.852960000004</v>
      </c>
      <c r="E199" s="39">
        <v>40707.51490811172</v>
      </c>
      <c r="F199" s="39">
        <v>30712.298559999999</v>
      </c>
      <c r="G199" s="39">
        <v>27833.568095952993</v>
      </c>
      <c r="H199" s="40">
        <v>0.23352917445657795</v>
      </c>
      <c r="I199" s="40">
        <v>-9.3732172420213922E-2</v>
      </c>
      <c r="J199" s="40">
        <v>7.5776058300132787E-2</v>
      </c>
    </row>
    <row r="200" spans="1:10" ht="11.25" customHeight="1" x14ac:dyDescent="0.2">
      <c r="A200" s="49">
        <v>44409</v>
      </c>
      <c r="B200" s="39">
        <v>0</v>
      </c>
      <c r="C200" s="39">
        <v>0</v>
      </c>
      <c r="D200" s="39">
        <v>2698.58583</v>
      </c>
      <c r="E200" s="39">
        <v>3328.784351080119</v>
      </c>
      <c r="F200" s="39">
        <v>2511.4433799999997</v>
      </c>
      <c r="G200" s="39">
        <v>2276.0403360822352</v>
      </c>
      <c r="H200" s="40">
        <v>0.23352917445657795</v>
      </c>
      <c r="I200" s="40">
        <v>-9.3732172420213811E-2</v>
      </c>
      <c r="J200" s="40">
        <v>7.5776058300132787E-2</v>
      </c>
    </row>
    <row r="201" spans="1:10" ht="11.25" customHeight="1" x14ac:dyDescent="0.2">
      <c r="A201" s="49">
        <v>44440</v>
      </c>
      <c r="B201" s="39">
        <v>0</v>
      </c>
      <c r="C201" s="39">
        <v>0</v>
      </c>
      <c r="D201" s="39">
        <v>2741.5082699999998</v>
      </c>
      <c r="E201" s="39">
        <v>3381.7304330589809</v>
      </c>
      <c r="F201" s="39">
        <v>2551.3892199999996</v>
      </c>
      <c r="G201" s="39">
        <v>2312.2419657198848</v>
      </c>
      <c r="H201" s="40">
        <v>0.23352917445657795</v>
      </c>
      <c r="I201" s="40">
        <v>-9.3732172420213811E-2</v>
      </c>
      <c r="J201" s="40">
        <v>7.5776058300132787E-2</v>
      </c>
    </row>
    <row r="202" spans="1:10" ht="11.25" customHeight="1" x14ac:dyDescent="0.2">
      <c r="A202" s="49">
        <v>44470</v>
      </c>
      <c r="B202" s="39">
        <v>0</v>
      </c>
      <c r="C202" s="39">
        <v>0</v>
      </c>
      <c r="D202" s="39">
        <v>2481.0471000000002</v>
      </c>
      <c r="E202" s="39">
        <v>3060.4439810508866</v>
      </c>
      <c r="F202" s="39">
        <v>2308.9906000000001</v>
      </c>
      <c r="G202" s="39">
        <v>2092.563894964147</v>
      </c>
      <c r="H202" s="40">
        <v>0.23352917445657773</v>
      </c>
      <c r="I202" s="40">
        <v>-9.3732172420213811E-2</v>
      </c>
      <c r="J202" s="40">
        <v>7.5776058300132565E-2</v>
      </c>
    </row>
    <row r="203" spans="1:10" ht="11.25" customHeight="1" x14ac:dyDescent="0.2">
      <c r="A203" s="49">
        <v>44501</v>
      </c>
      <c r="B203" s="39">
        <v>0</v>
      </c>
      <c r="C203" s="39">
        <v>0</v>
      </c>
      <c r="D203" s="39">
        <v>2517.46614</v>
      </c>
      <c r="E203" s="39">
        <v>3105.3679293965879</v>
      </c>
      <c r="F203" s="39">
        <v>2342.8840399999999</v>
      </c>
      <c r="G203" s="39">
        <v>2123.2804292021528</v>
      </c>
      <c r="H203" s="40">
        <v>0.23352917445657795</v>
      </c>
      <c r="I203" s="40">
        <v>-9.3732172420213811E-2</v>
      </c>
      <c r="J203" s="40">
        <v>7.5776058300132787E-2</v>
      </c>
    </row>
    <row r="204" spans="1:10" ht="11.25" customHeight="1" x14ac:dyDescent="0.2">
      <c r="A204" s="49">
        <v>44531</v>
      </c>
      <c r="B204" s="39">
        <v>0</v>
      </c>
      <c r="C204" s="39">
        <v>0</v>
      </c>
      <c r="D204" s="39">
        <v>2837.7585900000004</v>
      </c>
      <c r="E204" s="39">
        <v>3500.4580108297628</v>
      </c>
      <c r="F204" s="39">
        <v>2640.9647400000003</v>
      </c>
      <c r="G204" s="39">
        <v>2393.4213776346151</v>
      </c>
      <c r="H204" s="40">
        <v>0.23352917445657773</v>
      </c>
      <c r="I204" s="40">
        <v>-9.3732172420213811E-2</v>
      </c>
      <c r="J204" s="40">
        <v>7.5776058300132787E-2</v>
      </c>
    </row>
    <row r="205" spans="1:10" ht="11.25" customHeight="1" x14ac:dyDescent="0.2">
      <c r="A205" s="49">
        <v>44562</v>
      </c>
      <c r="B205" s="39">
        <v>0</v>
      </c>
      <c r="C205" s="39">
        <v>0</v>
      </c>
      <c r="D205" s="39">
        <v>2327.5668600000004</v>
      </c>
      <c r="E205" s="39">
        <v>2871.1216273082891</v>
      </c>
      <c r="F205" s="39">
        <v>2166.1539600000001</v>
      </c>
      <c r="G205" s="39">
        <v>1963.1156435325511</v>
      </c>
      <c r="H205" s="40">
        <v>0.23352917445657773</v>
      </c>
      <c r="I205" s="40">
        <v>-9.3732172420213811E-2</v>
      </c>
      <c r="J205" s="40">
        <v>7.5776058300132565E-2</v>
      </c>
    </row>
    <row r="206" spans="1:10" ht="11.25" customHeight="1" x14ac:dyDescent="0.2">
      <c r="A206" s="49">
        <v>44593</v>
      </c>
      <c r="B206" s="39">
        <v>0</v>
      </c>
      <c r="C206" s="39">
        <v>0</v>
      </c>
      <c r="D206" s="39">
        <v>3196.7462700000001</v>
      </c>
      <c r="E206" s="39">
        <v>3943.2797873802447</v>
      </c>
      <c r="F206" s="39">
        <v>2975.0572199999997</v>
      </c>
      <c r="G206" s="39">
        <v>2696.1986436949578</v>
      </c>
      <c r="H206" s="40">
        <v>0.23352917445657795</v>
      </c>
      <c r="I206" s="40">
        <v>-9.3732172420213811E-2</v>
      </c>
      <c r="J206" s="40">
        <v>7.5776058300132565E-2</v>
      </c>
    </row>
    <row r="207" spans="1:10" ht="11.25" customHeight="1" x14ac:dyDescent="0.2">
      <c r="A207" s="49">
        <v>44621</v>
      </c>
      <c r="B207" s="39">
        <v>0</v>
      </c>
      <c r="C207" s="39">
        <v>0</v>
      </c>
      <c r="D207" s="39">
        <v>3255.6020400000002</v>
      </c>
      <c r="E207" s="39">
        <v>4015.8800967603511</v>
      </c>
      <c r="F207" s="39">
        <v>3029.8314400000004</v>
      </c>
      <c r="G207" s="39">
        <v>2745.8387570617351</v>
      </c>
      <c r="H207" s="40">
        <v>0.23352917445657795</v>
      </c>
      <c r="I207" s="40">
        <v>-9.3732172420214033E-2</v>
      </c>
      <c r="J207" s="40">
        <v>7.5776058300132565E-2</v>
      </c>
    </row>
    <row r="208" spans="1:10" ht="11.25" customHeight="1" x14ac:dyDescent="0.2">
      <c r="A208" s="49">
        <v>44652</v>
      </c>
      <c r="B208" s="39">
        <v>0</v>
      </c>
      <c r="C208" s="39">
        <v>0</v>
      </c>
      <c r="D208" s="39">
        <v>3395.0999700000002</v>
      </c>
      <c r="E208" s="39">
        <v>4187.9548631916523</v>
      </c>
      <c r="F208" s="39">
        <v>3159.65542</v>
      </c>
      <c r="G208" s="39">
        <v>2863.4940533840968</v>
      </c>
      <c r="H208" s="40">
        <v>0.23352917445657773</v>
      </c>
      <c r="I208" s="40">
        <v>-9.3732172420213811E-2</v>
      </c>
      <c r="J208" s="40">
        <v>7.5776058300132787E-2</v>
      </c>
    </row>
    <row r="209" spans="1:10" ht="11.25" customHeight="1" x14ac:dyDescent="0.2">
      <c r="A209" s="49">
        <v>44682</v>
      </c>
      <c r="B209" s="39">
        <v>0</v>
      </c>
      <c r="C209" s="39">
        <v>0</v>
      </c>
      <c r="D209" s="39">
        <v>2561.36409</v>
      </c>
      <c r="E209" s="39">
        <v>3159.5173314204239</v>
      </c>
      <c r="F209" s="39">
        <v>2383.73774</v>
      </c>
      <c r="G209" s="39">
        <v>2160.3048231497492</v>
      </c>
      <c r="H209" s="40">
        <v>0.23352917445657795</v>
      </c>
      <c r="I209" s="40">
        <v>-9.3732172420213811E-2</v>
      </c>
      <c r="J209" s="40">
        <v>7.5776058300132787E-2</v>
      </c>
    </row>
    <row r="210" spans="1:10" ht="11.25" customHeight="1" x14ac:dyDescent="0.2">
      <c r="A210" s="49">
        <v>44713</v>
      </c>
      <c r="B210" s="39">
        <v>0</v>
      </c>
      <c r="C210" s="39">
        <v>0</v>
      </c>
      <c r="D210" s="39">
        <v>2584.4511600000001</v>
      </c>
      <c r="E210" s="39">
        <v>3187.9959058181453</v>
      </c>
      <c r="F210" s="39">
        <v>2405.2237600000003</v>
      </c>
      <c r="G210" s="39">
        <v>2179.7769118184851</v>
      </c>
      <c r="H210" s="40">
        <v>0.23352917445657795</v>
      </c>
      <c r="I210" s="40">
        <v>-9.3732172420213922E-2</v>
      </c>
      <c r="J210" s="40">
        <v>7.5776058300132787E-2</v>
      </c>
    </row>
    <row r="211" spans="1:10" ht="11.25" customHeight="1" x14ac:dyDescent="0.2">
      <c r="A211" s="49">
        <v>44743</v>
      </c>
      <c r="B211" s="39">
        <v>0</v>
      </c>
      <c r="C211" s="39">
        <v>0</v>
      </c>
      <c r="D211" s="39">
        <v>2403.6566400000002</v>
      </c>
      <c r="E211" s="39">
        <v>2964.9805908162721</v>
      </c>
      <c r="F211" s="39">
        <v>2236.96704</v>
      </c>
      <c r="G211" s="39">
        <v>2027.2912597083846</v>
      </c>
      <c r="H211" s="40">
        <v>0.23352917445657795</v>
      </c>
      <c r="I211" s="40">
        <v>-9.3732172420213811E-2</v>
      </c>
      <c r="J211" s="40">
        <v>7.5776058300132565E-2</v>
      </c>
    </row>
    <row r="212" spans="1:10" ht="11.25" customHeight="1" x14ac:dyDescent="0.2">
      <c r="A212" s="48" t="s">
        <v>39</v>
      </c>
      <c r="B212" s="39">
        <v>0</v>
      </c>
      <c r="C212" s="39">
        <v>0</v>
      </c>
      <c r="D212" s="39">
        <v>2710.7150800000009</v>
      </c>
      <c r="E212" s="39">
        <v>3191.7006833279306</v>
      </c>
      <c r="F212" s="39">
        <v>1057.3542800000002</v>
      </c>
      <c r="G212" s="39">
        <v>958.24616631778895</v>
      </c>
      <c r="H212" s="40">
        <v>0.17743864225226114</v>
      </c>
      <c r="I212" s="40">
        <v>-9.3732172420214033E-2</v>
      </c>
      <c r="J212" s="40">
        <v>0.10134566356435593</v>
      </c>
    </row>
    <row r="213" spans="1:10" ht="11.25" customHeight="1" x14ac:dyDescent="0.2">
      <c r="A213" s="49">
        <v>44409</v>
      </c>
      <c r="B213" s="39">
        <v>0</v>
      </c>
      <c r="C213" s="39">
        <v>0</v>
      </c>
      <c r="D213" s="39">
        <v>296.36324000000002</v>
      </c>
      <c r="E213" s="39">
        <v>348.94953091908116</v>
      </c>
      <c r="F213" s="39">
        <v>115.60084000000001</v>
      </c>
      <c r="G213" s="39">
        <v>104.76532213319845</v>
      </c>
      <c r="H213" s="40">
        <v>0.17743864225226158</v>
      </c>
      <c r="I213" s="40">
        <v>-9.3732172420213811E-2</v>
      </c>
      <c r="J213" s="40">
        <v>0.10134566356435637</v>
      </c>
    </row>
    <row r="214" spans="1:10" ht="11.25" customHeight="1" x14ac:dyDescent="0.2">
      <c r="A214" s="49">
        <v>44440</v>
      </c>
      <c r="B214" s="39">
        <v>0</v>
      </c>
      <c r="C214" s="39">
        <v>0</v>
      </c>
      <c r="D214" s="39">
        <v>246.71076000000002</v>
      </c>
      <c r="E214" s="39">
        <v>290.48678228342357</v>
      </c>
      <c r="F214" s="39">
        <v>96.233159999999998</v>
      </c>
      <c r="G214" s="39">
        <v>87.21301685433798</v>
      </c>
      <c r="H214" s="40">
        <v>0.17743864225226158</v>
      </c>
      <c r="I214" s="40">
        <v>-9.3732172420213811E-2</v>
      </c>
      <c r="J214" s="40">
        <v>0.10134566356435615</v>
      </c>
    </row>
    <row r="215" spans="1:10" ht="11.25" customHeight="1" x14ac:dyDescent="0.2">
      <c r="A215" s="49">
        <v>44470</v>
      </c>
      <c r="B215" s="39">
        <v>0</v>
      </c>
      <c r="C215" s="39">
        <v>0</v>
      </c>
      <c r="D215" s="39">
        <v>218.00542000000004</v>
      </c>
      <c r="E215" s="39">
        <v>256.68800572843406</v>
      </c>
      <c r="F215" s="39">
        <v>85.036220000000014</v>
      </c>
      <c r="G215" s="39">
        <v>77.065590364996766</v>
      </c>
      <c r="H215" s="40">
        <v>0.17743864225226158</v>
      </c>
      <c r="I215" s="40">
        <v>-9.3732172420213922E-2</v>
      </c>
      <c r="J215" s="40">
        <v>0.10134566356435637</v>
      </c>
    </row>
    <row r="216" spans="1:10" ht="11.25" customHeight="1" x14ac:dyDescent="0.2">
      <c r="A216" s="49">
        <v>44501</v>
      </c>
      <c r="B216" s="39">
        <v>0</v>
      </c>
      <c r="C216" s="39">
        <v>0</v>
      </c>
      <c r="D216" s="39">
        <v>231.19436000000002</v>
      </c>
      <c r="E216" s="39">
        <v>272.21717333478057</v>
      </c>
      <c r="F216" s="39">
        <v>90.180759999999992</v>
      </c>
      <c r="G216" s="39">
        <v>81.727921454694069</v>
      </c>
      <c r="H216" s="40">
        <v>0.17743864225226136</v>
      </c>
      <c r="I216" s="40">
        <v>-9.3732172420213811E-2</v>
      </c>
      <c r="J216" s="40">
        <v>0.10134566356435615</v>
      </c>
    </row>
    <row r="217" spans="1:10" ht="11.25" customHeight="1" x14ac:dyDescent="0.2">
      <c r="A217" s="49">
        <v>44531</v>
      </c>
      <c r="B217" s="39">
        <v>0</v>
      </c>
      <c r="C217" s="39">
        <v>0</v>
      </c>
      <c r="D217" s="39">
        <v>290.9325</v>
      </c>
      <c r="E217" s="39">
        <v>342.55516778705612</v>
      </c>
      <c r="F217" s="39">
        <v>113.4825</v>
      </c>
      <c r="G217" s="39">
        <v>102.84553874332309</v>
      </c>
      <c r="H217" s="40">
        <v>0.17743864225226158</v>
      </c>
      <c r="I217" s="40">
        <v>-9.3732172420213811E-2</v>
      </c>
      <c r="J217" s="40">
        <v>0.10134566356435637</v>
      </c>
    </row>
    <row r="218" spans="1:10" ht="11.25" customHeight="1" x14ac:dyDescent="0.2">
      <c r="A218" s="49">
        <v>44562</v>
      </c>
      <c r="B218" s="39">
        <v>0</v>
      </c>
      <c r="C218" s="39">
        <v>0</v>
      </c>
      <c r="D218" s="39">
        <v>264.55462000000006</v>
      </c>
      <c r="E218" s="39">
        <v>311.49683257436305</v>
      </c>
      <c r="F218" s="39">
        <v>103.19342</v>
      </c>
      <c r="G218" s="39">
        <v>93.520876563928468</v>
      </c>
      <c r="H218" s="40">
        <v>0.17743864225226158</v>
      </c>
      <c r="I218" s="40">
        <v>-9.3732172420213811E-2</v>
      </c>
      <c r="J218" s="40">
        <v>0.10134566356435637</v>
      </c>
    </row>
    <row r="219" spans="1:10" ht="11.25" customHeight="1" x14ac:dyDescent="0.2">
      <c r="A219" s="49">
        <v>44593</v>
      </c>
      <c r="B219" s="39">
        <v>0</v>
      </c>
      <c r="C219" s="39">
        <v>0</v>
      </c>
      <c r="D219" s="39">
        <v>279.29520000000002</v>
      </c>
      <c r="E219" s="39">
        <v>328.85296107557383</v>
      </c>
      <c r="F219" s="39">
        <v>108.9432</v>
      </c>
      <c r="G219" s="39">
        <v>98.731717193590157</v>
      </c>
      <c r="H219" s="40">
        <v>0.17743864225226136</v>
      </c>
      <c r="I219" s="40">
        <v>-9.3732172420213922E-2</v>
      </c>
      <c r="J219" s="40">
        <v>0.10134566356435637</v>
      </c>
    </row>
    <row r="220" spans="1:10" ht="11.25" customHeight="1" x14ac:dyDescent="0.2">
      <c r="A220" s="49">
        <v>44621</v>
      </c>
      <c r="B220" s="39">
        <v>0</v>
      </c>
      <c r="C220" s="39">
        <v>0</v>
      </c>
      <c r="D220" s="39">
        <v>249.03822000000002</v>
      </c>
      <c r="E220" s="39">
        <v>293.22722362572006</v>
      </c>
      <c r="F220" s="39">
        <v>97.141019999999997</v>
      </c>
      <c r="G220" s="39">
        <v>88.035781164284558</v>
      </c>
      <c r="H220" s="40">
        <v>0.17743864225226158</v>
      </c>
      <c r="I220" s="40">
        <v>-9.3732172420213811E-2</v>
      </c>
      <c r="J220" s="40">
        <v>0.10134566356435637</v>
      </c>
    </row>
    <row r="221" spans="1:10" ht="11.25" customHeight="1" x14ac:dyDescent="0.2">
      <c r="A221" s="49">
        <v>44652</v>
      </c>
      <c r="B221" s="39">
        <v>0</v>
      </c>
      <c r="C221" s="39">
        <v>0</v>
      </c>
      <c r="D221" s="39">
        <v>204.04066000000003</v>
      </c>
      <c r="E221" s="39">
        <v>240.24535767465537</v>
      </c>
      <c r="F221" s="39">
        <v>79.589060000000003</v>
      </c>
      <c r="G221" s="39">
        <v>72.129004505317255</v>
      </c>
      <c r="H221" s="40">
        <v>0.17743864225226158</v>
      </c>
      <c r="I221" s="40">
        <v>-9.3732172420213922E-2</v>
      </c>
      <c r="J221" s="40">
        <v>0.10134566356435637</v>
      </c>
    </row>
    <row r="222" spans="1:10" ht="11.25" customHeight="1" x14ac:dyDescent="0.2">
      <c r="A222" s="49">
        <v>44682</v>
      </c>
      <c r="B222" s="39">
        <v>0</v>
      </c>
      <c r="C222" s="39">
        <v>0</v>
      </c>
      <c r="D222" s="39">
        <v>152.06072</v>
      </c>
      <c r="E222" s="39">
        <v>179.04216769670134</v>
      </c>
      <c r="F222" s="39">
        <v>59.313520000000004</v>
      </c>
      <c r="G222" s="39">
        <v>53.753934916510197</v>
      </c>
      <c r="H222" s="40">
        <v>0.1774386422522618</v>
      </c>
      <c r="I222" s="40">
        <v>-9.3732172420213922E-2</v>
      </c>
      <c r="J222" s="40">
        <v>0.10134566356435637</v>
      </c>
    </row>
    <row r="223" spans="1:10" ht="11.25" customHeight="1" x14ac:dyDescent="0.2">
      <c r="A223" s="49">
        <v>44713</v>
      </c>
      <c r="B223" s="39">
        <v>0</v>
      </c>
      <c r="C223" s="39">
        <v>0</v>
      </c>
      <c r="D223" s="39">
        <v>136.54432</v>
      </c>
      <c r="E223" s="39">
        <v>160.77255874805832</v>
      </c>
      <c r="F223" s="39">
        <v>53.261119999999998</v>
      </c>
      <c r="G223" s="39">
        <v>48.268839516866301</v>
      </c>
      <c r="H223" s="40">
        <v>0.17743864225226158</v>
      </c>
      <c r="I223" s="40">
        <v>-9.3732172420213811E-2</v>
      </c>
      <c r="J223" s="40">
        <v>0.10134566356435637</v>
      </c>
    </row>
    <row r="224" spans="1:10" ht="11.25" customHeight="1" x14ac:dyDescent="0.2">
      <c r="A224" s="49">
        <v>44743</v>
      </c>
      <c r="B224" s="39">
        <v>0</v>
      </c>
      <c r="C224" s="39">
        <v>0</v>
      </c>
      <c r="D224" s="39">
        <v>141.97506000000001</v>
      </c>
      <c r="E224" s="39">
        <v>167.16692188008338</v>
      </c>
      <c r="F224" s="39">
        <v>55.379460000000002</v>
      </c>
      <c r="G224" s="39">
        <v>50.188622906741664</v>
      </c>
      <c r="H224" s="40">
        <v>0.17743864225226158</v>
      </c>
      <c r="I224" s="40">
        <v>-9.3732172420213922E-2</v>
      </c>
      <c r="J224" s="40">
        <v>0.10134566356435637</v>
      </c>
    </row>
    <row r="225" spans="1:10" ht="11.25" customHeight="1" x14ac:dyDescent="0.2">
      <c r="A225" s="48" t="s">
        <v>36</v>
      </c>
      <c r="B225" s="39">
        <v>0</v>
      </c>
      <c r="C225" s="39">
        <v>0</v>
      </c>
      <c r="D225" s="39">
        <v>5625.8637600000011</v>
      </c>
      <c r="E225" s="39">
        <v>6540.3932759770842</v>
      </c>
      <c r="F225" s="39">
        <v>2378.0842800000009</v>
      </c>
      <c r="G225" s="39">
        <v>2154.3993668630819</v>
      </c>
      <c r="H225" s="40">
        <v>0.16255806307991416</v>
      </c>
      <c r="I225" s="40">
        <v>-9.4060969587216992E-2</v>
      </c>
      <c r="J225" s="40">
        <v>8.6312979468088136E-2</v>
      </c>
    </row>
    <row r="226" spans="1:10" ht="11.25" customHeight="1" x14ac:dyDescent="0.2">
      <c r="A226" s="49">
        <v>44409</v>
      </c>
      <c r="B226" s="39">
        <v>0</v>
      </c>
      <c r="C226" s="39">
        <v>0</v>
      </c>
      <c r="D226" s="39">
        <v>901.46280000000002</v>
      </c>
      <c r="E226" s="39">
        <v>1048.0028467065963</v>
      </c>
      <c r="F226" s="39">
        <v>381.05340000000001</v>
      </c>
      <c r="G226" s="39">
        <v>345.21114773149441</v>
      </c>
      <c r="H226" s="40">
        <v>0.16255806307991438</v>
      </c>
      <c r="I226" s="40">
        <v>-9.4060969587216881E-2</v>
      </c>
      <c r="J226" s="40">
        <v>8.6312979468088358E-2</v>
      </c>
    </row>
    <row r="227" spans="1:10" ht="11.25" customHeight="1" x14ac:dyDescent="0.2">
      <c r="A227" s="49">
        <v>44440</v>
      </c>
      <c r="B227" s="39">
        <v>0</v>
      </c>
      <c r="C227" s="39">
        <v>0</v>
      </c>
      <c r="D227" s="39">
        <v>651.26088000000004</v>
      </c>
      <c r="E227" s="39">
        <v>757.12858721252064</v>
      </c>
      <c r="F227" s="39">
        <v>275.29164000000003</v>
      </c>
      <c r="G227" s="39">
        <v>249.39744142234497</v>
      </c>
      <c r="H227" s="40">
        <v>0.16255806307991438</v>
      </c>
      <c r="I227" s="40">
        <v>-9.4060969587216881E-2</v>
      </c>
      <c r="J227" s="40">
        <v>8.6312979468088358E-2</v>
      </c>
    </row>
    <row r="228" spans="1:10" ht="11.25" customHeight="1" x14ac:dyDescent="0.2">
      <c r="A228" s="49">
        <v>44470</v>
      </c>
      <c r="B228" s="39">
        <v>0</v>
      </c>
      <c r="C228" s="39">
        <v>0</v>
      </c>
      <c r="D228" s="39">
        <v>567.86024000000009</v>
      </c>
      <c r="E228" s="39">
        <v>660.17050071449535</v>
      </c>
      <c r="F228" s="39">
        <v>240.03772000000004</v>
      </c>
      <c r="G228" s="39">
        <v>217.45953931929515</v>
      </c>
      <c r="H228" s="40">
        <v>0.16255806307991416</v>
      </c>
      <c r="I228" s="40">
        <v>-9.4060969587216881E-2</v>
      </c>
      <c r="J228" s="40">
        <v>8.6312979468088136E-2</v>
      </c>
    </row>
    <row r="229" spans="1:10" ht="11.25" customHeight="1" x14ac:dyDescent="0.2">
      <c r="A229" s="49">
        <v>44501</v>
      </c>
      <c r="B229" s="39">
        <v>0</v>
      </c>
      <c r="C229" s="39">
        <v>0</v>
      </c>
      <c r="D229" s="39">
        <v>632.86368000000004</v>
      </c>
      <c r="E229" s="39">
        <v>735.74077401442685</v>
      </c>
      <c r="F229" s="39">
        <v>267.51504000000006</v>
      </c>
      <c r="G229" s="39">
        <v>242.35231595843692</v>
      </c>
      <c r="H229" s="40">
        <v>0.16255806307991438</v>
      </c>
      <c r="I229" s="40">
        <v>-9.4060969587216992E-2</v>
      </c>
      <c r="J229" s="40">
        <v>8.6312979468088136E-2</v>
      </c>
    </row>
    <row r="230" spans="1:10" ht="11.25" customHeight="1" x14ac:dyDescent="0.2">
      <c r="A230" s="49">
        <v>44531</v>
      </c>
      <c r="B230" s="39">
        <v>0</v>
      </c>
      <c r="C230" s="39">
        <v>0</v>
      </c>
      <c r="D230" s="39">
        <v>750.60576000000003</v>
      </c>
      <c r="E230" s="39">
        <v>872.62277848222709</v>
      </c>
      <c r="F230" s="39">
        <v>317.28528</v>
      </c>
      <c r="G230" s="39">
        <v>287.44111892744843</v>
      </c>
      <c r="H230" s="40">
        <v>0.16255806307991438</v>
      </c>
      <c r="I230" s="40">
        <v>-9.4060969587216769E-2</v>
      </c>
      <c r="J230" s="40">
        <v>8.6312979468088358E-2</v>
      </c>
    </row>
    <row r="231" spans="1:10" ht="11.25" customHeight="1" x14ac:dyDescent="0.2">
      <c r="A231" s="49">
        <v>44562</v>
      </c>
      <c r="B231" s="39">
        <v>0</v>
      </c>
      <c r="C231" s="39">
        <v>0</v>
      </c>
      <c r="D231" s="39">
        <v>746.92632000000003</v>
      </c>
      <c r="E231" s="39">
        <v>868.34521584260835</v>
      </c>
      <c r="F231" s="39">
        <v>315.72996000000001</v>
      </c>
      <c r="G231" s="39">
        <v>286.0320938346668</v>
      </c>
      <c r="H231" s="40">
        <v>0.16255806307991438</v>
      </c>
      <c r="I231" s="40">
        <v>-9.4060969587216881E-2</v>
      </c>
      <c r="J231" s="40">
        <v>8.6312979468088358E-2</v>
      </c>
    </row>
    <row r="232" spans="1:10" ht="11.25" customHeight="1" x14ac:dyDescent="0.2">
      <c r="A232" s="49">
        <v>44593</v>
      </c>
      <c r="B232" s="39">
        <v>0</v>
      </c>
      <c r="C232" s="39">
        <v>0</v>
      </c>
      <c r="D232" s="39">
        <v>370.39695999999998</v>
      </c>
      <c r="E232" s="39">
        <v>430.60797238828854</v>
      </c>
      <c r="F232" s="39">
        <v>156.56888000000001</v>
      </c>
      <c r="G232" s="39">
        <v>141.84185934001539</v>
      </c>
      <c r="H232" s="40">
        <v>0.16255806307991461</v>
      </c>
      <c r="I232" s="40">
        <v>-9.4060969587216881E-2</v>
      </c>
      <c r="J232" s="40">
        <v>8.6312979468088358E-2</v>
      </c>
    </row>
    <row r="233" spans="1:10" ht="11.25" customHeight="1" x14ac:dyDescent="0.2">
      <c r="A233" s="49">
        <v>44621</v>
      </c>
      <c r="B233" s="39">
        <v>0</v>
      </c>
      <c r="C233" s="39">
        <v>0</v>
      </c>
      <c r="D233" s="39">
        <v>260.01375999999999</v>
      </c>
      <c r="E233" s="39">
        <v>302.28109319972572</v>
      </c>
      <c r="F233" s="39">
        <v>109.90928000000001</v>
      </c>
      <c r="G233" s="39">
        <v>99.571106556567102</v>
      </c>
      <c r="H233" s="40">
        <v>0.16255806307991438</v>
      </c>
      <c r="I233" s="40">
        <v>-9.4060969587216881E-2</v>
      </c>
      <c r="J233" s="40">
        <v>8.6312979468088358E-2</v>
      </c>
    </row>
    <row r="234" spans="1:10" ht="11.25" customHeight="1" x14ac:dyDescent="0.2">
      <c r="A234" s="49">
        <v>44652</v>
      </c>
      <c r="B234" s="39">
        <v>0</v>
      </c>
      <c r="C234" s="39">
        <v>0</v>
      </c>
      <c r="D234" s="39">
        <v>215.86048</v>
      </c>
      <c r="E234" s="39">
        <v>250.9503415243006</v>
      </c>
      <c r="F234" s="39">
        <v>91.245440000000002</v>
      </c>
      <c r="G234" s="39">
        <v>82.662805443187779</v>
      </c>
      <c r="H234" s="40">
        <v>0.16255806307991438</v>
      </c>
      <c r="I234" s="40">
        <v>-9.4060969587216881E-2</v>
      </c>
      <c r="J234" s="40">
        <v>8.6312979468088358E-2</v>
      </c>
    </row>
    <row r="235" spans="1:10" ht="11.25" customHeight="1" x14ac:dyDescent="0.2">
      <c r="A235" s="49">
        <v>44682</v>
      </c>
      <c r="B235" s="39">
        <v>0</v>
      </c>
      <c r="C235" s="39">
        <v>0</v>
      </c>
      <c r="D235" s="39">
        <v>170.48072000000002</v>
      </c>
      <c r="E235" s="39">
        <v>198.19373563566924</v>
      </c>
      <c r="F235" s="39">
        <v>72.063160000000011</v>
      </c>
      <c r="G235" s="39">
        <v>65.284829298881263</v>
      </c>
      <c r="H235" s="40">
        <v>0.16255806307991438</v>
      </c>
      <c r="I235" s="40">
        <v>-9.4060969587216881E-2</v>
      </c>
      <c r="J235" s="40">
        <v>8.6312979468088136E-2</v>
      </c>
    </row>
    <row r="236" spans="1:10" ht="11.25" customHeight="1" x14ac:dyDescent="0.2">
      <c r="A236" s="49">
        <v>44713</v>
      </c>
      <c r="B236" s="39">
        <v>0</v>
      </c>
      <c r="C236" s="39">
        <v>0</v>
      </c>
      <c r="D236" s="39">
        <v>180.29255999999998</v>
      </c>
      <c r="E236" s="39">
        <v>209.60056934131924</v>
      </c>
      <c r="F236" s="39">
        <v>76.210680000000011</v>
      </c>
      <c r="G236" s="39">
        <v>69.042229546298884</v>
      </c>
      <c r="H236" s="40">
        <v>0.16255806307991438</v>
      </c>
      <c r="I236" s="40">
        <v>-9.4060969587216992E-2</v>
      </c>
      <c r="J236" s="40">
        <v>8.6312979468088358E-2</v>
      </c>
    </row>
    <row r="237" spans="1:10" ht="11.25" customHeight="1" x14ac:dyDescent="0.2">
      <c r="A237" s="49">
        <v>44743</v>
      </c>
      <c r="B237" s="39">
        <v>0</v>
      </c>
      <c r="C237" s="39">
        <v>0</v>
      </c>
      <c r="D237" s="39">
        <v>177.83959999999999</v>
      </c>
      <c r="E237" s="39">
        <v>206.74886091490674</v>
      </c>
      <c r="F237" s="39">
        <v>75.1738</v>
      </c>
      <c r="G237" s="39">
        <v>68.102879484444472</v>
      </c>
      <c r="H237" s="40">
        <v>0.16255806307991438</v>
      </c>
      <c r="I237" s="40">
        <v>-9.4060969587216881E-2</v>
      </c>
      <c r="J237" s="40">
        <v>8.6312979468088358E-2</v>
      </c>
    </row>
    <row r="238" spans="1:10" ht="11.25" customHeight="1" x14ac:dyDescent="0.2">
      <c r="A238" s="44" t="s">
        <v>33</v>
      </c>
      <c r="B238" s="39">
        <v>0</v>
      </c>
      <c r="C238" s="39">
        <v>0</v>
      </c>
      <c r="D238" s="39">
        <v>4932.6455300000007</v>
      </c>
      <c r="E238" s="39">
        <v>6082.8213372106629</v>
      </c>
      <c r="F238" s="39">
        <v>4577.0359800000015</v>
      </c>
      <c r="G238" s="39">
        <v>4148.0178974250693</v>
      </c>
      <c r="H238" s="40">
        <v>0.2331762540436717</v>
      </c>
      <c r="I238" s="40">
        <v>-9.3732731062107999E-2</v>
      </c>
      <c r="J238" s="40">
        <v>7.583405646943997E-2</v>
      </c>
    </row>
    <row r="239" spans="1:10" ht="11.25" customHeight="1" x14ac:dyDescent="0.2">
      <c r="A239" s="45" t="s">
        <v>25</v>
      </c>
      <c r="B239" s="39">
        <v>0</v>
      </c>
      <c r="C239" s="39">
        <v>0</v>
      </c>
      <c r="D239" s="39">
        <v>4932.6455300000007</v>
      </c>
      <c r="E239" s="39">
        <v>6082.8213372106629</v>
      </c>
      <c r="F239" s="39">
        <v>4577.0359800000015</v>
      </c>
      <c r="G239" s="39">
        <v>4148.0178974250693</v>
      </c>
      <c r="H239" s="40">
        <v>0.2331762540436717</v>
      </c>
      <c r="I239" s="40">
        <v>-9.3732731062107999E-2</v>
      </c>
      <c r="J239" s="40">
        <v>7.583405646943997E-2</v>
      </c>
    </row>
    <row r="240" spans="1:10" ht="11.25" customHeight="1" x14ac:dyDescent="0.2">
      <c r="A240" s="46" t="s">
        <v>25</v>
      </c>
      <c r="B240" s="39">
        <v>0</v>
      </c>
      <c r="C240" s="39">
        <v>0</v>
      </c>
      <c r="D240" s="39">
        <v>4932.6455300000007</v>
      </c>
      <c r="E240" s="39">
        <v>6082.8213372106629</v>
      </c>
      <c r="F240" s="39">
        <v>4577.0359800000015</v>
      </c>
      <c r="G240" s="39">
        <v>4148.0178974250693</v>
      </c>
      <c r="H240" s="40">
        <v>0.2331762540436717</v>
      </c>
      <c r="I240" s="40">
        <v>-9.3732731062107999E-2</v>
      </c>
      <c r="J240" s="40">
        <v>7.583405646943997E-2</v>
      </c>
    </row>
    <row r="241" spans="1:10" ht="11.25" customHeight="1" x14ac:dyDescent="0.2">
      <c r="A241" s="47" t="s">
        <v>25</v>
      </c>
      <c r="B241" s="39">
        <v>0</v>
      </c>
      <c r="C241" s="39">
        <v>0</v>
      </c>
      <c r="D241" s="39">
        <v>4932.6455300000007</v>
      </c>
      <c r="E241" s="39">
        <v>6082.8213372106629</v>
      </c>
      <c r="F241" s="39">
        <v>4577.0359800000015</v>
      </c>
      <c r="G241" s="39">
        <v>4148.0178974250693</v>
      </c>
      <c r="H241" s="40">
        <v>0.2331762540436717</v>
      </c>
      <c r="I241" s="40">
        <v>-9.3732731062107999E-2</v>
      </c>
      <c r="J241" s="40">
        <v>7.583405646943997E-2</v>
      </c>
    </row>
    <row r="242" spans="1:10" ht="11.25" customHeight="1" x14ac:dyDescent="0.2">
      <c r="A242" s="48" t="s">
        <v>37</v>
      </c>
      <c r="B242" s="39">
        <v>0</v>
      </c>
      <c r="C242" s="39">
        <v>0</v>
      </c>
      <c r="D242" s="39">
        <v>4906.4901300000001</v>
      </c>
      <c r="E242" s="39">
        <v>6052.2987195382466</v>
      </c>
      <c r="F242" s="39">
        <v>4566.2331800000002</v>
      </c>
      <c r="G242" s="39">
        <v>4138.2302242613387</v>
      </c>
      <c r="H242" s="40">
        <v>0.23352917445657773</v>
      </c>
      <c r="I242" s="40">
        <v>-9.3732172420213922E-2</v>
      </c>
      <c r="J242" s="40">
        <v>7.5776058300132565E-2</v>
      </c>
    </row>
    <row r="243" spans="1:10" ht="11.25" customHeight="1" x14ac:dyDescent="0.2">
      <c r="A243" s="49">
        <v>44409</v>
      </c>
      <c r="B243" s="39">
        <v>0</v>
      </c>
      <c r="C243" s="39">
        <v>0</v>
      </c>
      <c r="D243" s="39">
        <v>668.22435000000007</v>
      </c>
      <c r="E243" s="39">
        <v>824.2742308072834</v>
      </c>
      <c r="F243" s="39">
        <v>621.8841000000001</v>
      </c>
      <c r="G243" s="39">
        <v>563.59355231341056</v>
      </c>
      <c r="H243" s="40">
        <v>0.23352917445657773</v>
      </c>
      <c r="I243" s="40">
        <v>-9.3732172420213922E-2</v>
      </c>
      <c r="J243" s="40">
        <v>7.5776058300132565E-2</v>
      </c>
    </row>
    <row r="244" spans="1:10" ht="11.25" customHeight="1" x14ac:dyDescent="0.2">
      <c r="A244" s="49">
        <v>44440</v>
      </c>
      <c r="B244" s="39">
        <v>0</v>
      </c>
      <c r="C244" s="39">
        <v>0</v>
      </c>
      <c r="D244" s="39">
        <v>721.87740000000008</v>
      </c>
      <c r="E244" s="39">
        <v>890.45683328086091</v>
      </c>
      <c r="F244" s="39">
        <v>671.81640000000004</v>
      </c>
      <c r="G244" s="39">
        <v>608.84558936047267</v>
      </c>
      <c r="H244" s="40">
        <v>0.23352917445657773</v>
      </c>
      <c r="I244" s="40">
        <v>-9.3732172420213922E-2</v>
      </c>
      <c r="J244" s="40">
        <v>7.5776058300132787E-2</v>
      </c>
    </row>
    <row r="245" spans="1:10" ht="11.25" customHeight="1" x14ac:dyDescent="0.2">
      <c r="A245" s="49">
        <v>44470</v>
      </c>
      <c r="B245" s="39">
        <v>0</v>
      </c>
      <c r="C245" s="39">
        <v>0</v>
      </c>
      <c r="D245" s="39">
        <v>1071.43515</v>
      </c>
      <c r="E245" s="39">
        <v>1321.6465160632597</v>
      </c>
      <c r="F245" s="39">
        <v>997.13289999999995</v>
      </c>
      <c r="G245" s="39">
        <v>903.66946709133208</v>
      </c>
      <c r="H245" s="40">
        <v>0.23352917445657795</v>
      </c>
      <c r="I245" s="40">
        <v>-9.3732172420213922E-2</v>
      </c>
      <c r="J245" s="40">
        <v>7.5776058300132787E-2</v>
      </c>
    </row>
    <row r="246" spans="1:10" ht="11.25" customHeight="1" x14ac:dyDescent="0.2">
      <c r="A246" s="49">
        <v>44501</v>
      </c>
      <c r="B246" s="39">
        <v>0</v>
      </c>
      <c r="C246" s="39">
        <v>0</v>
      </c>
      <c r="D246" s="39">
        <v>845.11683000000005</v>
      </c>
      <c r="E246" s="39">
        <v>1042.4762656292601</v>
      </c>
      <c r="F246" s="39">
        <v>786.50938000000008</v>
      </c>
      <c r="G246" s="39">
        <v>712.78814718372462</v>
      </c>
      <c r="H246" s="40">
        <v>0.23352917445657773</v>
      </c>
      <c r="I246" s="40">
        <v>-9.3732172420213811E-2</v>
      </c>
      <c r="J246" s="40">
        <v>7.5776058300132565E-2</v>
      </c>
    </row>
    <row r="247" spans="1:10" ht="11.25" customHeight="1" x14ac:dyDescent="0.2">
      <c r="A247" s="49">
        <v>44531</v>
      </c>
      <c r="B247" s="39">
        <v>0</v>
      </c>
      <c r="C247" s="39">
        <v>0</v>
      </c>
      <c r="D247" s="39">
        <v>1088.01882</v>
      </c>
      <c r="E247" s="39">
        <v>1342.10295682782</v>
      </c>
      <c r="F247" s="39">
        <v>1012.5665200000001</v>
      </c>
      <c r="G247" s="39">
        <v>917.65646036042415</v>
      </c>
      <c r="H247" s="40">
        <v>0.23352917445657795</v>
      </c>
      <c r="I247" s="40">
        <v>-9.3732172420213811E-2</v>
      </c>
      <c r="J247" s="40">
        <v>7.5776058300132787E-2</v>
      </c>
    </row>
    <row r="248" spans="1:10" ht="11.25" customHeight="1" x14ac:dyDescent="0.2">
      <c r="A248" s="49">
        <v>44562</v>
      </c>
      <c r="B248" s="39">
        <v>0</v>
      </c>
      <c r="C248" s="39">
        <v>0</v>
      </c>
      <c r="D248" s="39">
        <v>511.81758000000002</v>
      </c>
      <c r="E248" s="39">
        <v>631.34191692976356</v>
      </c>
      <c r="F248" s="39">
        <v>476.32388000000003</v>
      </c>
      <c r="G248" s="39">
        <v>431.67700795197476</v>
      </c>
      <c r="H248" s="40">
        <v>0.23352917445657795</v>
      </c>
      <c r="I248" s="40">
        <v>-9.3732172420213922E-2</v>
      </c>
      <c r="J248" s="40">
        <v>7.5776058300132565E-2</v>
      </c>
    </row>
    <row r="249" spans="1:10" ht="11.25" customHeight="1" x14ac:dyDescent="0.2">
      <c r="A249" s="48" t="s">
        <v>39</v>
      </c>
      <c r="B249" s="39">
        <v>0</v>
      </c>
      <c r="C249" s="39">
        <v>0</v>
      </c>
      <c r="D249" s="39">
        <v>7.7582000000000013</v>
      </c>
      <c r="E249" s="39">
        <v>9.1348044743214967</v>
      </c>
      <c r="F249" s="39">
        <v>3.0262000000000002</v>
      </c>
      <c r="G249" s="39">
        <v>2.7425476998219489</v>
      </c>
      <c r="H249" s="40">
        <v>0.17743864225226158</v>
      </c>
      <c r="I249" s="40">
        <v>-9.3732172420213922E-2</v>
      </c>
      <c r="J249" s="40">
        <v>0.10134566356435637</v>
      </c>
    </row>
    <row r="250" spans="1:10" ht="11.25" customHeight="1" x14ac:dyDescent="0.2">
      <c r="A250" s="49">
        <v>44409</v>
      </c>
      <c r="B250" s="39">
        <v>0</v>
      </c>
      <c r="C250" s="39">
        <v>0</v>
      </c>
      <c r="D250" s="39">
        <v>1.5516400000000001</v>
      </c>
      <c r="E250" s="39">
        <v>1.8269608948642992</v>
      </c>
      <c r="F250" s="39">
        <v>0.60524</v>
      </c>
      <c r="G250" s="39">
        <v>0.54850953996438978</v>
      </c>
      <c r="H250" s="40">
        <v>0.17743864225226158</v>
      </c>
      <c r="I250" s="40">
        <v>-9.3732172420213811E-2</v>
      </c>
      <c r="J250" s="40">
        <v>0.10134566356435637</v>
      </c>
    </row>
    <row r="251" spans="1:10" ht="11.25" customHeight="1" x14ac:dyDescent="0.2">
      <c r="A251" s="49">
        <v>44440</v>
      </c>
      <c r="B251" s="39">
        <v>0</v>
      </c>
      <c r="C251" s="39">
        <v>0</v>
      </c>
      <c r="D251" s="39">
        <v>2.3274600000000003</v>
      </c>
      <c r="E251" s="39">
        <v>2.7404413422964491</v>
      </c>
      <c r="F251" s="39">
        <v>0.90786</v>
      </c>
      <c r="G251" s="39">
        <v>0.82276430994658467</v>
      </c>
      <c r="H251" s="40">
        <v>0.17743864225226158</v>
      </c>
      <c r="I251" s="40">
        <v>-9.3732172420213811E-2</v>
      </c>
      <c r="J251" s="40">
        <v>0.10134566356435637</v>
      </c>
    </row>
    <row r="252" spans="1:10" ht="11.25" customHeight="1" x14ac:dyDescent="0.2">
      <c r="A252" s="49">
        <v>44470</v>
      </c>
      <c r="B252" s="39">
        <v>0</v>
      </c>
      <c r="C252" s="39">
        <v>0</v>
      </c>
      <c r="D252" s="39">
        <v>0.77582000000000007</v>
      </c>
      <c r="E252" s="39">
        <v>0.91348044743214962</v>
      </c>
      <c r="F252" s="39">
        <v>0.30262</v>
      </c>
      <c r="G252" s="39">
        <v>0.27425476998219489</v>
      </c>
      <c r="H252" s="40">
        <v>0.17743864225226158</v>
      </c>
      <c r="I252" s="40">
        <v>-9.3732172420213811E-2</v>
      </c>
      <c r="J252" s="40">
        <v>0.10134566356435637</v>
      </c>
    </row>
    <row r="253" spans="1:10" ht="11.25" customHeight="1" x14ac:dyDescent="0.2">
      <c r="A253" s="49">
        <v>44501</v>
      </c>
      <c r="B253" s="39">
        <v>0</v>
      </c>
      <c r="C253" s="39">
        <v>0</v>
      </c>
      <c r="D253" s="39">
        <v>0.77582000000000007</v>
      </c>
      <c r="E253" s="39">
        <v>0.91348044743214962</v>
      </c>
      <c r="F253" s="39">
        <v>0.30262</v>
      </c>
      <c r="G253" s="39">
        <v>0.27425476998219489</v>
      </c>
      <c r="H253" s="40">
        <v>0.17743864225226158</v>
      </c>
      <c r="I253" s="40">
        <v>-9.3732172420213811E-2</v>
      </c>
      <c r="J253" s="40">
        <v>0.10134566356435637</v>
      </c>
    </row>
    <row r="254" spans="1:10" ht="11.25" customHeight="1" x14ac:dyDescent="0.2">
      <c r="A254" s="49">
        <v>44531</v>
      </c>
      <c r="B254" s="39">
        <v>0</v>
      </c>
      <c r="C254" s="39">
        <v>0</v>
      </c>
      <c r="D254" s="39">
        <v>1.5516400000000001</v>
      </c>
      <c r="E254" s="39">
        <v>1.8269608948642992</v>
      </c>
      <c r="F254" s="39">
        <v>0.60524</v>
      </c>
      <c r="G254" s="39">
        <v>0.54850953996438978</v>
      </c>
      <c r="H254" s="40">
        <v>0.17743864225226158</v>
      </c>
      <c r="I254" s="40">
        <v>-9.3732172420213811E-2</v>
      </c>
      <c r="J254" s="40">
        <v>0.10134566356435637</v>
      </c>
    </row>
    <row r="255" spans="1:10" ht="11.25" customHeight="1" x14ac:dyDescent="0.2">
      <c r="A255" s="49">
        <v>44562</v>
      </c>
      <c r="B255" s="39">
        <v>0</v>
      </c>
      <c r="C255" s="39">
        <v>0</v>
      </c>
      <c r="D255" s="39">
        <v>0.77582000000000007</v>
      </c>
      <c r="E255" s="39">
        <v>0.91348044743214962</v>
      </c>
      <c r="F255" s="39">
        <v>0.30262</v>
      </c>
      <c r="G255" s="39">
        <v>0.27425476998219489</v>
      </c>
      <c r="H255" s="40">
        <v>0.17743864225226158</v>
      </c>
      <c r="I255" s="40">
        <v>-9.3732172420213811E-2</v>
      </c>
      <c r="J255" s="40">
        <v>0.10134566356435637</v>
      </c>
    </row>
    <row r="256" spans="1:10" ht="11.25" customHeight="1" x14ac:dyDescent="0.2">
      <c r="A256" s="48" t="s">
        <v>36</v>
      </c>
      <c r="B256" s="39">
        <v>0</v>
      </c>
      <c r="C256" s="39">
        <v>0</v>
      </c>
      <c r="D256" s="39">
        <v>18.397200000000002</v>
      </c>
      <c r="E256" s="39">
        <v>21.387813198093802</v>
      </c>
      <c r="F256" s="39">
        <v>7.7766000000000002</v>
      </c>
      <c r="G256" s="39">
        <v>7.0451254639080503</v>
      </c>
      <c r="H256" s="40">
        <v>0.16255806307991438</v>
      </c>
      <c r="I256" s="40">
        <v>-9.4060969587216769E-2</v>
      </c>
      <c r="J256" s="40">
        <v>8.6312979468088358E-2</v>
      </c>
    </row>
    <row r="257" spans="1:10" ht="11.25" customHeight="1" x14ac:dyDescent="0.2">
      <c r="A257" s="49">
        <v>44409</v>
      </c>
      <c r="B257" s="39">
        <v>0</v>
      </c>
      <c r="C257" s="39">
        <v>0</v>
      </c>
      <c r="D257" s="39">
        <v>1.22648</v>
      </c>
      <c r="E257" s="39">
        <v>1.4258542132062535</v>
      </c>
      <c r="F257" s="39">
        <v>0.51844000000000001</v>
      </c>
      <c r="G257" s="39">
        <v>0.46967503092720331</v>
      </c>
      <c r="H257" s="40">
        <v>0.16255806307991438</v>
      </c>
      <c r="I257" s="40">
        <v>-9.4060969587216881E-2</v>
      </c>
      <c r="J257" s="40">
        <v>8.6312979468088358E-2</v>
      </c>
    </row>
    <row r="258" spans="1:10" ht="11.25" customHeight="1" x14ac:dyDescent="0.2">
      <c r="A258" s="49">
        <v>44440</v>
      </c>
      <c r="B258" s="39">
        <v>0</v>
      </c>
      <c r="C258" s="39">
        <v>0</v>
      </c>
      <c r="D258" s="39">
        <v>3.67944</v>
      </c>
      <c r="E258" s="39">
        <v>4.2775626396187603</v>
      </c>
      <c r="F258" s="39">
        <v>1.5553200000000003</v>
      </c>
      <c r="G258" s="39">
        <v>1.4090250927816099</v>
      </c>
      <c r="H258" s="40">
        <v>0.16255806307991438</v>
      </c>
      <c r="I258" s="40">
        <v>-9.4060969587216992E-2</v>
      </c>
      <c r="J258" s="40">
        <v>8.6312979468088136E-2</v>
      </c>
    </row>
    <row r="259" spans="1:10" ht="11.25" customHeight="1" x14ac:dyDescent="0.2">
      <c r="A259" s="49">
        <v>44470</v>
      </c>
      <c r="B259" s="39">
        <v>0</v>
      </c>
      <c r="C259" s="39">
        <v>0</v>
      </c>
      <c r="D259" s="39">
        <v>1.22648</v>
      </c>
      <c r="E259" s="39">
        <v>1.4258542132062535</v>
      </c>
      <c r="F259" s="39">
        <v>0.51844000000000001</v>
      </c>
      <c r="G259" s="39">
        <v>0.46967503092720331</v>
      </c>
      <c r="H259" s="40">
        <v>0.16255806307991438</v>
      </c>
      <c r="I259" s="40">
        <v>-9.4060969587216881E-2</v>
      </c>
      <c r="J259" s="40">
        <v>8.6312979468088358E-2</v>
      </c>
    </row>
    <row r="260" spans="1:10" ht="11.25" customHeight="1" x14ac:dyDescent="0.2">
      <c r="A260" s="49">
        <v>44501</v>
      </c>
      <c r="B260" s="39">
        <v>0</v>
      </c>
      <c r="C260" s="39">
        <v>0</v>
      </c>
      <c r="D260" s="39">
        <v>1.22648</v>
      </c>
      <c r="E260" s="39">
        <v>1.4258542132062535</v>
      </c>
      <c r="F260" s="39">
        <v>0.51844000000000001</v>
      </c>
      <c r="G260" s="39">
        <v>0.46967503092720331</v>
      </c>
      <c r="H260" s="40">
        <v>0.16255806307991438</v>
      </c>
      <c r="I260" s="40">
        <v>-9.4060969587216881E-2</v>
      </c>
      <c r="J260" s="40">
        <v>8.6312979468088358E-2</v>
      </c>
    </row>
    <row r="261" spans="1:10" ht="11.25" customHeight="1" x14ac:dyDescent="0.2">
      <c r="A261" s="49">
        <v>44531</v>
      </c>
      <c r="B261" s="39">
        <v>0</v>
      </c>
      <c r="C261" s="39">
        <v>0</v>
      </c>
      <c r="D261" s="39">
        <v>9.8118400000000001</v>
      </c>
      <c r="E261" s="39">
        <v>11.406833705650028</v>
      </c>
      <c r="F261" s="39">
        <v>4.1475200000000001</v>
      </c>
      <c r="G261" s="39">
        <v>3.7574002474176265</v>
      </c>
      <c r="H261" s="40">
        <v>0.16255806307991438</v>
      </c>
      <c r="I261" s="40">
        <v>-9.4060969587216881E-2</v>
      </c>
      <c r="J261" s="40">
        <v>8.6312979468088358E-2</v>
      </c>
    </row>
    <row r="262" spans="1:10" ht="11.25" customHeight="1" x14ac:dyDescent="0.2">
      <c r="A262" s="49">
        <v>44562</v>
      </c>
      <c r="B262" s="39">
        <v>0</v>
      </c>
      <c r="C262" s="39">
        <v>0</v>
      </c>
      <c r="D262" s="39">
        <v>1.22648</v>
      </c>
      <c r="E262" s="39">
        <v>1.4258542132062535</v>
      </c>
      <c r="F262" s="39">
        <v>0.51844000000000001</v>
      </c>
      <c r="G262" s="39">
        <v>0.46967503092720331</v>
      </c>
      <c r="H262" s="40">
        <v>0.16255806307991438</v>
      </c>
      <c r="I262" s="40">
        <v>-9.4060969587216881E-2</v>
      </c>
      <c r="J262" s="40">
        <v>8.6312979468088358E-2</v>
      </c>
    </row>
    <row r="263" spans="1:10" ht="11.25" customHeight="1" x14ac:dyDescent="0.2">
      <c r="A263" s="44" t="s">
        <v>43</v>
      </c>
      <c r="B263" s="39">
        <v>0</v>
      </c>
      <c r="C263" s="39">
        <v>0</v>
      </c>
      <c r="D263" s="39">
        <v>29898.646140000001</v>
      </c>
      <c r="E263" s="39">
        <v>36353.427007381797</v>
      </c>
      <c r="F263" s="39">
        <v>23669.44514</v>
      </c>
      <c r="G263" s="39">
        <v>21450.124494460713</v>
      </c>
      <c r="H263" s="40">
        <v>0.21588873413054799</v>
      </c>
      <c r="I263" s="40">
        <v>-9.3763103968532047E-2</v>
      </c>
      <c r="J263" s="40">
        <v>7.9066849697962738E-2</v>
      </c>
    </row>
    <row r="264" spans="1:10" ht="11.25" customHeight="1" x14ac:dyDescent="0.2">
      <c r="A264" s="45" t="s">
        <v>25</v>
      </c>
      <c r="B264" s="39">
        <v>0</v>
      </c>
      <c r="C264" s="39">
        <v>0</v>
      </c>
      <c r="D264" s="39">
        <v>29898.646140000001</v>
      </c>
      <c r="E264" s="39">
        <v>36353.427007381797</v>
      </c>
      <c r="F264" s="39">
        <v>23669.44514</v>
      </c>
      <c r="G264" s="39">
        <v>21450.124494460713</v>
      </c>
      <c r="H264" s="40">
        <v>0.21588873413054799</v>
      </c>
      <c r="I264" s="40">
        <v>-9.3763103968532047E-2</v>
      </c>
      <c r="J264" s="40">
        <v>7.9066849697962738E-2</v>
      </c>
    </row>
    <row r="265" spans="1:10" ht="11.25" customHeight="1" x14ac:dyDescent="0.2">
      <c r="A265" s="46" t="s">
        <v>25</v>
      </c>
      <c r="B265" s="39">
        <v>0</v>
      </c>
      <c r="C265" s="39">
        <v>0</v>
      </c>
      <c r="D265" s="39">
        <v>29898.646140000001</v>
      </c>
      <c r="E265" s="39">
        <v>36353.427007381797</v>
      </c>
      <c r="F265" s="39">
        <v>23669.44514</v>
      </c>
      <c r="G265" s="39">
        <v>21450.124494460713</v>
      </c>
      <c r="H265" s="40">
        <v>0.21588873413054799</v>
      </c>
      <c r="I265" s="40">
        <v>-9.3763103968532047E-2</v>
      </c>
      <c r="J265" s="40">
        <v>7.9066849697962738E-2</v>
      </c>
    </row>
    <row r="266" spans="1:10" ht="11.25" customHeight="1" x14ac:dyDescent="0.2">
      <c r="A266" s="47" t="s">
        <v>25</v>
      </c>
      <c r="B266" s="39">
        <v>0</v>
      </c>
      <c r="C266" s="39">
        <v>0</v>
      </c>
      <c r="D266" s="39">
        <v>29898.646140000001</v>
      </c>
      <c r="E266" s="39">
        <v>36353.427007381797</v>
      </c>
      <c r="F266" s="39">
        <v>23669.44514</v>
      </c>
      <c r="G266" s="39">
        <v>21450.124494460713</v>
      </c>
      <c r="H266" s="40">
        <v>0.21588873413054799</v>
      </c>
      <c r="I266" s="40">
        <v>-9.3763103968532047E-2</v>
      </c>
      <c r="J266" s="40">
        <v>7.9066849697962738E-2</v>
      </c>
    </row>
    <row r="267" spans="1:10" ht="11.25" customHeight="1" x14ac:dyDescent="0.2">
      <c r="A267" s="48" t="s">
        <v>37</v>
      </c>
      <c r="B267" s="39">
        <v>0</v>
      </c>
      <c r="C267" s="39">
        <v>0</v>
      </c>
      <c r="D267" s="39">
        <v>21893.045760000005</v>
      </c>
      <c r="E267" s="39">
        <v>27005.710662672886</v>
      </c>
      <c r="F267" s="39">
        <v>20374.799360000001</v>
      </c>
      <c r="G267" s="39">
        <v>18465.025153361214</v>
      </c>
      <c r="H267" s="40">
        <v>0.23352917445657773</v>
      </c>
      <c r="I267" s="40">
        <v>-9.3732172420214033E-2</v>
      </c>
      <c r="J267" s="40">
        <v>7.5776058300132565E-2</v>
      </c>
    </row>
    <row r="268" spans="1:10" ht="11.25" customHeight="1" x14ac:dyDescent="0.2">
      <c r="A268" s="49">
        <v>44409</v>
      </c>
      <c r="B268" s="39">
        <v>0</v>
      </c>
      <c r="C268" s="39">
        <v>0</v>
      </c>
      <c r="D268" s="39">
        <v>1509.76431</v>
      </c>
      <c r="E268" s="39">
        <v>1862.3383229383048</v>
      </c>
      <c r="F268" s="39">
        <v>1405.06466</v>
      </c>
      <c r="G268" s="39">
        <v>1273.3648970273307</v>
      </c>
      <c r="H268" s="40">
        <v>0.23352917445657773</v>
      </c>
      <c r="I268" s="40">
        <v>-9.3732172420213922E-2</v>
      </c>
      <c r="J268" s="40">
        <v>7.5776058300132565E-2</v>
      </c>
    </row>
    <row r="269" spans="1:10" ht="11.25" customHeight="1" x14ac:dyDescent="0.2">
      <c r="A269" s="49">
        <v>44440</v>
      </c>
      <c r="B269" s="39">
        <v>0</v>
      </c>
      <c r="C269" s="39">
        <v>0</v>
      </c>
      <c r="D269" s="39">
        <v>1447.6568400000001</v>
      </c>
      <c r="E269" s="39">
        <v>1785.7269467416183</v>
      </c>
      <c r="F269" s="39">
        <v>1347.26424</v>
      </c>
      <c r="G269" s="39">
        <v>1220.9822359607317</v>
      </c>
      <c r="H269" s="40">
        <v>0.23352917445657795</v>
      </c>
      <c r="I269" s="40">
        <v>-9.3732172420213811E-2</v>
      </c>
      <c r="J269" s="40">
        <v>7.5776058300132787E-2</v>
      </c>
    </row>
    <row r="270" spans="1:10" ht="11.25" customHeight="1" x14ac:dyDescent="0.2">
      <c r="A270" s="49">
        <v>44470</v>
      </c>
      <c r="B270" s="39">
        <v>0</v>
      </c>
      <c r="C270" s="39">
        <v>0</v>
      </c>
      <c r="D270" s="39">
        <v>1425.5452800000003</v>
      </c>
      <c r="E270" s="39">
        <v>1758.4516923888714</v>
      </c>
      <c r="F270" s="39">
        <v>1326.6860800000002</v>
      </c>
      <c r="G270" s="39">
        <v>1202.3329116019424</v>
      </c>
      <c r="H270" s="40">
        <v>0.23352917445657773</v>
      </c>
      <c r="I270" s="40">
        <v>-9.3732172420213922E-2</v>
      </c>
      <c r="J270" s="40">
        <v>7.5776058300132565E-2</v>
      </c>
    </row>
    <row r="271" spans="1:10" ht="11.25" customHeight="1" x14ac:dyDescent="0.2">
      <c r="A271" s="49">
        <v>44501</v>
      </c>
      <c r="B271" s="39">
        <v>0</v>
      </c>
      <c r="C271" s="39">
        <v>0</v>
      </c>
      <c r="D271" s="39">
        <v>1595.2840200000001</v>
      </c>
      <c r="E271" s="39">
        <v>1967.8293802143708</v>
      </c>
      <c r="F271" s="39">
        <v>1484.65372</v>
      </c>
      <c r="G271" s="39">
        <v>1345.4939015326481</v>
      </c>
      <c r="H271" s="40">
        <v>0.23352917445657773</v>
      </c>
      <c r="I271" s="40">
        <v>-9.3732172420213811E-2</v>
      </c>
      <c r="J271" s="40">
        <v>7.5776058300132565E-2</v>
      </c>
    </row>
    <row r="272" spans="1:10" ht="11.25" customHeight="1" x14ac:dyDescent="0.2">
      <c r="A272" s="49">
        <v>44531</v>
      </c>
      <c r="B272" s="39">
        <v>0</v>
      </c>
      <c r="C272" s="39">
        <v>0</v>
      </c>
      <c r="D272" s="39">
        <v>1798.1901000000003</v>
      </c>
      <c r="E272" s="39">
        <v>2218.1199495689912</v>
      </c>
      <c r="F272" s="39">
        <v>1673.4886000000001</v>
      </c>
      <c r="G272" s="39">
        <v>1516.6288780015377</v>
      </c>
      <c r="H272" s="40">
        <v>0.23352917445657773</v>
      </c>
      <c r="I272" s="40">
        <v>-9.3732172420213922E-2</v>
      </c>
      <c r="J272" s="40">
        <v>7.5776058300132565E-2</v>
      </c>
    </row>
    <row r="273" spans="1:10" ht="11.25" customHeight="1" x14ac:dyDescent="0.2">
      <c r="A273" s="49">
        <v>44562</v>
      </c>
      <c r="B273" s="39">
        <v>0</v>
      </c>
      <c r="C273" s="39">
        <v>0</v>
      </c>
      <c r="D273" s="39">
        <v>2144.82132</v>
      </c>
      <c r="E273" s="39">
        <v>2645.6996722164677</v>
      </c>
      <c r="F273" s="39">
        <v>1996.08152</v>
      </c>
      <c r="G273" s="39">
        <v>1808.9844628025576</v>
      </c>
      <c r="H273" s="40">
        <v>0.23352917445657795</v>
      </c>
      <c r="I273" s="40">
        <v>-9.3732172420213811E-2</v>
      </c>
      <c r="J273" s="40">
        <v>7.5776058300132787E-2</v>
      </c>
    </row>
    <row r="274" spans="1:10" ht="11.25" customHeight="1" x14ac:dyDescent="0.2">
      <c r="A274" s="49">
        <v>44593</v>
      </c>
      <c r="B274" s="39">
        <v>0</v>
      </c>
      <c r="C274" s="39">
        <v>0</v>
      </c>
      <c r="D274" s="39">
        <v>2898.8905500000001</v>
      </c>
      <c r="E274" s="39">
        <v>3575.8660669814749</v>
      </c>
      <c r="F274" s="39">
        <v>2697.8572999999997</v>
      </c>
      <c r="G274" s="39">
        <v>2444.9812743912671</v>
      </c>
      <c r="H274" s="40">
        <v>0.23352917445657773</v>
      </c>
      <c r="I274" s="40">
        <v>-9.3732172420213811E-2</v>
      </c>
      <c r="J274" s="40">
        <v>7.5776058300132787E-2</v>
      </c>
    </row>
    <row r="275" spans="1:10" ht="11.25" customHeight="1" x14ac:dyDescent="0.2">
      <c r="A275" s="49">
        <v>44621</v>
      </c>
      <c r="B275" s="39">
        <v>0</v>
      </c>
      <c r="C275" s="39">
        <v>0</v>
      </c>
      <c r="D275" s="39">
        <v>2302.85394</v>
      </c>
      <c r="E275" s="39">
        <v>2840.6375195022779</v>
      </c>
      <c r="F275" s="39">
        <v>2143.1548400000001</v>
      </c>
      <c r="G275" s="39">
        <v>1942.2722810139041</v>
      </c>
      <c r="H275" s="40">
        <v>0.23352917445657795</v>
      </c>
      <c r="I275" s="40">
        <v>-9.3732172420213922E-2</v>
      </c>
      <c r="J275" s="40">
        <v>7.5776058300132787E-2</v>
      </c>
    </row>
    <row r="276" spans="1:10" ht="11.25" customHeight="1" x14ac:dyDescent="0.2">
      <c r="A276" s="49">
        <v>44652</v>
      </c>
      <c r="B276" s="39">
        <v>0</v>
      </c>
      <c r="C276" s="39">
        <v>0</v>
      </c>
      <c r="D276" s="39">
        <v>2286.9206100000001</v>
      </c>
      <c r="E276" s="39">
        <v>2820.9832921010338</v>
      </c>
      <c r="F276" s="39">
        <v>2128.3264600000002</v>
      </c>
      <c r="G276" s="39">
        <v>1928.8337972847767</v>
      </c>
      <c r="H276" s="40">
        <v>0.23352917445657795</v>
      </c>
      <c r="I276" s="40">
        <v>-9.3732172420213922E-2</v>
      </c>
      <c r="J276" s="40">
        <v>7.5776058300132787E-2</v>
      </c>
    </row>
    <row r="277" spans="1:10" ht="11.25" customHeight="1" x14ac:dyDescent="0.2">
      <c r="A277" s="49">
        <v>44682</v>
      </c>
      <c r="B277" s="39">
        <v>0</v>
      </c>
      <c r="C277" s="39">
        <v>0</v>
      </c>
      <c r="D277" s="39">
        <v>1833.30846</v>
      </c>
      <c r="E277" s="39">
        <v>2261.43947118806</v>
      </c>
      <c r="F277" s="39">
        <v>1706.17156</v>
      </c>
      <c r="G277" s="39">
        <v>1546.2483931596148</v>
      </c>
      <c r="H277" s="40">
        <v>0.23352917445657773</v>
      </c>
      <c r="I277" s="40">
        <v>-9.3732172420213811E-2</v>
      </c>
      <c r="J277" s="40">
        <v>7.5776058300132787E-2</v>
      </c>
    </row>
    <row r="278" spans="1:10" ht="11.25" customHeight="1" x14ac:dyDescent="0.2">
      <c r="A278" s="49">
        <v>44713</v>
      </c>
      <c r="B278" s="39">
        <v>0</v>
      </c>
      <c r="C278" s="39">
        <v>0</v>
      </c>
      <c r="D278" s="39">
        <v>1415.1398400000003</v>
      </c>
      <c r="E278" s="39">
        <v>1745.6162785758138</v>
      </c>
      <c r="F278" s="39">
        <v>1317.00224</v>
      </c>
      <c r="G278" s="39">
        <v>1193.5567589625123</v>
      </c>
      <c r="H278" s="40">
        <v>0.23352917445657773</v>
      </c>
      <c r="I278" s="40">
        <v>-9.3732172420213811E-2</v>
      </c>
      <c r="J278" s="40">
        <v>7.5776058300132565E-2</v>
      </c>
    </row>
    <row r="279" spans="1:10" ht="11.25" customHeight="1" x14ac:dyDescent="0.2">
      <c r="A279" s="49">
        <v>44743</v>
      </c>
      <c r="B279" s="39">
        <v>0</v>
      </c>
      <c r="C279" s="39">
        <v>0</v>
      </c>
      <c r="D279" s="39">
        <v>1234.6704900000002</v>
      </c>
      <c r="E279" s="39">
        <v>1523.0020702555985</v>
      </c>
      <c r="F279" s="39">
        <v>1149.0481400000001</v>
      </c>
      <c r="G279" s="39">
        <v>1041.345361622394</v>
      </c>
      <c r="H279" s="40">
        <v>0.23352917445657773</v>
      </c>
      <c r="I279" s="40">
        <v>-9.3732172420213922E-2</v>
      </c>
      <c r="J279" s="40">
        <v>7.5776058300132565E-2</v>
      </c>
    </row>
    <row r="280" spans="1:10" ht="11.25" customHeight="1" x14ac:dyDescent="0.2">
      <c r="A280" s="48" t="s">
        <v>39</v>
      </c>
      <c r="B280" s="39">
        <v>0</v>
      </c>
      <c r="C280" s="39">
        <v>0</v>
      </c>
      <c r="D280" s="39">
        <v>2737.8687800000002</v>
      </c>
      <c r="E280" s="39">
        <v>3223.6724989880558</v>
      </c>
      <c r="F280" s="39">
        <v>1067.9459800000002</v>
      </c>
      <c r="G280" s="39">
        <v>967.84508326716559</v>
      </c>
      <c r="H280" s="40">
        <v>0.17743864225226158</v>
      </c>
      <c r="I280" s="40">
        <v>-9.3732172420214144E-2</v>
      </c>
      <c r="J280" s="40">
        <v>0.10134566356435615</v>
      </c>
    </row>
    <row r="281" spans="1:10" ht="11.25" customHeight="1" x14ac:dyDescent="0.2">
      <c r="A281" s="49">
        <v>44409</v>
      </c>
      <c r="B281" s="39">
        <v>0</v>
      </c>
      <c r="C281" s="39">
        <v>0</v>
      </c>
      <c r="D281" s="39">
        <v>225.76362</v>
      </c>
      <c r="E281" s="39">
        <v>265.82281020275553</v>
      </c>
      <c r="F281" s="39">
        <v>88.062419999999989</v>
      </c>
      <c r="G281" s="39">
        <v>79.808138064818706</v>
      </c>
      <c r="H281" s="40">
        <v>0.17743864225226158</v>
      </c>
      <c r="I281" s="40">
        <v>-9.3732172420213811E-2</v>
      </c>
      <c r="J281" s="40">
        <v>0.10134566356435637</v>
      </c>
    </row>
    <row r="282" spans="1:10" ht="11.25" customHeight="1" x14ac:dyDescent="0.2">
      <c r="A282" s="49">
        <v>44440</v>
      </c>
      <c r="B282" s="39">
        <v>0</v>
      </c>
      <c r="C282" s="39">
        <v>0</v>
      </c>
      <c r="D282" s="39">
        <v>214.90214000000003</v>
      </c>
      <c r="E282" s="39">
        <v>253.03408393870546</v>
      </c>
      <c r="F282" s="39">
        <v>83.82574000000001</v>
      </c>
      <c r="G282" s="39">
        <v>75.968571285067995</v>
      </c>
      <c r="H282" s="40">
        <v>0.17743864225226158</v>
      </c>
      <c r="I282" s="40">
        <v>-9.3732172420213811E-2</v>
      </c>
      <c r="J282" s="40">
        <v>0.10134566356435637</v>
      </c>
    </row>
    <row r="283" spans="1:10" ht="11.25" customHeight="1" x14ac:dyDescent="0.2">
      <c r="A283" s="49">
        <v>44470</v>
      </c>
      <c r="B283" s="39">
        <v>0</v>
      </c>
      <c r="C283" s="39">
        <v>0</v>
      </c>
      <c r="D283" s="39">
        <v>189.30008000000001</v>
      </c>
      <c r="E283" s="39">
        <v>222.88922917344451</v>
      </c>
      <c r="F283" s="39">
        <v>73.839280000000002</v>
      </c>
      <c r="G283" s="39">
        <v>66.918163875655551</v>
      </c>
      <c r="H283" s="40">
        <v>0.17743864225226158</v>
      </c>
      <c r="I283" s="40">
        <v>-9.3732172420213922E-2</v>
      </c>
      <c r="J283" s="40">
        <v>0.10134566356435615</v>
      </c>
    </row>
    <row r="284" spans="1:10" ht="11.25" customHeight="1" x14ac:dyDescent="0.2">
      <c r="A284" s="49">
        <v>44501</v>
      </c>
      <c r="B284" s="39">
        <v>0</v>
      </c>
      <c r="C284" s="39">
        <v>0</v>
      </c>
      <c r="D284" s="39">
        <v>189.30008000000001</v>
      </c>
      <c r="E284" s="39">
        <v>222.88922917344451</v>
      </c>
      <c r="F284" s="39">
        <v>73.839280000000002</v>
      </c>
      <c r="G284" s="39">
        <v>66.918163875655551</v>
      </c>
      <c r="H284" s="40">
        <v>0.17743864225226158</v>
      </c>
      <c r="I284" s="40">
        <v>-9.3732172420213922E-2</v>
      </c>
      <c r="J284" s="40">
        <v>0.10134566356435615</v>
      </c>
    </row>
    <row r="285" spans="1:10" ht="11.25" customHeight="1" x14ac:dyDescent="0.2">
      <c r="A285" s="49">
        <v>44531</v>
      </c>
      <c r="B285" s="39">
        <v>0</v>
      </c>
      <c r="C285" s="39">
        <v>0</v>
      </c>
      <c r="D285" s="39">
        <v>267.65789999999998</v>
      </c>
      <c r="E285" s="39">
        <v>315.1507543640916</v>
      </c>
      <c r="F285" s="39">
        <v>104.40389999999999</v>
      </c>
      <c r="G285" s="39">
        <v>94.617895643857224</v>
      </c>
      <c r="H285" s="40">
        <v>0.17743864225226158</v>
      </c>
      <c r="I285" s="40">
        <v>-9.3732172420213922E-2</v>
      </c>
      <c r="J285" s="40">
        <v>0.10134566356435659</v>
      </c>
    </row>
    <row r="286" spans="1:10" ht="11.25" customHeight="1" x14ac:dyDescent="0.2">
      <c r="A286" s="49">
        <v>44562</v>
      </c>
      <c r="B286" s="39">
        <v>0</v>
      </c>
      <c r="C286" s="39">
        <v>0</v>
      </c>
      <c r="D286" s="39">
        <v>346.79154000000005</v>
      </c>
      <c r="E286" s="39">
        <v>408.32576000217091</v>
      </c>
      <c r="F286" s="39">
        <v>135.27114</v>
      </c>
      <c r="G286" s="39">
        <v>122.59188218204112</v>
      </c>
      <c r="H286" s="40">
        <v>0.17743864225226158</v>
      </c>
      <c r="I286" s="40">
        <v>-9.3732172420213811E-2</v>
      </c>
      <c r="J286" s="40">
        <v>0.10134566356435637</v>
      </c>
    </row>
    <row r="287" spans="1:10" ht="11.25" customHeight="1" x14ac:dyDescent="0.2">
      <c r="A287" s="49">
        <v>44593</v>
      </c>
      <c r="B287" s="39">
        <v>0</v>
      </c>
      <c r="C287" s="39">
        <v>0</v>
      </c>
      <c r="D287" s="39">
        <v>429.02846000000005</v>
      </c>
      <c r="E287" s="39">
        <v>505.15468742997876</v>
      </c>
      <c r="F287" s="39">
        <v>167.34886000000003</v>
      </c>
      <c r="G287" s="39">
        <v>151.66288780015378</v>
      </c>
      <c r="H287" s="40">
        <v>0.17743864225226158</v>
      </c>
      <c r="I287" s="40">
        <v>-9.3732172420213922E-2</v>
      </c>
      <c r="J287" s="40">
        <v>0.10134566356435637</v>
      </c>
    </row>
    <row r="288" spans="1:10" ht="11.25" customHeight="1" x14ac:dyDescent="0.2">
      <c r="A288" s="49">
        <v>44621</v>
      </c>
      <c r="B288" s="39">
        <v>0</v>
      </c>
      <c r="C288" s="39">
        <v>0</v>
      </c>
      <c r="D288" s="39">
        <v>184.64516</v>
      </c>
      <c r="E288" s="39">
        <v>217.40834648885161</v>
      </c>
      <c r="F288" s="39">
        <v>72.023560000000003</v>
      </c>
      <c r="G288" s="39">
        <v>65.272635255762381</v>
      </c>
      <c r="H288" s="40">
        <v>0.17743864225226158</v>
      </c>
      <c r="I288" s="40">
        <v>-9.3732172420213922E-2</v>
      </c>
      <c r="J288" s="40">
        <v>0.10134566356435637</v>
      </c>
    </row>
    <row r="289" spans="1:10" ht="11.25" customHeight="1" x14ac:dyDescent="0.2">
      <c r="A289" s="49">
        <v>44652</v>
      </c>
      <c r="B289" s="39">
        <v>0</v>
      </c>
      <c r="C289" s="39">
        <v>0</v>
      </c>
      <c r="D289" s="39">
        <v>232.74600000000001</v>
      </c>
      <c r="E289" s="39">
        <v>274.0441342296449</v>
      </c>
      <c r="F289" s="39">
        <v>90.786000000000001</v>
      </c>
      <c r="G289" s="39">
        <v>82.276430994658469</v>
      </c>
      <c r="H289" s="40">
        <v>0.17743864225226158</v>
      </c>
      <c r="I289" s="40">
        <v>-9.3732172420213811E-2</v>
      </c>
      <c r="J289" s="40">
        <v>0.10134566356435637</v>
      </c>
    </row>
    <row r="290" spans="1:10" ht="11.25" customHeight="1" x14ac:dyDescent="0.2">
      <c r="A290" s="49">
        <v>44682</v>
      </c>
      <c r="B290" s="39">
        <v>0</v>
      </c>
      <c r="C290" s="39">
        <v>0</v>
      </c>
      <c r="D290" s="39">
        <v>153.61236000000002</v>
      </c>
      <c r="E290" s="39">
        <v>180.86912859156564</v>
      </c>
      <c r="F290" s="39">
        <v>59.918760000000006</v>
      </c>
      <c r="G290" s="39">
        <v>54.302444456474589</v>
      </c>
      <c r="H290" s="40">
        <v>0.17743864225226158</v>
      </c>
      <c r="I290" s="40">
        <v>-9.3732172420213922E-2</v>
      </c>
      <c r="J290" s="40">
        <v>0.10134566356435615</v>
      </c>
    </row>
    <row r="291" spans="1:10" ht="11.25" customHeight="1" x14ac:dyDescent="0.2">
      <c r="A291" s="49">
        <v>44713</v>
      </c>
      <c r="B291" s="39">
        <v>0</v>
      </c>
      <c r="C291" s="39">
        <v>0</v>
      </c>
      <c r="D291" s="39">
        <v>152.06072</v>
      </c>
      <c r="E291" s="39">
        <v>179.04216769670134</v>
      </c>
      <c r="F291" s="39">
        <v>59.313520000000004</v>
      </c>
      <c r="G291" s="39">
        <v>53.753934916510197</v>
      </c>
      <c r="H291" s="40">
        <v>0.1774386422522618</v>
      </c>
      <c r="I291" s="40">
        <v>-9.3732172420213922E-2</v>
      </c>
      <c r="J291" s="40">
        <v>0.10134566356435637</v>
      </c>
    </row>
    <row r="292" spans="1:10" ht="11.25" customHeight="1" x14ac:dyDescent="0.2">
      <c r="A292" s="49">
        <v>44743</v>
      </c>
      <c r="B292" s="39">
        <v>0</v>
      </c>
      <c r="C292" s="39">
        <v>0</v>
      </c>
      <c r="D292" s="39">
        <v>152.06072</v>
      </c>
      <c r="E292" s="39">
        <v>179.04216769670134</v>
      </c>
      <c r="F292" s="39">
        <v>59.313520000000004</v>
      </c>
      <c r="G292" s="39">
        <v>53.753934916510197</v>
      </c>
      <c r="H292" s="40">
        <v>0.1774386422522618</v>
      </c>
      <c r="I292" s="40">
        <v>-9.3732172420213922E-2</v>
      </c>
      <c r="J292" s="40">
        <v>0.10134566356435637</v>
      </c>
    </row>
    <row r="293" spans="1:10" ht="11.25" customHeight="1" x14ac:dyDescent="0.2">
      <c r="A293" s="48" t="s">
        <v>36</v>
      </c>
      <c r="B293" s="39">
        <v>0</v>
      </c>
      <c r="C293" s="39">
        <v>0</v>
      </c>
      <c r="D293" s="39">
        <v>5267.731600000001</v>
      </c>
      <c r="E293" s="39">
        <v>6124.0438457208593</v>
      </c>
      <c r="F293" s="39">
        <v>2226.6998000000003</v>
      </c>
      <c r="G293" s="39">
        <v>2017.2542578323382</v>
      </c>
      <c r="H293" s="40">
        <v>0.16255806307991438</v>
      </c>
      <c r="I293" s="40">
        <v>-9.4060969587216992E-2</v>
      </c>
      <c r="J293" s="40">
        <v>8.6312979468088358E-2</v>
      </c>
    </row>
    <row r="294" spans="1:10" ht="11.25" customHeight="1" x14ac:dyDescent="0.2">
      <c r="A294" s="49">
        <v>44409</v>
      </c>
      <c r="B294" s="39">
        <v>0</v>
      </c>
      <c r="C294" s="39">
        <v>0</v>
      </c>
      <c r="D294" s="39">
        <v>468.51535999999999</v>
      </c>
      <c r="E294" s="39">
        <v>544.67630944478879</v>
      </c>
      <c r="F294" s="39">
        <v>198.04408000000004</v>
      </c>
      <c r="G294" s="39">
        <v>179.41586181419166</v>
      </c>
      <c r="H294" s="40">
        <v>0.16255806307991438</v>
      </c>
      <c r="I294" s="40">
        <v>-9.4060969587216992E-2</v>
      </c>
      <c r="J294" s="40">
        <v>8.6312979468088358E-2</v>
      </c>
    </row>
    <row r="295" spans="1:10" ht="11.25" customHeight="1" x14ac:dyDescent="0.2">
      <c r="A295" s="49">
        <v>44440</v>
      </c>
      <c r="B295" s="39">
        <v>0</v>
      </c>
      <c r="C295" s="39">
        <v>0</v>
      </c>
      <c r="D295" s="39">
        <v>469.74184000000002</v>
      </c>
      <c r="E295" s="39">
        <v>546.10216365799511</v>
      </c>
      <c r="F295" s="39">
        <v>198.56252000000003</v>
      </c>
      <c r="G295" s="39">
        <v>179.88553684511888</v>
      </c>
      <c r="H295" s="40">
        <v>0.16255806307991438</v>
      </c>
      <c r="I295" s="40">
        <v>-9.4060969587216881E-2</v>
      </c>
      <c r="J295" s="40">
        <v>8.6312979468088358E-2</v>
      </c>
    </row>
    <row r="296" spans="1:10" ht="11.25" customHeight="1" x14ac:dyDescent="0.2">
      <c r="A296" s="49">
        <v>44470</v>
      </c>
      <c r="B296" s="39">
        <v>0</v>
      </c>
      <c r="C296" s="39">
        <v>0</v>
      </c>
      <c r="D296" s="39">
        <v>415.77672000000001</v>
      </c>
      <c r="E296" s="39">
        <v>483.36457827691999</v>
      </c>
      <c r="F296" s="39">
        <v>175.75116000000003</v>
      </c>
      <c r="G296" s="39">
        <v>159.21983548432192</v>
      </c>
      <c r="H296" s="40">
        <v>0.16255806307991461</v>
      </c>
      <c r="I296" s="40">
        <v>-9.4060969587216992E-2</v>
      </c>
      <c r="J296" s="40">
        <v>8.6312979468088358E-2</v>
      </c>
    </row>
    <row r="297" spans="1:10" ht="11.25" customHeight="1" x14ac:dyDescent="0.2">
      <c r="A297" s="49">
        <v>44501</v>
      </c>
      <c r="B297" s="39">
        <v>0</v>
      </c>
      <c r="C297" s="39">
        <v>0</v>
      </c>
      <c r="D297" s="39">
        <v>413.32376000000005</v>
      </c>
      <c r="E297" s="39">
        <v>480.51286985050746</v>
      </c>
      <c r="F297" s="39">
        <v>174.71428000000003</v>
      </c>
      <c r="G297" s="39">
        <v>158.28048542246751</v>
      </c>
      <c r="H297" s="40">
        <v>0.16255806307991438</v>
      </c>
      <c r="I297" s="40">
        <v>-9.4060969587216992E-2</v>
      </c>
      <c r="J297" s="40">
        <v>8.6312979468088136E-2</v>
      </c>
    </row>
    <row r="298" spans="1:10" ht="11.25" customHeight="1" x14ac:dyDescent="0.2">
      <c r="A298" s="49">
        <v>44531</v>
      </c>
      <c r="B298" s="39">
        <v>0</v>
      </c>
      <c r="C298" s="39">
        <v>0</v>
      </c>
      <c r="D298" s="39">
        <v>402.28544000000005</v>
      </c>
      <c r="E298" s="39">
        <v>467.68018193165113</v>
      </c>
      <c r="F298" s="39">
        <v>170.04832000000002</v>
      </c>
      <c r="G298" s="39">
        <v>154.05341014412269</v>
      </c>
      <c r="H298" s="40">
        <v>0.16255806307991438</v>
      </c>
      <c r="I298" s="40">
        <v>-9.4060969587216881E-2</v>
      </c>
      <c r="J298" s="40">
        <v>8.6312979468088136E-2</v>
      </c>
    </row>
    <row r="299" spans="1:10" ht="11.25" customHeight="1" x14ac:dyDescent="0.2">
      <c r="A299" s="49">
        <v>44562</v>
      </c>
      <c r="B299" s="39">
        <v>0</v>
      </c>
      <c r="C299" s="39">
        <v>0</v>
      </c>
      <c r="D299" s="39">
        <v>447.66519999999997</v>
      </c>
      <c r="E299" s="39">
        <v>520.43678782028246</v>
      </c>
      <c r="F299" s="39">
        <v>189.23060000000001</v>
      </c>
      <c r="G299" s="39">
        <v>171.4313862884292</v>
      </c>
      <c r="H299" s="40">
        <v>0.16255806307991438</v>
      </c>
      <c r="I299" s="40">
        <v>-9.4060969587216992E-2</v>
      </c>
      <c r="J299" s="40">
        <v>8.6312979468088136E-2</v>
      </c>
    </row>
    <row r="300" spans="1:10" ht="11.25" customHeight="1" x14ac:dyDescent="0.2">
      <c r="A300" s="49">
        <v>44593</v>
      </c>
      <c r="B300" s="39">
        <v>0</v>
      </c>
      <c r="C300" s="39">
        <v>0</v>
      </c>
      <c r="D300" s="39">
        <v>596.06928000000005</v>
      </c>
      <c r="E300" s="39">
        <v>692.96514761823914</v>
      </c>
      <c r="F300" s="39">
        <v>251.96184000000002</v>
      </c>
      <c r="G300" s="39">
        <v>228.26206503062079</v>
      </c>
      <c r="H300" s="40">
        <v>0.16255806307991438</v>
      </c>
      <c r="I300" s="40">
        <v>-9.4060969587216992E-2</v>
      </c>
      <c r="J300" s="40">
        <v>8.6312979468088136E-2</v>
      </c>
    </row>
    <row r="301" spans="1:10" ht="11.25" customHeight="1" x14ac:dyDescent="0.2">
      <c r="A301" s="49">
        <v>44621</v>
      </c>
      <c r="B301" s="39">
        <v>0</v>
      </c>
      <c r="C301" s="39">
        <v>0</v>
      </c>
      <c r="D301" s="39">
        <v>431.72095999999999</v>
      </c>
      <c r="E301" s="39">
        <v>501.90068304860119</v>
      </c>
      <c r="F301" s="39">
        <v>182.49088</v>
      </c>
      <c r="G301" s="39">
        <v>165.32561088637556</v>
      </c>
      <c r="H301" s="40">
        <v>0.16255806307991438</v>
      </c>
      <c r="I301" s="40">
        <v>-9.4060969587216881E-2</v>
      </c>
      <c r="J301" s="40">
        <v>8.6312979468088358E-2</v>
      </c>
    </row>
    <row r="302" spans="1:10" ht="11.25" customHeight="1" x14ac:dyDescent="0.2">
      <c r="A302" s="49">
        <v>44652</v>
      </c>
      <c r="B302" s="39">
        <v>0</v>
      </c>
      <c r="C302" s="39">
        <v>0</v>
      </c>
      <c r="D302" s="39">
        <v>518.80103999999994</v>
      </c>
      <c r="E302" s="39">
        <v>603.13633218624523</v>
      </c>
      <c r="F302" s="39">
        <v>219.30012000000002</v>
      </c>
      <c r="G302" s="39">
        <v>198.67253808220698</v>
      </c>
      <c r="H302" s="40">
        <v>0.16255806307991461</v>
      </c>
      <c r="I302" s="40">
        <v>-9.4060969587216992E-2</v>
      </c>
      <c r="J302" s="40">
        <v>8.6312979468088358E-2</v>
      </c>
    </row>
    <row r="303" spans="1:10" ht="11.25" customHeight="1" x14ac:dyDescent="0.2">
      <c r="A303" s="49">
        <v>44682</v>
      </c>
      <c r="B303" s="39">
        <v>0</v>
      </c>
      <c r="C303" s="39">
        <v>0</v>
      </c>
      <c r="D303" s="39">
        <v>366.71751999999998</v>
      </c>
      <c r="E303" s="39">
        <v>426.33040974866975</v>
      </c>
      <c r="F303" s="39">
        <v>155.01356000000001</v>
      </c>
      <c r="G303" s="39">
        <v>140.43283424723379</v>
      </c>
      <c r="H303" s="40">
        <v>0.16255806307991438</v>
      </c>
      <c r="I303" s="40">
        <v>-9.4060969587216881E-2</v>
      </c>
      <c r="J303" s="40">
        <v>8.6312979468088136E-2</v>
      </c>
    </row>
    <row r="304" spans="1:10" ht="11.25" customHeight="1" x14ac:dyDescent="0.2">
      <c r="A304" s="49">
        <v>44713</v>
      </c>
      <c r="B304" s="39">
        <v>0</v>
      </c>
      <c r="C304" s="39">
        <v>0</v>
      </c>
      <c r="D304" s="39">
        <v>361.8116</v>
      </c>
      <c r="E304" s="39">
        <v>420.62699289584475</v>
      </c>
      <c r="F304" s="39">
        <v>152.93980000000002</v>
      </c>
      <c r="G304" s="39">
        <v>138.55413412352496</v>
      </c>
      <c r="H304" s="40">
        <v>0.16255806307991438</v>
      </c>
      <c r="I304" s="40">
        <v>-9.4060969587216992E-2</v>
      </c>
      <c r="J304" s="40">
        <v>8.6312979468088358E-2</v>
      </c>
    </row>
    <row r="305" spans="1:10" ht="11.25" customHeight="1" x14ac:dyDescent="0.2">
      <c r="A305" s="49">
        <v>44743</v>
      </c>
      <c r="B305" s="39">
        <v>0</v>
      </c>
      <c r="C305" s="39">
        <v>0</v>
      </c>
      <c r="D305" s="39">
        <v>375.30288000000002</v>
      </c>
      <c r="E305" s="39">
        <v>436.31138924111355</v>
      </c>
      <c r="F305" s="39">
        <v>158.64264</v>
      </c>
      <c r="G305" s="39">
        <v>143.72055946372421</v>
      </c>
      <c r="H305" s="40">
        <v>0.16255806307991438</v>
      </c>
      <c r="I305" s="40">
        <v>-9.4060969587216769E-2</v>
      </c>
      <c r="J305" s="40">
        <v>8.6312979468088358E-2</v>
      </c>
    </row>
    <row r="306" spans="1:10" ht="11.25" customHeight="1" x14ac:dyDescent="0.2">
      <c r="A306" s="43" t="s">
        <v>23</v>
      </c>
      <c r="B306" s="39">
        <v>0</v>
      </c>
      <c r="C306" s="39">
        <v>0</v>
      </c>
      <c r="D306" s="39">
        <v>1872947.7860004001</v>
      </c>
      <c r="E306" s="39">
        <v>2274914.6240080046</v>
      </c>
      <c r="F306" s="39">
        <v>1485054.8058359998</v>
      </c>
      <c r="G306" s="39">
        <v>1345812.5826315694</v>
      </c>
      <c r="H306" s="40">
        <v>0.21461721517928112</v>
      </c>
      <c r="I306" s="40">
        <v>-9.3762346451614853E-2</v>
      </c>
      <c r="J306" s="40">
        <v>7.8238359744534414E-2</v>
      </c>
    </row>
    <row r="307" spans="1:10" ht="11.25" customHeight="1" x14ac:dyDescent="0.2">
      <c r="A307" s="44" t="s">
        <v>40</v>
      </c>
      <c r="B307" s="39">
        <v>0</v>
      </c>
      <c r="C307" s="39">
        <v>0</v>
      </c>
      <c r="D307" s="39">
        <v>1204555.5464399999</v>
      </c>
      <c r="E307" s="39">
        <v>1463073.9033457083</v>
      </c>
      <c r="F307" s="39">
        <v>955088.55960000004</v>
      </c>
      <c r="G307" s="39">
        <v>865537.21518281102</v>
      </c>
      <c r="H307" s="40">
        <v>0.21461721517928001</v>
      </c>
      <c r="I307" s="40">
        <v>-9.3762346451615075E-2</v>
      </c>
      <c r="J307" s="40">
        <v>7.8238359744533748E-2</v>
      </c>
    </row>
    <row r="308" spans="1:10" ht="11.25" customHeight="1" x14ac:dyDescent="0.2">
      <c r="A308" s="45" t="s">
        <v>25</v>
      </c>
      <c r="B308" s="39">
        <v>0</v>
      </c>
      <c r="C308" s="39">
        <v>0</v>
      </c>
      <c r="D308" s="39">
        <v>1204555.5464399999</v>
      </c>
      <c r="E308" s="39">
        <v>1463073.9033457083</v>
      </c>
      <c r="F308" s="39">
        <v>955088.55960000004</v>
      </c>
      <c r="G308" s="39">
        <v>865537.21518281102</v>
      </c>
      <c r="H308" s="40">
        <v>0.21461721517928001</v>
      </c>
      <c r="I308" s="40">
        <v>-9.3762346451615075E-2</v>
      </c>
      <c r="J308" s="40">
        <v>7.8238359744533748E-2</v>
      </c>
    </row>
    <row r="309" spans="1:10" ht="11.25" customHeight="1" x14ac:dyDescent="0.2">
      <c r="A309" s="46" t="s">
        <v>25</v>
      </c>
      <c r="B309" s="39">
        <v>0</v>
      </c>
      <c r="C309" s="39">
        <v>0</v>
      </c>
      <c r="D309" s="39">
        <v>1204555.5464399999</v>
      </c>
      <c r="E309" s="39">
        <v>1463073.9033457083</v>
      </c>
      <c r="F309" s="39">
        <v>955088.55960000004</v>
      </c>
      <c r="G309" s="39">
        <v>865537.21518281102</v>
      </c>
      <c r="H309" s="40">
        <v>0.21461721517928001</v>
      </c>
      <c r="I309" s="40">
        <v>-9.3762346451615075E-2</v>
      </c>
      <c r="J309" s="40">
        <v>7.8238359744533748E-2</v>
      </c>
    </row>
    <row r="310" spans="1:10" ht="11.25" customHeight="1" x14ac:dyDescent="0.2">
      <c r="A310" s="47" t="s">
        <v>25</v>
      </c>
      <c r="B310" s="39">
        <v>0</v>
      </c>
      <c r="C310" s="39">
        <v>0</v>
      </c>
      <c r="D310" s="39">
        <v>1204555.5464399999</v>
      </c>
      <c r="E310" s="39">
        <v>1463073.9033457083</v>
      </c>
      <c r="F310" s="39">
        <v>955088.55960000004</v>
      </c>
      <c r="G310" s="39">
        <v>865537.21518281102</v>
      </c>
      <c r="H310" s="40">
        <v>0.21461721517928001</v>
      </c>
      <c r="I310" s="40">
        <v>-9.3762346451615075E-2</v>
      </c>
      <c r="J310" s="40">
        <v>7.8238359744533748E-2</v>
      </c>
    </row>
    <row r="311" spans="1:10" ht="11.25" customHeight="1" x14ac:dyDescent="0.2">
      <c r="A311" s="48" t="s">
        <v>25</v>
      </c>
      <c r="B311" s="39">
        <v>0</v>
      </c>
      <c r="C311" s="39">
        <v>0</v>
      </c>
      <c r="D311" s="39">
        <v>1204555.5464399999</v>
      </c>
      <c r="E311" s="39">
        <v>1463073.9033457083</v>
      </c>
      <c r="F311" s="39">
        <v>955088.55960000004</v>
      </c>
      <c r="G311" s="39">
        <v>865537.21518281102</v>
      </c>
      <c r="H311" s="40">
        <v>0.21461721517928001</v>
      </c>
      <c r="I311" s="40">
        <v>-9.3762346451615075E-2</v>
      </c>
      <c r="J311" s="40">
        <v>7.8238359744533748E-2</v>
      </c>
    </row>
    <row r="312" spans="1:10" ht="11.25" customHeight="1" x14ac:dyDescent="0.2">
      <c r="A312" s="49">
        <v>44409</v>
      </c>
      <c r="B312" s="39">
        <v>0</v>
      </c>
      <c r="C312" s="39">
        <v>0</v>
      </c>
      <c r="D312" s="39">
        <v>86267.556359999988</v>
      </c>
      <c r="E312" s="39">
        <v>104782.05906630478</v>
      </c>
      <c r="F312" s="39">
        <v>68401.292400000006</v>
      </c>
      <c r="G312" s="39">
        <v>61987.826724252991</v>
      </c>
      <c r="H312" s="40">
        <v>0.21461721517928001</v>
      </c>
      <c r="I312" s="40">
        <v>-9.3762346451614964E-2</v>
      </c>
      <c r="J312" s="40">
        <v>7.823835974453397E-2</v>
      </c>
    </row>
    <row r="313" spans="1:10" ht="11.25" customHeight="1" x14ac:dyDescent="0.2">
      <c r="A313" s="49">
        <v>44440</v>
      </c>
      <c r="B313" s="39">
        <v>0</v>
      </c>
      <c r="C313" s="39">
        <v>0</v>
      </c>
      <c r="D313" s="39">
        <v>82836.731459999995</v>
      </c>
      <c r="E313" s="39">
        <v>100614.92008049904</v>
      </c>
      <c r="F313" s="39">
        <v>65681.001400000008</v>
      </c>
      <c r="G313" s="39">
        <v>59522.596591444199</v>
      </c>
      <c r="H313" s="40">
        <v>0.21461721517928001</v>
      </c>
      <c r="I313" s="40">
        <v>-9.3762346451614964E-2</v>
      </c>
      <c r="J313" s="40">
        <v>7.8238359744533748E-2</v>
      </c>
    </row>
    <row r="314" spans="1:10" ht="11.25" customHeight="1" x14ac:dyDescent="0.2">
      <c r="A314" s="49">
        <v>44470</v>
      </c>
      <c r="B314" s="39">
        <v>0</v>
      </c>
      <c r="C314" s="39">
        <v>0</v>
      </c>
      <c r="D314" s="39">
        <v>100664.48639999998</v>
      </c>
      <c r="E314" s="39">
        <v>122268.81813862048</v>
      </c>
      <c r="F314" s="39">
        <v>79816.576000000001</v>
      </c>
      <c r="G314" s="39">
        <v>72332.786548506352</v>
      </c>
      <c r="H314" s="40">
        <v>0.21461721517928001</v>
      </c>
      <c r="I314" s="40">
        <v>-9.3762346451614853E-2</v>
      </c>
      <c r="J314" s="40">
        <v>7.8238359744533748E-2</v>
      </c>
    </row>
    <row r="315" spans="1:10" ht="11.25" customHeight="1" x14ac:dyDescent="0.2">
      <c r="A315" s="49">
        <v>44501</v>
      </c>
      <c r="B315" s="39">
        <v>0</v>
      </c>
      <c r="C315" s="39">
        <v>0</v>
      </c>
      <c r="D315" s="39">
        <v>85790.030819999985</v>
      </c>
      <c r="E315" s="39">
        <v>104202.04832473298</v>
      </c>
      <c r="F315" s="39">
        <v>68022.663799999995</v>
      </c>
      <c r="G315" s="39">
        <v>61644.699230222686</v>
      </c>
      <c r="H315" s="40">
        <v>0.21461721517928001</v>
      </c>
      <c r="I315" s="40">
        <v>-9.3762346451614742E-2</v>
      </c>
      <c r="J315" s="40">
        <v>7.823835974453397E-2</v>
      </c>
    </row>
    <row r="316" spans="1:10" ht="11.25" customHeight="1" x14ac:dyDescent="0.2">
      <c r="A316" s="49">
        <v>44531</v>
      </c>
      <c r="B316" s="39">
        <v>0</v>
      </c>
      <c r="C316" s="39">
        <v>0</v>
      </c>
      <c r="D316" s="39">
        <v>100867.46507999999</v>
      </c>
      <c r="E316" s="39">
        <v>122515.35953766285</v>
      </c>
      <c r="F316" s="39">
        <v>79977.517200000002</v>
      </c>
      <c r="G316" s="39">
        <v>72478.637523953614</v>
      </c>
      <c r="H316" s="40">
        <v>0.21461721517927979</v>
      </c>
      <c r="I316" s="40">
        <v>-9.3762346451614853E-2</v>
      </c>
      <c r="J316" s="40">
        <v>7.8238359744533748E-2</v>
      </c>
    </row>
    <row r="317" spans="1:10" ht="11.25" customHeight="1" x14ac:dyDescent="0.2">
      <c r="A317" s="49">
        <v>44562</v>
      </c>
      <c r="B317" s="39">
        <v>0</v>
      </c>
      <c r="C317" s="39">
        <v>0</v>
      </c>
      <c r="D317" s="39">
        <v>100605.04841999999</v>
      </c>
      <c r="E317" s="39">
        <v>122196.623744877</v>
      </c>
      <c r="F317" s="39">
        <v>79769.447800000009</v>
      </c>
      <c r="G317" s="39">
        <v>72290.077199122403</v>
      </c>
      <c r="H317" s="40">
        <v>0.21461721517927979</v>
      </c>
      <c r="I317" s="40">
        <v>-9.3762346451614853E-2</v>
      </c>
      <c r="J317" s="40">
        <v>7.8238359744533748E-2</v>
      </c>
    </row>
    <row r="318" spans="1:10" ht="11.25" customHeight="1" x14ac:dyDescent="0.2">
      <c r="A318" s="49">
        <v>44593</v>
      </c>
      <c r="B318" s="39">
        <v>0</v>
      </c>
      <c r="C318" s="39">
        <v>0</v>
      </c>
      <c r="D318" s="39">
        <v>126530.52054000001</v>
      </c>
      <c r="E318" s="39">
        <v>153686.14849347947</v>
      </c>
      <c r="F318" s="39">
        <v>100325.67860000001</v>
      </c>
      <c r="G318" s="39">
        <v>90918.907565113448</v>
      </c>
      <c r="H318" s="40">
        <v>0.21461721517927979</v>
      </c>
      <c r="I318" s="40">
        <v>-9.3762346451614853E-2</v>
      </c>
      <c r="J318" s="40">
        <v>7.8238359744533525E-2</v>
      </c>
    </row>
    <row r="319" spans="1:10" ht="11.25" customHeight="1" x14ac:dyDescent="0.2">
      <c r="A319" s="49">
        <v>44621</v>
      </c>
      <c r="B319" s="39">
        <v>0</v>
      </c>
      <c r="C319" s="39">
        <v>0</v>
      </c>
      <c r="D319" s="39">
        <v>112931.75766</v>
      </c>
      <c r="E319" s="39">
        <v>137168.85699429052</v>
      </c>
      <c r="F319" s="39">
        <v>89543.259400000024</v>
      </c>
      <c r="G319" s="39">
        <v>81147.473289730391</v>
      </c>
      <c r="H319" s="40">
        <v>0.21461721517928001</v>
      </c>
      <c r="I319" s="40">
        <v>-9.3762346451614964E-2</v>
      </c>
      <c r="J319" s="40">
        <v>7.8238359744533748E-2</v>
      </c>
    </row>
    <row r="320" spans="1:10" ht="11.25" customHeight="1" x14ac:dyDescent="0.2">
      <c r="A320" s="49">
        <v>44652</v>
      </c>
      <c r="B320" s="39">
        <v>0</v>
      </c>
      <c r="C320" s="39">
        <v>0</v>
      </c>
      <c r="D320" s="39">
        <v>116733.76668</v>
      </c>
      <c r="E320" s="39">
        <v>141786.84260224941</v>
      </c>
      <c r="F320" s="39">
        <v>92557.861200000014</v>
      </c>
      <c r="G320" s="39">
        <v>83879.418951345127</v>
      </c>
      <c r="H320" s="40">
        <v>0.21461721517927979</v>
      </c>
      <c r="I320" s="40">
        <v>-9.3762346451614853E-2</v>
      </c>
      <c r="J320" s="40">
        <v>7.8238359744533748E-2</v>
      </c>
    </row>
    <row r="321" spans="1:10" ht="11.25" customHeight="1" x14ac:dyDescent="0.2">
      <c r="A321" s="49">
        <v>44682</v>
      </c>
      <c r="B321" s="39">
        <v>0</v>
      </c>
      <c r="C321" s="39">
        <v>0</v>
      </c>
      <c r="D321" s="39">
        <v>100433.20391999999</v>
      </c>
      <c r="E321" s="39">
        <v>121987.89845684313</v>
      </c>
      <c r="F321" s="39">
        <v>79633.192800000004</v>
      </c>
      <c r="G321" s="39">
        <v>72166.597787638151</v>
      </c>
      <c r="H321" s="40">
        <v>0.21461721517928001</v>
      </c>
      <c r="I321" s="40">
        <v>-9.3762346451614964E-2</v>
      </c>
      <c r="J321" s="40">
        <v>7.8238359744533748E-2</v>
      </c>
    </row>
    <row r="322" spans="1:10" ht="11.25" customHeight="1" x14ac:dyDescent="0.2">
      <c r="A322" s="49">
        <v>44713</v>
      </c>
      <c r="B322" s="39">
        <v>0</v>
      </c>
      <c r="C322" s="39">
        <v>0</v>
      </c>
      <c r="D322" s="39">
        <v>92372.686019999994</v>
      </c>
      <c r="E322" s="39">
        <v>112197.45465224239</v>
      </c>
      <c r="F322" s="39">
        <v>73242.031799999997</v>
      </c>
      <c r="G322" s="39">
        <v>66374.687039548211</v>
      </c>
      <c r="H322" s="40">
        <v>0.21461721517927979</v>
      </c>
      <c r="I322" s="40">
        <v>-9.3762346451614742E-2</v>
      </c>
      <c r="J322" s="40">
        <v>7.8238359744533748E-2</v>
      </c>
    </row>
    <row r="323" spans="1:10" ht="11.25" customHeight="1" x14ac:dyDescent="0.2">
      <c r="A323" s="49">
        <v>44743</v>
      </c>
      <c r="B323" s="39">
        <v>0</v>
      </c>
      <c r="C323" s="39">
        <v>0</v>
      </c>
      <c r="D323" s="39">
        <v>98522.293079999989</v>
      </c>
      <c r="E323" s="39">
        <v>119666.87325390642</v>
      </c>
      <c r="F323" s="39">
        <v>78118.037200000006</v>
      </c>
      <c r="G323" s="39">
        <v>70793.506731933463</v>
      </c>
      <c r="H323" s="40">
        <v>0.21461721517927979</v>
      </c>
      <c r="I323" s="40">
        <v>-9.3762346451614964E-2</v>
      </c>
      <c r="J323" s="40">
        <v>7.8238359744533748E-2</v>
      </c>
    </row>
    <row r="324" spans="1:10" ht="11.25" customHeight="1" x14ac:dyDescent="0.2">
      <c r="A324" s="44" t="s">
        <v>49</v>
      </c>
      <c r="B324" s="39">
        <v>0</v>
      </c>
      <c r="C324" s="39">
        <v>0</v>
      </c>
      <c r="D324" s="39">
        <v>6451.2446999999993</v>
      </c>
      <c r="E324" s="39">
        <v>7835.7928719540896</v>
      </c>
      <c r="F324" s="39">
        <v>5115.1729999999998</v>
      </c>
      <c r="G324" s="39">
        <v>4635.5623770140537</v>
      </c>
      <c r="H324" s="40">
        <v>0.21461721517928023</v>
      </c>
      <c r="I324" s="40">
        <v>-9.3762346451614853E-2</v>
      </c>
      <c r="J324" s="40">
        <v>7.823835974453397E-2</v>
      </c>
    </row>
    <row r="325" spans="1:10" ht="11.25" customHeight="1" x14ac:dyDescent="0.2">
      <c r="A325" s="45" t="s">
        <v>25</v>
      </c>
      <c r="B325" s="39">
        <v>0</v>
      </c>
      <c r="C325" s="39">
        <v>0</v>
      </c>
      <c r="D325" s="39">
        <v>6451.2446999999993</v>
      </c>
      <c r="E325" s="39">
        <v>7835.7928719540896</v>
      </c>
      <c r="F325" s="39">
        <v>5115.1729999999998</v>
      </c>
      <c r="G325" s="39">
        <v>4635.5623770140537</v>
      </c>
      <c r="H325" s="40">
        <v>0.21461721517928023</v>
      </c>
      <c r="I325" s="40">
        <v>-9.3762346451614853E-2</v>
      </c>
      <c r="J325" s="40">
        <v>7.823835974453397E-2</v>
      </c>
    </row>
    <row r="326" spans="1:10" ht="11.25" customHeight="1" x14ac:dyDescent="0.2">
      <c r="A326" s="46" t="s">
        <v>25</v>
      </c>
      <c r="B326" s="39">
        <v>0</v>
      </c>
      <c r="C326" s="39">
        <v>0</v>
      </c>
      <c r="D326" s="39">
        <v>6451.2446999999993</v>
      </c>
      <c r="E326" s="39">
        <v>7835.7928719540896</v>
      </c>
      <c r="F326" s="39">
        <v>5115.1729999999998</v>
      </c>
      <c r="G326" s="39">
        <v>4635.5623770140537</v>
      </c>
      <c r="H326" s="40">
        <v>0.21461721517928023</v>
      </c>
      <c r="I326" s="40">
        <v>-9.3762346451614853E-2</v>
      </c>
      <c r="J326" s="40">
        <v>7.823835974453397E-2</v>
      </c>
    </row>
    <row r="327" spans="1:10" ht="11.25" customHeight="1" x14ac:dyDescent="0.2">
      <c r="A327" s="47" t="s">
        <v>25</v>
      </c>
      <c r="B327" s="39">
        <v>0</v>
      </c>
      <c r="C327" s="39">
        <v>0</v>
      </c>
      <c r="D327" s="39">
        <v>6451.2446999999993</v>
      </c>
      <c r="E327" s="39">
        <v>7835.7928719540896</v>
      </c>
      <c r="F327" s="39">
        <v>5115.1729999999998</v>
      </c>
      <c r="G327" s="39">
        <v>4635.5623770140537</v>
      </c>
      <c r="H327" s="40">
        <v>0.21461721517928023</v>
      </c>
      <c r="I327" s="40">
        <v>-9.3762346451614853E-2</v>
      </c>
      <c r="J327" s="40">
        <v>7.823835974453397E-2</v>
      </c>
    </row>
    <row r="328" spans="1:10" ht="11.25" customHeight="1" x14ac:dyDescent="0.2">
      <c r="A328" s="48" t="s">
        <v>25</v>
      </c>
      <c r="B328" s="39">
        <v>0</v>
      </c>
      <c r="C328" s="39">
        <v>0</v>
      </c>
      <c r="D328" s="39">
        <v>6451.2446999999993</v>
      </c>
      <c r="E328" s="39">
        <v>7835.7928719540896</v>
      </c>
      <c r="F328" s="39">
        <v>5115.1729999999998</v>
      </c>
      <c r="G328" s="39">
        <v>4635.5623770140537</v>
      </c>
      <c r="H328" s="40">
        <v>0.21461721517928023</v>
      </c>
      <c r="I328" s="40">
        <v>-9.3762346451614853E-2</v>
      </c>
      <c r="J328" s="40">
        <v>7.823835974453397E-2</v>
      </c>
    </row>
    <row r="329" spans="1:10" ht="11.25" customHeight="1" x14ac:dyDescent="0.2">
      <c r="A329" s="49">
        <v>44409</v>
      </c>
      <c r="B329" s="39">
        <v>0</v>
      </c>
      <c r="C329" s="39">
        <v>0</v>
      </c>
      <c r="D329" s="39">
        <v>495.31650000000002</v>
      </c>
      <c r="E329" s="39">
        <v>601.61994786234777</v>
      </c>
      <c r="F329" s="39">
        <v>392.73500000000007</v>
      </c>
      <c r="G329" s="39">
        <v>355.91124486632509</v>
      </c>
      <c r="H329" s="40">
        <v>0.21461721517927979</v>
      </c>
      <c r="I329" s="40">
        <v>-9.3762346451614853E-2</v>
      </c>
      <c r="J329" s="40">
        <v>7.8238359744533748E-2</v>
      </c>
    </row>
    <row r="330" spans="1:10" ht="11.25" customHeight="1" x14ac:dyDescent="0.2">
      <c r="A330" s="49">
        <v>44440</v>
      </c>
      <c r="B330" s="39">
        <v>0</v>
      </c>
      <c r="C330" s="39">
        <v>0</v>
      </c>
      <c r="D330" s="39">
        <v>468.22571999999991</v>
      </c>
      <c r="E330" s="39">
        <v>568.71502010171321</v>
      </c>
      <c r="F330" s="39">
        <v>371.25479999999999</v>
      </c>
      <c r="G330" s="39">
        <v>336.44507882057502</v>
      </c>
      <c r="H330" s="40">
        <v>0.21461721517928001</v>
      </c>
      <c r="I330" s="40">
        <v>-9.3762346451614853E-2</v>
      </c>
      <c r="J330" s="40">
        <v>7.8238359744533748E-2</v>
      </c>
    </row>
    <row r="331" spans="1:10" ht="11.25" customHeight="1" x14ac:dyDescent="0.2">
      <c r="A331" s="49">
        <v>44470</v>
      </c>
      <c r="B331" s="39">
        <v>0</v>
      </c>
      <c r="C331" s="39">
        <v>0</v>
      </c>
      <c r="D331" s="39">
        <v>525.64199999999994</v>
      </c>
      <c r="E331" s="39">
        <v>638.45382222126705</v>
      </c>
      <c r="F331" s="39">
        <v>416.78000000000003</v>
      </c>
      <c r="G331" s="39">
        <v>377.70172924589599</v>
      </c>
      <c r="H331" s="40">
        <v>0.21461721517928001</v>
      </c>
      <c r="I331" s="40">
        <v>-9.3762346451614853E-2</v>
      </c>
      <c r="J331" s="40">
        <v>7.8238359744533748E-2</v>
      </c>
    </row>
    <row r="332" spans="1:10" ht="11.25" customHeight="1" x14ac:dyDescent="0.2">
      <c r="A332" s="49">
        <v>44501</v>
      </c>
      <c r="B332" s="39">
        <v>0</v>
      </c>
      <c r="C332" s="39">
        <v>0</v>
      </c>
      <c r="D332" s="39">
        <v>393.01847999999995</v>
      </c>
      <c r="E332" s="39">
        <v>477.36701169159346</v>
      </c>
      <c r="F332" s="39">
        <v>311.6232</v>
      </c>
      <c r="G332" s="39">
        <v>282.40467755923913</v>
      </c>
      <c r="H332" s="40">
        <v>0.21461721517928001</v>
      </c>
      <c r="I332" s="40">
        <v>-9.3762346451614853E-2</v>
      </c>
      <c r="J332" s="40">
        <v>7.8238359744533748E-2</v>
      </c>
    </row>
    <row r="333" spans="1:10" ht="11.25" customHeight="1" x14ac:dyDescent="0.2">
      <c r="A333" s="49">
        <v>44531</v>
      </c>
      <c r="B333" s="39">
        <v>0</v>
      </c>
      <c r="C333" s="39">
        <v>0</v>
      </c>
      <c r="D333" s="39">
        <v>602.87094000000002</v>
      </c>
      <c r="E333" s="39">
        <v>732.25742225531474</v>
      </c>
      <c r="F333" s="39">
        <v>478.01460000000009</v>
      </c>
      <c r="G333" s="39">
        <v>433.19482946586993</v>
      </c>
      <c r="H333" s="40">
        <v>0.21461721517927979</v>
      </c>
      <c r="I333" s="40">
        <v>-9.3762346451614964E-2</v>
      </c>
      <c r="J333" s="40">
        <v>7.8238359744533525E-2</v>
      </c>
    </row>
    <row r="334" spans="1:10" ht="11.25" customHeight="1" x14ac:dyDescent="0.2">
      <c r="A334" s="49">
        <v>44562</v>
      </c>
      <c r="B334" s="39">
        <v>0</v>
      </c>
      <c r="C334" s="39">
        <v>0</v>
      </c>
      <c r="D334" s="39">
        <v>574.97147999999993</v>
      </c>
      <c r="E334" s="39">
        <v>698.37025784510899</v>
      </c>
      <c r="F334" s="39">
        <v>455.89320000000004</v>
      </c>
      <c r="G334" s="39">
        <v>413.14758383666464</v>
      </c>
      <c r="H334" s="40">
        <v>0.21461721517928001</v>
      </c>
      <c r="I334" s="40">
        <v>-9.3762346451614964E-2</v>
      </c>
      <c r="J334" s="40">
        <v>7.823835974453397E-2</v>
      </c>
    </row>
    <row r="335" spans="1:10" ht="11.25" customHeight="1" x14ac:dyDescent="0.2">
      <c r="A335" s="49">
        <v>44593</v>
      </c>
      <c r="B335" s="39">
        <v>0</v>
      </c>
      <c r="C335" s="39">
        <v>0</v>
      </c>
      <c r="D335" s="39">
        <v>751.26372000000003</v>
      </c>
      <c r="E335" s="39">
        <v>912.49784745162628</v>
      </c>
      <c r="F335" s="39">
        <v>595.67480000000012</v>
      </c>
      <c r="G335" s="39">
        <v>539.82293302990365</v>
      </c>
      <c r="H335" s="40">
        <v>0.21461721517927979</v>
      </c>
      <c r="I335" s="40">
        <v>-9.3762346451614964E-2</v>
      </c>
      <c r="J335" s="40">
        <v>7.8238359744533748E-2</v>
      </c>
    </row>
    <row r="336" spans="1:10" ht="11.25" customHeight="1" x14ac:dyDescent="0.2">
      <c r="A336" s="49">
        <v>44621</v>
      </c>
      <c r="B336" s="39">
        <v>0</v>
      </c>
      <c r="C336" s="39">
        <v>0</v>
      </c>
      <c r="D336" s="39">
        <v>697.89083999999991</v>
      </c>
      <c r="E336" s="39">
        <v>847.67022857992833</v>
      </c>
      <c r="F336" s="39">
        <v>553.35559999999998</v>
      </c>
      <c r="G336" s="39">
        <v>501.47168052185879</v>
      </c>
      <c r="H336" s="40">
        <v>0.21461721517928001</v>
      </c>
      <c r="I336" s="40">
        <v>-9.3762346451614853E-2</v>
      </c>
      <c r="J336" s="40">
        <v>7.8238359744533748E-2</v>
      </c>
    </row>
    <row r="337" spans="1:10" ht="11.25" customHeight="1" x14ac:dyDescent="0.2">
      <c r="A337" s="49">
        <v>44652</v>
      </c>
      <c r="B337" s="39">
        <v>0</v>
      </c>
      <c r="C337" s="39">
        <v>0</v>
      </c>
      <c r="D337" s="39">
        <v>661.50023999999996</v>
      </c>
      <c r="E337" s="39">
        <v>803.46957934922523</v>
      </c>
      <c r="F337" s="39">
        <v>524.50160000000005</v>
      </c>
      <c r="G337" s="39">
        <v>475.32309926637367</v>
      </c>
      <c r="H337" s="40">
        <v>0.21461721517927979</v>
      </c>
      <c r="I337" s="40">
        <v>-9.3762346451614964E-2</v>
      </c>
      <c r="J337" s="40">
        <v>7.823835974453397E-2</v>
      </c>
    </row>
    <row r="338" spans="1:10" ht="11.25" customHeight="1" x14ac:dyDescent="0.2">
      <c r="A338" s="49">
        <v>44682</v>
      </c>
      <c r="B338" s="39">
        <v>0</v>
      </c>
      <c r="C338" s="39">
        <v>0</v>
      </c>
      <c r="D338" s="39">
        <v>502.19027999999997</v>
      </c>
      <c r="E338" s="39">
        <v>609.96895938370278</v>
      </c>
      <c r="F338" s="39">
        <v>398.18520000000001</v>
      </c>
      <c r="G338" s="39">
        <v>360.85042132569447</v>
      </c>
      <c r="H338" s="40">
        <v>0.21461721517927979</v>
      </c>
      <c r="I338" s="40">
        <v>-9.3762346451614853E-2</v>
      </c>
      <c r="J338" s="40">
        <v>7.8238359744533748E-2</v>
      </c>
    </row>
    <row r="339" spans="1:10" ht="11.25" customHeight="1" x14ac:dyDescent="0.2">
      <c r="A339" s="49">
        <v>44713</v>
      </c>
      <c r="B339" s="39">
        <v>0</v>
      </c>
      <c r="C339" s="39">
        <v>0</v>
      </c>
      <c r="D339" s="39">
        <v>391.80545999999998</v>
      </c>
      <c r="E339" s="39">
        <v>475.89365671723669</v>
      </c>
      <c r="F339" s="39">
        <v>310.66140000000001</v>
      </c>
      <c r="G339" s="39">
        <v>281.5330581840563</v>
      </c>
      <c r="H339" s="40">
        <v>0.21461721517927979</v>
      </c>
      <c r="I339" s="40">
        <v>-9.3762346451614853E-2</v>
      </c>
      <c r="J339" s="40">
        <v>7.8238359744533748E-2</v>
      </c>
    </row>
    <row r="340" spans="1:10" ht="11.25" customHeight="1" x14ac:dyDescent="0.2">
      <c r="A340" s="49">
        <v>44743</v>
      </c>
      <c r="B340" s="39">
        <v>0</v>
      </c>
      <c r="C340" s="39">
        <v>0</v>
      </c>
      <c r="D340" s="39">
        <v>386.54903999999993</v>
      </c>
      <c r="E340" s="39">
        <v>469.50911849502404</v>
      </c>
      <c r="F340" s="39">
        <v>306.49360000000001</v>
      </c>
      <c r="G340" s="39">
        <v>277.75604089159731</v>
      </c>
      <c r="H340" s="40">
        <v>0.21461721517928001</v>
      </c>
      <c r="I340" s="40">
        <v>-9.3762346451614964E-2</v>
      </c>
      <c r="J340" s="40">
        <v>7.8238359744533748E-2</v>
      </c>
    </row>
    <row r="341" spans="1:10" ht="11.25" customHeight="1" x14ac:dyDescent="0.2">
      <c r="A341" s="44" t="s">
        <v>33</v>
      </c>
      <c r="B341" s="39">
        <v>0</v>
      </c>
      <c r="C341" s="39">
        <v>0</v>
      </c>
      <c r="D341" s="39">
        <v>470367.10464000003</v>
      </c>
      <c r="E341" s="39">
        <v>571315.98274977773</v>
      </c>
      <c r="F341" s="39">
        <v>372952.69760000001</v>
      </c>
      <c r="G341" s="39">
        <v>337983.77755756443</v>
      </c>
      <c r="H341" s="40">
        <v>0.21461721517927979</v>
      </c>
      <c r="I341" s="40">
        <v>-9.3762346451614964E-2</v>
      </c>
      <c r="J341" s="40">
        <v>7.8238359744533525E-2</v>
      </c>
    </row>
    <row r="342" spans="1:10" ht="11.25" customHeight="1" x14ac:dyDescent="0.2">
      <c r="A342" s="45" t="s">
        <v>25</v>
      </c>
      <c r="B342" s="39">
        <v>0</v>
      </c>
      <c r="C342" s="39">
        <v>0</v>
      </c>
      <c r="D342" s="39">
        <v>470367.10464000003</v>
      </c>
      <c r="E342" s="39">
        <v>571315.98274977773</v>
      </c>
      <c r="F342" s="39">
        <v>372952.69760000001</v>
      </c>
      <c r="G342" s="39">
        <v>337983.77755756443</v>
      </c>
      <c r="H342" s="40">
        <v>0.21461721517927979</v>
      </c>
      <c r="I342" s="40">
        <v>-9.3762346451614964E-2</v>
      </c>
      <c r="J342" s="40">
        <v>7.8238359744533525E-2</v>
      </c>
    </row>
    <row r="343" spans="1:10" ht="11.25" customHeight="1" x14ac:dyDescent="0.2">
      <c r="A343" s="46" t="s">
        <v>25</v>
      </c>
      <c r="B343" s="39">
        <v>0</v>
      </c>
      <c r="C343" s="39">
        <v>0</v>
      </c>
      <c r="D343" s="39">
        <v>470367.10464000003</v>
      </c>
      <c r="E343" s="39">
        <v>571315.98274977773</v>
      </c>
      <c r="F343" s="39">
        <v>372952.69760000001</v>
      </c>
      <c r="G343" s="39">
        <v>337983.77755756443</v>
      </c>
      <c r="H343" s="40">
        <v>0.21461721517927979</v>
      </c>
      <c r="I343" s="40">
        <v>-9.3762346451614964E-2</v>
      </c>
      <c r="J343" s="40">
        <v>7.8238359744533525E-2</v>
      </c>
    </row>
    <row r="344" spans="1:10" ht="11.25" customHeight="1" x14ac:dyDescent="0.2">
      <c r="A344" s="47" t="s">
        <v>25</v>
      </c>
      <c r="B344" s="39">
        <v>0</v>
      </c>
      <c r="C344" s="39">
        <v>0</v>
      </c>
      <c r="D344" s="39">
        <v>470367.10464000003</v>
      </c>
      <c r="E344" s="39">
        <v>571315.98274977773</v>
      </c>
      <c r="F344" s="39">
        <v>372952.69760000001</v>
      </c>
      <c r="G344" s="39">
        <v>337983.77755756443</v>
      </c>
      <c r="H344" s="40">
        <v>0.21461721517927979</v>
      </c>
      <c r="I344" s="40">
        <v>-9.3762346451614964E-2</v>
      </c>
      <c r="J344" s="40">
        <v>7.8238359744533525E-2</v>
      </c>
    </row>
    <row r="345" spans="1:10" ht="11.25" customHeight="1" x14ac:dyDescent="0.2">
      <c r="A345" s="48" t="s">
        <v>25</v>
      </c>
      <c r="B345" s="39">
        <v>0</v>
      </c>
      <c r="C345" s="39">
        <v>0</v>
      </c>
      <c r="D345" s="39">
        <v>470367.10464000003</v>
      </c>
      <c r="E345" s="39">
        <v>571315.98274977773</v>
      </c>
      <c r="F345" s="39">
        <v>372952.69760000001</v>
      </c>
      <c r="G345" s="39">
        <v>337983.77755756443</v>
      </c>
      <c r="H345" s="40">
        <v>0.21461721517927979</v>
      </c>
      <c r="I345" s="40">
        <v>-9.3762346451614964E-2</v>
      </c>
      <c r="J345" s="40">
        <v>7.8238359744533525E-2</v>
      </c>
    </row>
    <row r="346" spans="1:10" ht="11.25" customHeight="1" x14ac:dyDescent="0.2">
      <c r="A346" s="49">
        <v>44409</v>
      </c>
      <c r="B346" s="39">
        <v>0</v>
      </c>
      <c r="C346" s="39">
        <v>0</v>
      </c>
      <c r="D346" s="39">
        <v>44391.275580000001</v>
      </c>
      <c r="E346" s="39">
        <v>53918.407523235568</v>
      </c>
      <c r="F346" s="39">
        <v>35197.712200000002</v>
      </c>
      <c r="G346" s="39">
        <v>31897.492114399367</v>
      </c>
      <c r="H346" s="40">
        <v>0.21461721517927979</v>
      </c>
      <c r="I346" s="40">
        <v>-9.3762346451614964E-2</v>
      </c>
      <c r="J346" s="40">
        <v>7.8238359744533748E-2</v>
      </c>
    </row>
    <row r="347" spans="1:10" ht="11.25" customHeight="1" x14ac:dyDescent="0.2">
      <c r="A347" s="49">
        <v>44440</v>
      </c>
      <c r="B347" s="39">
        <v>0</v>
      </c>
      <c r="C347" s="39">
        <v>0</v>
      </c>
      <c r="D347" s="39">
        <v>39134.451239999995</v>
      </c>
      <c r="E347" s="39">
        <v>47533.378182698114</v>
      </c>
      <c r="F347" s="39">
        <v>31029.5916</v>
      </c>
      <c r="G347" s="39">
        <v>28120.184282148683</v>
      </c>
      <c r="H347" s="40">
        <v>0.21461721517928001</v>
      </c>
      <c r="I347" s="40">
        <v>-9.3762346451614853E-2</v>
      </c>
      <c r="J347" s="40">
        <v>7.8238359744533748E-2</v>
      </c>
    </row>
    <row r="348" spans="1:10" ht="11.25" customHeight="1" x14ac:dyDescent="0.2">
      <c r="A348" s="49">
        <v>44470</v>
      </c>
      <c r="B348" s="39">
        <v>0</v>
      </c>
      <c r="C348" s="39">
        <v>0</v>
      </c>
      <c r="D348" s="39">
        <v>45703.763220000001</v>
      </c>
      <c r="E348" s="39">
        <v>55512.577605489598</v>
      </c>
      <c r="F348" s="39">
        <v>36238.379800000002</v>
      </c>
      <c r="G348" s="39">
        <v>32840.584278347204</v>
      </c>
      <c r="H348" s="40">
        <v>0.21461721517927979</v>
      </c>
      <c r="I348" s="40">
        <v>-9.3762346451614742E-2</v>
      </c>
      <c r="J348" s="40">
        <v>7.8238359744533748E-2</v>
      </c>
    </row>
    <row r="349" spans="1:10" ht="11.25" customHeight="1" x14ac:dyDescent="0.2">
      <c r="A349" s="49">
        <v>44501</v>
      </c>
      <c r="B349" s="39">
        <v>0</v>
      </c>
      <c r="C349" s="39">
        <v>0</v>
      </c>
      <c r="D349" s="39">
        <v>38226.70794</v>
      </c>
      <c r="E349" s="39">
        <v>46430.817543554469</v>
      </c>
      <c r="F349" s="39">
        <v>30309.8446</v>
      </c>
      <c r="G349" s="39">
        <v>27467.922449720194</v>
      </c>
      <c r="H349" s="40">
        <v>0.21461721517928001</v>
      </c>
      <c r="I349" s="40">
        <v>-9.3762346451614853E-2</v>
      </c>
      <c r="J349" s="40">
        <v>7.8238359744533748E-2</v>
      </c>
    </row>
    <row r="350" spans="1:10" ht="11.25" customHeight="1" x14ac:dyDescent="0.2">
      <c r="A350" s="49">
        <v>44531</v>
      </c>
      <c r="B350" s="39">
        <v>0</v>
      </c>
      <c r="C350" s="39">
        <v>0</v>
      </c>
      <c r="D350" s="39">
        <v>39552.538799999995</v>
      </c>
      <c r="E350" s="39">
        <v>48041.194530526409</v>
      </c>
      <c r="F350" s="39">
        <v>31361.092000000004</v>
      </c>
      <c r="G350" s="39">
        <v>28420.602426795034</v>
      </c>
      <c r="H350" s="40">
        <v>0.21461721517927979</v>
      </c>
      <c r="I350" s="40">
        <v>-9.3762346451614964E-2</v>
      </c>
      <c r="J350" s="40">
        <v>7.8238359744533525E-2</v>
      </c>
    </row>
    <row r="351" spans="1:10" ht="11.25" customHeight="1" x14ac:dyDescent="0.2">
      <c r="A351" s="49">
        <v>44562</v>
      </c>
      <c r="B351" s="39">
        <v>0</v>
      </c>
      <c r="C351" s="39">
        <v>0</v>
      </c>
      <c r="D351" s="39">
        <v>37755.247499999998</v>
      </c>
      <c r="E351" s="39">
        <v>45858.17357685446</v>
      </c>
      <c r="F351" s="39">
        <v>29936.025000000001</v>
      </c>
      <c r="G351" s="39">
        <v>27129.153052565794</v>
      </c>
      <c r="H351" s="40">
        <v>0.21461721517927979</v>
      </c>
      <c r="I351" s="40">
        <v>-9.3762346451614964E-2</v>
      </c>
      <c r="J351" s="40">
        <v>7.8238359744533525E-2</v>
      </c>
    </row>
    <row r="352" spans="1:10" ht="11.25" customHeight="1" x14ac:dyDescent="0.2">
      <c r="A352" s="49">
        <v>44593</v>
      </c>
      <c r="B352" s="39">
        <v>0</v>
      </c>
      <c r="C352" s="39">
        <v>0</v>
      </c>
      <c r="D352" s="39">
        <v>42190.048619999994</v>
      </c>
      <c r="E352" s="39">
        <v>51244.759363102814</v>
      </c>
      <c r="F352" s="39">
        <v>33452.3658</v>
      </c>
      <c r="G352" s="39">
        <v>30315.793488234249</v>
      </c>
      <c r="H352" s="40">
        <v>0.21461721517928001</v>
      </c>
      <c r="I352" s="40">
        <v>-9.3762346451614853E-2</v>
      </c>
      <c r="J352" s="40">
        <v>7.823835974453397E-2</v>
      </c>
    </row>
    <row r="353" spans="1:10" ht="11.25" customHeight="1" x14ac:dyDescent="0.2">
      <c r="A353" s="49">
        <v>44621</v>
      </c>
      <c r="B353" s="39">
        <v>0</v>
      </c>
      <c r="C353" s="39">
        <v>0</v>
      </c>
      <c r="D353" s="39">
        <v>36881.468760000003</v>
      </c>
      <c r="E353" s="39">
        <v>44796.866876992804</v>
      </c>
      <c r="F353" s="39">
        <v>29243.208400000003</v>
      </c>
      <c r="G353" s="39">
        <v>26501.296562642427</v>
      </c>
      <c r="H353" s="40">
        <v>0.21461721517927956</v>
      </c>
      <c r="I353" s="40">
        <v>-9.3762346451614964E-2</v>
      </c>
      <c r="J353" s="40">
        <v>7.8238359744533525E-2</v>
      </c>
    </row>
    <row r="354" spans="1:10" ht="11.25" customHeight="1" x14ac:dyDescent="0.2">
      <c r="A354" s="49">
        <v>44652</v>
      </c>
      <c r="B354" s="39">
        <v>0</v>
      </c>
      <c r="C354" s="39">
        <v>0</v>
      </c>
      <c r="D354" s="39">
        <v>35583.941699999996</v>
      </c>
      <c r="E354" s="39">
        <v>43220.868172755843</v>
      </c>
      <c r="F354" s="39">
        <v>28214.403000000002</v>
      </c>
      <c r="G354" s="39">
        <v>25568.954370988518</v>
      </c>
      <c r="H354" s="40">
        <v>0.21461721517927979</v>
      </c>
      <c r="I354" s="40">
        <v>-9.3762346451614964E-2</v>
      </c>
      <c r="J354" s="40">
        <v>7.8238359744533525E-2</v>
      </c>
    </row>
    <row r="355" spans="1:10" ht="11.25" customHeight="1" x14ac:dyDescent="0.2">
      <c r="A355" s="49">
        <v>44682</v>
      </c>
      <c r="B355" s="39">
        <v>0</v>
      </c>
      <c r="C355" s="39">
        <v>0</v>
      </c>
      <c r="D355" s="39">
        <v>38147.861639999996</v>
      </c>
      <c r="E355" s="39">
        <v>46335.049470221275</v>
      </c>
      <c r="F355" s="39">
        <v>30247.327600000004</v>
      </c>
      <c r="G355" s="39">
        <v>27411.267190333307</v>
      </c>
      <c r="H355" s="40">
        <v>0.21461721517928001</v>
      </c>
      <c r="I355" s="40">
        <v>-9.3762346451615075E-2</v>
      </c>
      <c r="J355" s="40">
        <v>7.8238359744533748E-2</v>
      </c>
    </row>
    <row r="356" spans="1:10" ht="11.25" customHeight="1" x14ac:dyDescent="0.2">
      <c r="A356" s="49">
        <v>44713</v>
      </c>
      <c r="B356" s="39">
        <v>0</v>
      </c>
      <c r="C356" s="39">
        <v>0</v>
      </c>
      <c r="D356" s="39">
        <v>35165.045460000001</v>
      </c>
      <c r="E356" s="39">
        <v>42712.069588277976</v>
      </c>
      <c r="F356" s="39">
        <v>27882.261399999999</v>
      </c>
      <c r="G356" s="39">
        <v>25267.955146758715</v>
      </c>
      <c r="H356" s="40">
        <v>0.21461721517927979</v>
      </c>
      <c r="I356" s="40">
        <v>-9.3762346451614742E-2</v>
      </c>
      <c r="J356" s="40">
        <v>7.8238359744533748E-2</v>
      </c>
    </row>
    <row r="357" spans="1:10" ht="11.25" customHeight="1" x14ac:dyDescent="0.2">
      <c r="A357" s="49">
        <v>44743</v>
      </c>
      <c r="B357" s="39">
        <v>0</v>
      </c>
      <c r="C357" s="39">
        <v>0</v>
      </c>
      <c r="D357" s="39">
        <v>37634.754179999996</v>
      </c>
      <c r="E357" s="39">
        <v>45711.820316068362</v>
      </c>
      <c r="F357" s="39">
        <v>29840.486200000007</v>
      </c>
      <c r="G357" s="39">
        <v>27042.572194630968</v>
      </c>
      <c r="H357" s="40">
        <v>0.21461721517928001</v>
      </c>
      <c r="I357" s="40">
        <v>-9.3762346451615075E-2</v>
      </c>
      <c r="J357" s="40">
        <v>7.8238359744533748E-2</v>
      </c>
    </row>
    <row r="358" spans="1:10" ht="11.25" customHeight="1" x14ac:dyDescent="0.2">
      <c r="A358" s="44" t="s">
        <v>43</v>
      </c>
      <c r="B358" s="39">
        <v>0</v>
      </c>
      <c r="C358" s="39">
        <v>0</v>
      </c>
      <c r="D358" s="39">
        <v>187583.43449999997</v>
      </c>
      <c r="E358" s="39">
        <v>227842.06882615483</v>
      </c>
      <c r="F358" s="39">
        <v>148734.35499999998</v>
      </c>
      <c r="G358" s="39">
        <v>134788.67287723252</v>
      </c>
      <c r="H358" s="40">
        <v>0.21461721517928001</v>
      </c>
      <c r="I358" s="40">
        <v>-9.3762346451614853E-2</v>
      </c>
      <c r="J358" s="40">
        <v>7.8238359744533748E-2</v>
      </c>
    </row>
    <row r="359" spans="1:10" ht="11.25" customHeight="1" x14ac:dyDescent="0.2">
      <c r="A359" s="45" t="s">
        <v>25</v>
      </c>
      <c r="B359" s="39">
        <v>0</v>
      </c>
      <c r="C359" s="39">
        <v>0</v>
      </c>
      <c r="D359" s="39">
        <v>187583.43449999997</v>
      </c>
      <c r="E359" s="39">
        <v>227842.06882615483</v>
      </c>
      <c r="F359" s="39">
        <v>148734.35499999998</v>
      </c>
      <c r="G359" s="39">
        <v>134788.67287723252</v>
      </c>
      <c r="H359" s="40">
        <v>0.21461721517928001</v>
      </c>
      <c r="I359" s="40">
        <v>-9.3762346451614853E-2</v>
      </c>
      <c r="J359" s="40">
        <v>7.8238359744533748E-2</v>
      </c>
    </row>
    <row r="360" spans="1:10" ht="11.25" customHeight="1" x14ac:dyDescent="0.2">
      <c r="A360" s="46" t="s">
        <v>25</v>
      </c>
      <c r="B360" s="39">
        <v>0</v>
      </c>
      <c r="C360" s="39">
        <v>0</v>
      </c>
      <c r="D360" s="39">
        <v>187583.43449999997</v>
      </c>
      <c r="E360" s="39">
        <v>227842.06882615483</v>
      </c>
      <c r="F360" s="39">
        <v>148734.35499999998</v>
      </c>
      <c r="G360" s="39">
        <v>134788.67287723252</v>
      </c>
      <c r="H360" s="40">
        <v>0.21461721517928001</v>
      </c>
      <c r="I360" s="40">
        <v>-9.3762346451614853E-2</v>
      </c>
      <c r="J360" s="40">
        <v>7.8238359744533748E-2</v>
      </c>
    </row>
    <row r="361" spans="1:10" ht="11.25" customHeight="1" x14ac:dyDescent="0.2">
      <c r="A361" s="47" t="s">
        <v>25</v>
      </c>
      <c r="B361" s="39">
        <v>0</v>
      </c>
      <c r="C361" s="39">
        <v>0</v>
      </c>
      <c r="D361" s="39">
        <v>187583.43449999997</v>
      </c>
      <c r="E361" s="39">
        <v>227842.06882615483</v>
      </c>
      <c r="F361" s="39">
        <v>148734.35499999998</v>
      </c>
      <c r="G361" s="39">
        <v>134788.67287723252</v>
      </c>
      <c r="H361" s="40">
        <v>0.21461721517928001</v>
      </c>
      <c r="I361" s="40">
        <v>-9.3762346451614853E-2</v>
      </c>
      <c r="J361" s="40">
        <v>7.8238359744533748E-2</v>
      </c>
    </row>
    <row r="362" spans="1:10" ht="11.25" customHeight="1" x14ac:dyDescent="0.2">
      <c r="A362" s="48" t="s">
        <v>25</v>
      </c>
      <c r="B362" s="39">
        <v>0</v>
      </c>
      <c r="C362" s="39">
        <v>0</v>
      </c>
      <c r="D362" s="39">
        <v>187583.43449999997</v>
      </c>
      <c r="E362" s="39">
        <v>227842.06882615483</v>
      </c>
      <c r="F362" s="39">
        <v>148734.35499999998</v>
      </c>
      <c r="G362" s="39">
        <v>134788.67287723252</v>
      </c>
      <c r="H362" s="40">
        <v>0.21461721517928001</v>
      </c>
      <c r="I362" s="40">
        <v>-9.3762346451614853E-2</v>
      </c>
      <c r="J362" s="40">
        <v>7.8238359744533748E-2</v>
      </c>
    </row>
    <row r="363" spans="1:10" ht="11.25" customHeight="1" x14ac:dyDescent="0.2">
      <c r="A363" s="49">
        <v>44409</v>
      </c>
      <c r="B363" s="39">
        <v>0</v>
      </c>
      <c r="C363" s="39">
        <v>0</v>
      </c>
      <c r="D363" s="39">
        <v>13022.578379999999</v>
      </c>
      <c r="E363" s="39">
        <v>15817.447886369499</v>
      </c>
      <c r="F363" s="39">
        <v>10325.564200000001</v>
      </c>
      <c r="G363" s="39">
        <v>9357.4150721712085</v>
      </c>
      <c r="H363" s="40">
        <v>0.21461721517928001</v>
      </c>
      <c r="I363" s="40">
        <v>-9.3762346451614964E-2</v>
      </c>
      <c r="J363" s="40">
        <v>7.8238359744533748E-2</v>
      </c>
    </row>
    <row r="364" spans="1:10" ht="11.25" customHeight="1" x14ac:dyDescent="0.2">
      <c r="A364" s="49">
        <v>44440</v>
      </c>
      <c r="B364" s="39">
        <v>0</v>
      </c>
      <c r="C364" s="39">
        <v>0</v>
      </c>
      <c r="D364" s="39">
        <v>12085.318259999998</v>
      </c>
      <c r="E364" s="39">
        <v>14679.035609516499</v>
      </c>
      <c r="F364" s="39">
        <v>9582.4134000000013</v>
      </c>
      <c r="G364" s="39">
        <v>8683.9438349466036</v>
      </c>
      <c r="H364" s="40">
        <v>0.21461721517928001</v>
      </c>
      <c r="I364" s="40">
        <v>-9.3762346451614964E-2</v>
      </c>
      <c r="J364" s="40">
        <v>7.823835974453397E-2</v>
      </c>
    </row>
    <row r="365" spans="1:10" ht="11.25" customHeight="1" x14ac:dyDescent="0.2">
      <c r="A365" s="49">
        <v>44470</v>
      </c>
      <c r="B365" s="39">
        <v>0</v>
      </c>
      <c r="C365" s="39">
        <v>0</v>
      </c>
      <c r="D365" s="39">
        <v>13350.49812</v>
      </c>
      <c r="E365" s="39">
        <v>16215.744847770611</v>
      </c>
      <c r="F365" s="39">
        <v>10585.570800000001</v>
      </c>
      <c r="G365" s="39">
        <v>9593.042843262303</v>
      </c>
      <c r="H365" s="40">
        <v>0.21461721517927979</v>
      </c>
      <c r="I365" s="40">
        <v>-9.3762346451614853E-2</v>
      </c>
      <c r="J365" s="40">
        <v>7.8238359744533748E-2</v>
      </c>
    </row>
    <row r="366" spans="1:10" ht="11.25" customHeight="1" x14ac:dyDescent="0.2">
      <c r="A366" s="49">
        <v>44501</v>
      </c>
      <c r="B366" s="39">
        <v>0</v>
      </c>
      <c r="C366" s="39">
        <v>0</v>
      </c>
      <c r="D366" s="39">
        <v>12498.149399999998</v>
      </c>
      <c r="E366" s="39">
        <v>15180.467419122588</v>
      </c>
      <c r="F366" s="39">
        <v>9909.746000000001</v>
      </c>
      <c r="G366" s="39">
        <v>8980.584962300496</v>
      </c>
      <c r="H366" s="40">
        <v>0.21461721517928001</v>
      </c>
      <c r="I366" s="40">
        <v>-9.3762346451614853E-2</v>
      </c>
      <c r="J366" s="40">
        <v>7.8238359744533748E-2</v>
      </c>
    </row>
    <row r="367" spans="1:10" ht="11.25" customHeight="1" x14ac:dyDescent="0.2">
      <c r="A367" s="49">
        <v>44531</v>
      </c>
      <c r="B367" s="39">
        <v>0</v>
      </c>
      <c r="C367" s="39">
        <v>0</v>
      </c>
      <c r="D367" s="39">
        <v>15867.51462</v>
      </c>
      <c r="E367" s="39">
        <v>19272.956419560909</v>
      </c>
      <c r="F367" s="39">
        <v>12581.305800000002</v>
      </c>
      <c r="G367" s="39">
        <v>11401.653046766689</v>
      </c>
      <c r="H367" s="40">
        <v>0.21461721517927979</v>
      </c>
      <c r="I367" s="40">
        <v>-9.3762346451614964E-2</v>
      </c>
      <c r="J367" s="40">
        <v>7.8238359744533525E-2</v>
      </c>
    </row>
    <row r="368" spans="1:10" ht="11.25" customHeight="1" x14ac:dyDescent="0.2">
      <c r="A368" s="49">
        <v>44562</v>
      </c>
      <c r="B368" s="39">
        <v>0</v>
      </c>
      <c r="C368" s="39">
        <v>0</v>
      </c>
      <c r="D368" s="39">
        <v>15600.650219999998</v>
      </c>
      <c r="E368" s="39">
        <v>18948.818325202417</v>
      </c>
      <c r="F368" s="39">
        <v>12369.709800000001</v>
      </c>
      <c r="G368" s="39">
        <v>11209.896784226465</v>
      </c>
      <c r="H368" s="40">
        <v>0.21461721517927979</v>
      </c>
      <c r="I368" s="40">
        <v>-9.3762346451614853E-2</v>
      </c>
      <c r="J368" s="40">
        <v>7.8238359744533748E-2</v>
      </c>
    </row>
    <row r="369" spans="1:10" ht="11.25" customHeight="1" x14ac:dyDescent="0.2">
      <c r="A369" s="49">
        <v>44593</v>
      </c>
      <c r="B369" s="39">
        <v>0</v>
      </c>
      <c r="C369" s="39">
        <v>0</v>
      </c>
      <c r="D369" s="39">
        <v>20329.406519999997</v>
      </c>
      <c r="E369" s="39">
        <v>24692.447133569895</v>
      </c>
      <c r="F369" s="39">
        <v>16119.1268</v>
      </c>
      <c r="G369" s="39">
        <v>14607.759648480889</v>
      </c>
      <c r="H369" s="40">
        <v>0.21461721517928001</v>
      </c>
      <c r="I369" s="40">
        <v>-9.3762346451614964E-2</v>
      </c>
      <c r="J369" s="40">
        <v>7.8238359744533748E-2</v>
      </c>
    </row>
    <row r="370" spans="1:10" ht="11.25" customHeight="1" x14ac:dyDescent="0.2">
      <c r="A370" s="49">
        <v>44621</v>
      </c>
      <c r="B370" s="39">
        <v>0</v>
      </c>
      <c r="C370" s="39">
        <v>0</v>
      </c>
      <c r="D370" s="39">
        <v>20924.19066</v>
      </c>
      <c r="E370" s="39">
        <v>25414.882189329499</v>
      </c>
      <c r="F370" s="39">
        <v>16590.7294</v>
      </c>
      <c r="G370" s="39">
        <v>15035.143682112208</v>
      </c>
      <c r="H370" s="40">
        <v>0.21461721517928001</v>
      </c>
      <c r="I370" s="40">
        <v>-9.3762346451614853E-2</v>
      </c>
      <c r="J370" s="40">
        <v>7.8238359744533748E-2</v>
      </c>
    </row>
    <row r="371" spans="1:10" ht="11.25" customHeight="1" x14ac:dyDescent="0.2">
      <c r="A371" s="49">
        <v>44652</v>
      </c>
      <c r="B371" s="39">
        <v>0</v>
      </c>
      <c r="C371" s="39">
        <v>0</v>
      </c>
      <c r="D371" s="39">
        <v>21250.0887</v>
      </c>
      <c r="E371" s="39">
        <v>25810.723559106682</v>
      </c>
      <c r="F371" s="39">
        <v>16849.133000000002</v>
      </c>
      <c r="G371" s="39">
        <v>15269.318754244663</v>
      </c>
      <c r="H371" s="40">
        <v>0.21461721517927979</v>
      </c>
      <c r="I371" s="40">
        <v>-9.3762346451614964E-2</v>
      </c>
      <c r="J371" s="40">
        <v>7.8238359744533748E-2</v>
      </c>
    </row>
    <row r="372" spans="1:10" ht="11.25" customHeight="1" x14ac:dyDescent="0.2">
      <c r="A372" s="49">
        <v>44682</v>
      </c>
      <c r="B372" s="39">
        <v>0</v>
      </c>
      <c r="C372" s="39">
        <v>0</v>
      </c>
      <c r="D372" s="39">
        <v>14918.124299999999</v>
      </c>
      <c r="E372" s="39">
        <v>18119.810592964346</v>
      </c>
      <c r="F372" s="39">
        <v>11828.537000000002</v>
      </c>
      <c r="G372" s="39">
        <v>10719.465615790255</v>
      </c>
      <c r="H372" s="40">
        <v>0.21461721517928001</v>
      </c>
      <c r="I372" s="40">
        <v>-9.3762346451614964E-2</v>
      </c>
      <c r="J372" s="40">
        <v>7.8238359744533748E-2</v>
      </c>
    </row>
    <row r="373" spans="1:10" ht="11.25" customHeight="1" x14ac:dyDescent="0.2">
      <c r="A373" s="49">
        <v>44713</v>
      </c>
      <c r="B373" s="39">
        <v>0</v>
      </c>
      <c r="C373" s="39">
        <v>0</v>
      </c>
      <c r="D373" s="39">
        <v>12554.757</v>
      </c>
      <c r="E373" s="39">
        <v>15249.223984592571</v>
      </c>
      <c r="F373" s="39">
        <v>9954.630000000001</v>
      </c>
      <c r="G373" s="39">
        <v>9021.260533142362</v>
      </c>
      <c r="H373" s="40">
        <v>0.21461721517928001</v>
      </c>
      <c r="I373" s="40">
        <v>-9.3762346451614853E-2</v>
      </c>
      <c r="J373" s="40">
        <v>7.8238359744533748E-2</v>
      </c>
    </row>
    <row r="374" spans="1:10" ht="11.25" customHeight="1" x14ac:dyDescent="0.2">
      <c r="A374" s="49">
        <v>44743</v>
      </c>
      <c r="B374" s="39">
        <v>0</v>
      </c>
      <c r="C374" s="39">
        <v>0</v>
      </c>
      <c r="D374" s="39">
        <v>15182.15832</v>
      </c>
      <c r="E374" s="39">
        <v>18440.510859049333</v>
      </c>
      <c r="F374" s="39">
        <v>12037.888800000001</v>
      </c>
      <c r="G374" s="39">
        <v>10909.188099788387</v>
      </c>
      <c r="H374" s="40">
        <v>0.21461721517927979</v>
      </c>
      <c r="I374" s="40">
        <v>-9.3762346451614742E-2</v>
      </c>
      <c r="J374" s="40">
        <v>7.8238359744533525E-2</v>
      </c>
    </row>
    <row r="375" spans="1:10" ht="11.25" customHeight="1" x14ac:dyDescent="0.2">
      <c r="A375" s="44" t="s">
        <v>47</v>
      </c>
      <c r="B375" s="39">
        <v>0</v>
      </c>
      <c r="C375" s="39">
        <v>0</v>
      </c>
      <c r="D375" s="39">
        <v>3990.4557203999993</v>
      </c>
      <c r="E375" s="39">
        <v>4846.8762144084749</v>
      </c>
      <c r="F375" s="39">
        <v>3164.0206359999997</v>
      </c>
      <c r="G375" s="39">
        <v>2867.3546369473097</v>
      </c>
      <c r="H375" s="40">
        <v>0.21461721517928001</v>
      </c>
      <c r="I375" s="40">
        <v>-9.3762346451614631E-2</v>
      </c>
      <c r="J375" s="40">
        <v>7.823835974453397E-2</v>
      </c>
    </row>
    <row r="376" spans="1:10" ht="11.25" customHeight="1" x14ac:dyDescent="0.2">
      <c r="A376" s="45" t="s">
        <v>48</v>
      </c>
      <c r="B376" s="39">
        <v>0</v>
      </c>
      <c r="C376" s="39">
        <v>0</v>
      </c>
      <c r="D376" s="39">
        <v>3990.4557203999993</v>
      </c>
      <c r="E376" s="39">
        <v>4846.8762144084749</v>
      </c>
      <c r="F376" s="39">
        <v>3164.0206359999997</v>
      </c>
      <c r="G376" s="39">
        <v>2867.3546369473097</v>
      </c>
      <c r="H376" s="40">
        <v>0.21461721517928001</v>
      </c>
      <c r="I376" s="40">
        <v>-9.3762346451614631E-2</v>
      </c>
      <c r="J376" s="40">
        <v>7.823835974453397E-2</v>
      </c>
    </row>
    <row r="377" spans="1:10" ht="11.25" customHeight="1" x14ac:dyDescent="0.2">
      <c r="A377" s="46" t="s">
        <v>25</v>
      </c>
      <c r="B377" s="39">
        <v>0</v>
      </c>
      <c r="C377" s="39">
        <v>0</v>
      </c>
      <c r="D377" s="39">
        <v>3990.4557203999993</v>
      </c>
      <c r="E377" s="39">
        <v>4846.8762144084749</v>
      </c>
      <c r="F377" s="39">
        <v>3164.0206359999997</v>
      </c>
      <c r="G377" s="39">
        <v>2867.3546369473097</v>
      </c>
      <c r="H377" s="40">
        <v>0.21461721517928001</v>
      </c>
      <c r="I377" s="40">
        <v>-9.3762346451614631E-2</v>
      </c>
      <c r="J377" s="40">
        <v>7.823835974453397E-2</v>
      </c>
    </row>
    <row r="378" spans="1:10" ht="11.25" customHeight="1" x14ac:dyDescent="0.2">
      <c r="A378" s="47" t="s">
        <v>25</v>
      </c>
      <c r="B378" s="39">
        <v>0</v>
      </c>
      <c r="C378" s="39">
        <v>0</v>
      </c>
      <c r="D378" s="39">
        <v>3990.4557203999993</v>
      </c>
      <c r="E378" s="39">
        <v>4846.8762144084749</v>
      </c>
      <c r="F378" s="39">
        <v>3164.0206359999997</v>
      </c>
      <c r="G378" s="39">
        <v>2867.3546369473097</v>
      </c>
      <c r="H378" s="40">
        <v>0.21461721517928001</v>
      </c>
      <c r="I378" s="40">
        <v>-9.3762346451614631E-2</v>
      </c>
      <c r="J378" s="40">
        <v>7.823835974453397E-2</v>
      </c>
    </row>
    <row r="379" spans="1:10" ht="11.25" customHeight="1" x14ac:dyDescent="0.2">
      <c r="A379" s="48" t="s">
        <v>25</v>
      </c>
      <c r="B379" s="39">
        <v>0</v>
      </c>
      <c r="C379" s="39">
        <v>0</v>
      </c>
      <c r="D379" s="39">
        <v>3990.4557203999993</v>
      </c>
      <c r="E379" s="39">
        <v>4846.8762144084749</v>
      </c>
      <c r="F379" s="39">
        <v>3164.0206359999997</v>
      </c>
      <c r="G379" s="39">
        <v>2867.3546369473097</v>
      </c>
      <c r="H379" s="40">
        <v>0.21461721517928001</v>
      </c>
      <c r="I379" s="40">
        <v>-9.3762346451614631E-2</v>
      </c>
      <c r="J379" s="40">
        <v>7.823835974453397E-2</v>
      </c>
    </row>
    <row r="380" spans="1:10" ht="11.25" customHeight="1" x14ac:dyDescent="0.2">
      <c r="A380" s="49">
        <v>44409</v>
      </c>
      <c r="B380" s="39">
        <v>0</v>
      </c>
      <c r="C380" s="39">
        <v>0</v>
      </c>
      <c r="D380" s="39">
        <v>349.29315239999994</v>
      </c>
      <c r="E380" s="39">
        <v>424.25747604927977</v>
      </c>
      <c r="F380" s="39">
        <v>276.95351599999998</v>
      </c>
      <c r="G380" s="39">
        <v>250.98570448181513</v>
      </c>
      <c r="H380" s="40">
        <v>0.21461721517928001</v>
      </c>
      <c r="I380" s="40">
        <v>-9.3762346451614853E-2</v>
      </c>
      <c r="J380" s="40">
        <v>7.823835974453397E-2</v>
      </c>
    </row>
    <row r="381" spans="1:10" ht="11.25" customHeight="1" x14ac:dyDescent="0.2">
      <c r="A381" s="49">
        <v>44440</v>
      </c>
      <c r="B381" s="39">
        <v>0</v>
      </c>
      <c r="C381" s="39">
        <v>0</v>
      </c>
      <c r="D381" s="39">
        <v>354.23418719999995</v>
      </c>
      <c r="E381" s="39">
        <v>430.25894197815967</v>
      </c>
      <c r="F381" s="39">
        <v>280.87124800000004</v>
      </c>
      <c r="G381" s="39">
        <v>254.53610073672655</v>
      </c>
      <c r="H381" s="40">
        <v>0.21461721517928001</v>
      </c>
      <c r="I381" s="40">
        <v>-9.3762346451614964E-2</v>
      </c>
      <c r="J381" s="40">
        <v>7.8238359744533748E-2</v>
      </c>
    </row>
    <row r="382" spans="1:10" ht="11.25" customHeight="1" x14ac:dyDescent="0.2">
      <c r="A382" s="49">
        <v>44470</v>
      </c>
      <c r="B382" s="39">
        <v>0</v>
      </c>
      <c r="C382" s="39">
        <v>0</v>
      </c>
      <c r="D382" s="39">
        <v>461.03655479999998</v>
      </c>
      <c r="E382" s="39">
        <v>559.9829362870255</v>
      </c>
      <c r="F382" s="39">
        <v>365.55453200000005</v>
      </c>
      <c r="G382" s="39">
        <v>331.2792813236581</v>
      </c>
      <c r="H382" s="40">
        <v>0.21461721517928001</v>
      </c>
      <c r="I382" s="40">
        <v>-9.3762346451614964E-2</v>
      </c>
      <c r="J382" s="40">
        <v>7.8238359744533748E-2</v>
      </c>
    </row>
    <row r="383" spans="1:10" ht="11.25" customHeight="1" x14ac:dyDescent="0.2">
      <c r="A383" s="49">
        <v>44501</v>
      </c>
      <c r="B383" s="39">
        <v>0</v>
      </c>
      <c r="C383" s="39">
        <v>0</v>
      </c>
      <c r="D383" s="39">
        <v>433.67082360000001</v>
      </c>
      <c r="E383" s="39">
        <v>526.74404806553673</v>
      </c>
      <c r="F383" s="39">
        <v>343.85632400000003</v>
      </c>
      <c r="G383" s="39">
        <v>311.61554821953331</v>
      </c>
      <c r="H383" s="40">
        <v>0.21461721517927979</v>
      </c>
      <c r="I383" s="40">
        <v>-9.3762346451614853E-2</v>
      </c>
      <c r="J383" s="40">
        <v>7.8238359744533748E-2</v>
      </c>
    </row>
    <row r="384" spans="1:10" ht="11.25" customHeight="1" x14ac:dyDescent="0.2">
      <c r="A384" s="49">
        <v>44531</v>
      </c>
      <c r="B384" s="39">
        <v>0</v>
      </c>
      <c r="C384" s="39">
        <v>0</v>
      </c>
      <c r="D384" s="39">
        <v>330.28917239999993</v>
      </c>
      <c r="E384" s="39">
        <v>401.17491478435699</v>
      </c>
      <c r="F384" s="39">
        <v>261.88531599999999</v>
      </c>
      <c r="G384" s="39">
        <v>237.33033427061736</v>
      </c>
      <c r="H384" s="40">
        <v>0.21461721517927979</v>
      </c>
      <c r="I384" s="40">
        <v>-9.3762346451614853E-2</v>
      </c>
      <c r="J384" s="40">
        <v>7.8238359744533748E-2</v>
      </c>
    </row>
    <row r="385" spans="1:10" ht="11.25" customHeight="1" x14ac:dyDescent="0.2">
      <c r="A385" s="49">
        <v>44562</v>
      </c>
      <c r="B385" s="39">
        <v>0</v>
      </c>
      <c r="C385" s="39">
        <v>0</v>
      </c>
      <c r="D385" s="39">
        <v>262.63500359999995</v>
      </c>
      <c r="E385" s="39">
        <v>319.0009966812321</v>
      </c>
      <c r="F385" s="39">
        <v>208.24252399999997</v>
      </c>
      <c r="G385" s="39">
        <v>188.71721631875326</v>
      </c>
      <c r="H385" s="40">
        <v>0.21461721517928001</v>
      </c>
      <c r="I385" s="40">
        <v>-9.3762346451614853E-2</v>
      </c>
      <c r="J385" s="40">
        <v>7.8238359744533748E-2</v>
      </c>
    </row>
    <row r="386" spans="1:10" ht="11.25" customHeight="1" x14ac:dyDescent="0.2">
      <c r="A386" s="49">
        <v>44593</v>
      </c>
      <c r="B386" s="39">
        <v>0</v>
      </c>
      <c r="C386" s="39">
        <v>0</v>
      </c>
      <c r="D386" s="39">
        <v>335.61028679999998</v>
      </c>
      <c r="E386" s="39">
        <v>407.63803193853539</v>
      </c>
      <c r="F386" s="39">
        <v>266.10441200000002</v>
      </c>
      <c r="G386" s="39">
        <v>241.15383792975274</v>
      </c>
      <c r="H386" s="40">
        <v>0.21461721517927979</v>
      </c>
      <c r="I386" s="40">
        <v>-9.3762346451614964E-2</v>
      </c>
      <c r="J386" s="40">
        <v>7.8238359744533748E-2</v>
      </c>
    </row>
    <row r="387" spans="1:10" ht="11.25" customHeight="1" x14ac:dyDescent="0.2">
      <c r="A387" s="49">
        <v>44621</v>
      </c>
      <c r="B387" s="39">
        <v>0</v>
      </c>
      <c r="C387" s="39">
        <v>0</v>
      </c>
      <c r="D387" s="39">
        <v>270.23659559999993</v>
      </c>
      <c r="E387" s="39">
        <v>328.23402118720117</v>
      </c>
      <c r="F387" s="39">
        <v>214.26980399999999</v>
      </c>
      <c r="G387" s="39">
        <v>194.17936440323237</v>
      </c>
      <c r="H387" s="40">
        <v>0.21461721517928001</v>
      </c>
      <c r="I387" s="40">
        <v>-9.3762346451614964E-2</v>
      </c>
      <c r="J387" s="40">
        <v>7.823835974453397E-2</v>
      </c>
    </row>
    <row r="388" spans="1:10" ht="11.25" customHeight="1" x14ac:dyDescent="0.2">
      <c r="A388" s="49">
        <v>44652</v>
      </c>
      <c r="B388" s="39">
        <v>0</v>
      </c>
      <c r="C388" s="39">
        <v>0</v>
      </c>
      <c r="D388" s="39">
        <v>301.78320239999999</v>
      </c>
      <c r="E388" s="39">
        <v>366.55107288697297</v>
      </c>
      <c r="F388" s="39">
        <v>239.28301600000003</v>
      </c>
      <c r="G388" s="39">
        <v>216.84727895382071</v>
      </c>
      <c r="H388" s="40">
        <v>0.21461721517928001</v>
      </c>
      <c r="I388" s="40">
        <v>-9.3762346451614964E-2</v>
      </c>
      <c r="J388" s="40">
        <v>7.8238359744533748E-2</v>
      </c>
    </row>
    <row r="389" spans="1:10" ht="11.25" customHeight="1" x14ac:dyDescent="0.2">
      <c r="A389" s="49">
        <v>44682</v>
      </c>
      <c r="B389" s="39">
        <v>0</v>
      </c>
      <c r="C389" s="39">
        <v>0</v>
      </c>
      <c r="D389" s="39">
        <v>256.93380959999996</v>
      </c>
      <c r="E389" s="39">
        <v>312.07622830175529</v>
      </c>
      <c r="F389" s="39">
        <v>203.72206400000002</v>
      </c>
      <c r="G389" s="39">
        <v>184.62060525539394</v>
      </c>
      <c r="H389" s="40">
        <v>0.21461721517928001</v>
      </c>
      <c r="I389" s="40">
        <v>-9.3762346451614964E-2</v>
      </c>
      <c r="J389" s="40">
        <v>7.8238359744533748E-2</v>
      </c>
    </row>
    <row r="390" spans="1:10" ht="11.25" customHeight="1" x14ac:dyDescent="0.2">
      <c r="A390" s="49">
        <v>44713</v>
      </c>
      <c r="B390" s="39">
        <v>0</v>
      </c>
      <c r="C390" s="39">
        <v>0</v>
      </c>
      <c r="D390" s="39">
        <v>319.64694359999993</v>
      </c>
      <c r="E390" s="39">
        <v>388.24868047600029</v>
      </c>
      <c r="F390" s="39">
        <v>253.447124</v>
      </c>
      <c r="G390" s="39">
        <v>229.68332695234659</v>
      </c>
      <c r="H390" s="40">
        <v>0.21461721517928001</v>
      </c>
      <c r="I390" s="40">
        <v>-9.3762346451614964E-2</v>
      </c>
      <c r="J390" s="40">
        <v>7.8238359744533748E-2</v>
      </c>
    </row>
    <row r="391" spans="1:10" ht="11.25" customHeight="1" x14ac:dyDescent="0.2">
      <c r="A391" s="49">
        <v>44743</v>
      </c>
      <c r="B391" s="39">
        <v>0</v>
      </c>
      <c r="C391" s="39">
        <v>0</v>
      </c>
      <c r="D391" s="39">
        <v>315.08598839999996</v>
      </c>
      <c r="E391" s="39">
        <v>382.70886577241885</v>
      </c>
      <c r="F391" s="39">
        <v>249.83075600000001</v>
      </c>
      <c r="G391" s="39">
        <v>226.40603810165914</v>
      </c>
      <c r="H391" s="40">
        <v>0.21461721517928001</v>
      </c>
      <c r="I391" s="40">
        <v>-9.3762346451614964E-2</v>
      </c>
      <c r="J391" s="40">
        <v>7.8238359744533748E-2</v>
      </c>
    </row>
    <row r="392" spans="1:10" ht="11.25" customHeight="1" x14ac:dyDescent="0.2">
      <c r="A392" s="42" t="s">
        <v>44</v>
      </c>
      <c r="B392" s="39">
        <v>0</v>
      </c>
      <c r="C392" s="39">
        <v>0</v>
      </c>
      <c r="D392" s="39">
        <v>79325.62344000001</v>
      </c>
      <c r="E392" s="39">
        <v>96348.968087746471</v>
      </c>
      <c r="F392" s="39">
        <v>62896.205679999999</v>
      </c>
      <c r="G392" s="39">
        <v>56998.909852539822</v>
      </c>
      <c r="H392" s="40">
        <v>0.21460083021752108</v>
      </c>
      <c r="I392" s="40">
        <v>-9.3762346451614742E-2</v>
      </c>
      <c r="J392" s="40">
        <v>7.8230246996040753E-2</v>
      </c>
    </row>
    <row r="393" spans="1:10" ht="11.25" customHeight="1" x14ac:dyDescent="0.2">
      <c r="A393" s="43" t="s">
        <v>23</v>
      </c>
      <c r="B393" s="39">
        <v>0</v>
      </c>
      <c r="C393" s="39">
        <v>0</v>
      </c>
      <c r="D393" s="39">
        <v>79325.62344000001</v>
      </c>
      <c r="E393" s="39">
        <v>96348.968087746471</v>
      </c>
      <c r="F393" s="39">
        <v>62896.205679999999</v>
      </c>
      <c r="G393" s="39">
        <v>56998.909852539822</v>
      </c>
      <c r="H393" s="40">
        <v>0.21460083021752108</v>
      </c>
      <c r="I393" s="40">
        <v>-9.3762346451614742E-2</v>
      </c>
      <c r="J393" s="40">
        <v>7.8230246996040753E-2</v>
      </c>
    </row>
    <row r="394" spans="1:10" ht="11.25" customHeight="1" x14ac:dyDescent="0.2">
      <c r="A394" s="44" t="s">
        <v>45</v>
      </c>
      <c r="B394" s="39">
        <v>0</v>
      </c>
      <c r="C394" s="39">
        <v>0</v>
      </c>
      <c r="D394" s="39">
        <v>79325.62344000001</v>
      </c>
      <c r="E394" s="39">
        <v>96348.968087746471</v>
      </c>
      <c r="F394" s="39">
        <v>62896.205679999999</v>
      </c>
      <c r="G394" s="39">
        <v>56998.909852539822</v>
      </c>
      <c r="H394" s="40">
        <v>0.21460083021752108</v>
      </c>
      <c r="I394" s="40">
        <v>-9.3762346451614742E-2</v>
      </c>
      <c r="J394" s="40">
        <v>7.8230246996040753E-2</v>
      </c>
    </row>
    <row r="395" spans="1:10" ht="11.25" customHeight="1" x14ac:dyDescent="0.2">
      <c r="A395" s="45" t="s">
        <v>46</v>
      </c>
      <c r="B395" s="39">
        <v>0</v>
      </c>
      <c r="C395" s="39">
        <v>0</v>
      </c>
      <c r="D395" s="39">
        <v>79325.62344000001</v>
      </c>
      <c r="E395" s="39">
        <v>96348.968087746471</v>
      </c>
      <c r="F395" s="39">
        <v>62896.205679999999</v>
      </c>
      <c r="G395" s="39">
        <v>56998.909852539822</v>
      </c>
      <c r="H395" s="40">
        <v>0.21460083021752108</v>
      </c>
      <c r="I395" s="40">
        <v>-9.3762346451614742E-2</v>
      </c>
      <c r="J395" s="40">
        <v>7.8230246996040753E-2</v>
      </c>
    </row>
    <row r="396" spans="1:10" ht="11.25" customHeight="1" x14ac:dyDescent="0.2">
      <c r="A396" s="46" t="s">
        <v>25</v>
      </c>
      <c r="B396" s="39">
        <v>0</v>
      </c>
      <c r="C396" s="39">
        <v>0</v>
      </c>
      <c r="D396" s="39">
        <v>79325.62344000001</v>
      </c>
      <c r="E396" s="39">
        <v>96348.968087746471</v>
      </c>
      <c r="F396" s="39">
        <v>62896.205679999999</v>
      </c>
      <c r="G396" s="39">
        <v>56998.909852539822</v>
      </c>
      <c r="H396" s="40">
        <v>0.21460083021752108</v>
      </c>
      <c r="I396" s="40">
        <v>-9.3762346451614742E-2</v>
      </c>
      <c r="J396" s="40">
        <v>7.8230246996040753E-2</v>
      </c>
    </row>
    <row r="397" spans="1:10" ht="11.25" customHeight="1" x14ac:dyDescent="0.2">
      <c r="A397" s="47" t="s">
        <v>25</v>
      </c>
      <c r="B397" s="39">
        <v>0</v>
      </c>
      <c r="C397" s="39">
        <v>0</v>
      </c>
      <c r="D397" s="39">
        <v>79325.62344000001</v>
      </c>
      <c r="E397" s="39">
        <v>96348.968087746471</v>
      </c>
      <c r="F397" s="39">
        <v>62896.205679999999</v>
      </c>
      <c r="G397" s="39">
        <v>56998.909852539822</v>
      </c>
      <c r="H397" s="40">
        <v>0.21460083021752108</v>
      </c>
      <c r="I397" s="40">
        <v>-9.3762346451614742E-2</v>
      </c>
      <c r="J397" s="40">
        <v>7.8230246996040753E-2</v>
      </c>
    </row>
    <row r="398" spans="1:10" ht="11.25" customHeight="1" x14ac:dyDescent="0.2">
      <c r="A398" s="48" t="s">
        <v>25</v>
      </c>
      <c r="B398" s="39">
        <v>0</v>
      </c>
      <c r="C398" s="39">
        <v>0</v>
      </c>
      <c r="D398" s="39">
        <v>79325.62344000001</v>
      </c>
      <c r="E398" s="39">
        <v>96348.968087746471</v>
      </c>
      <c r="F398" s="39">
        <v>62896.205679999999</v>
      </c>
      <c r="G398" s="39">
        <v>56998.909852539822</v>
      </c>
      <c r="H398" s="40">
        <v>0.21460083021752108</v>
      </c>
      <c r="I398" s="40">
        <v>-9.3762346451614742E-2</v>
      </c>
      <c r="J398" s="40">
        <v>7.8230246996040753E-2</v>
      </c>
    </row>
    <row r="399" spans="1:10" ht="11.25" customHeight="1" x14ac:dyDescent="0.2">
      <c r="A399" s="49">
        <v>44409</v>
      </c>
      <c r="B399" s="39">
        <v>0</v>
      </c>
      <c r="C399" s="39">
        <v>0</v>
      </c>
      <c r="D399" s="39">
        <v>6733.7468099999996</v>
      </c>
      <c r="E399" s="39">
        <v>8178.8144659005866</v>
      </c>
      <c r="F399" s="39">
        <v>5339.0960700000005</v>
      </c>
      <c r="G399" s="39">
        <v>4838.4898945462046</v>
      </c>
      <c r="H399" s="40">
        <v>0.21460083021752152</v>
      </c>
      <c r="I399" s="40">
        <v>-9.3762346451614964E-2</v>
      </c>
      <c r="J399" s="40">
        <v>7.8230246996040753E-2</v>
      </c>
    </row>
    <row r="400" spans="1:10" ht="11.25" customHeight="1" x14ac:dyDescent="0.2">
      <c r="A400" s="49">
        <v>44440</v>
      </c>
      <c r="B400" s="39">
        <v>0</v>
      </c>
      <c r="C400" s="39">
        <v>0</v>
      </c>
      <c r="D400" s="39">
        <v>6519.1404599999996</v>
      </c>
      <c r="E400" s="39">
        <v>7918.1534150206344</v>
      </c>
      <c r="F400" s="39">
        <v>5168.9376200000006</v>
      </c>
      <c r="G400" s="39">
        <v>4684.2859000867747</v>
      </c>
      <c r="H400" s="40">
        <v>0.21460083021752152</v>
      </c>
      <c r="I400" s="40">
        <v>-9.3762346451614853E-2</v>
      </c>
      <c r="J400" s="40">
        <v>7.8230246996040753E-2</v>
      </c>
    </row>
    <row r="401" spans="1:10" ht="11.25" customHeight="1" x14ac:dyDescent="0.2">
      <c r="A401" s="49">
        <v>44470</v>
      </c>
      <c r="B401" s="39">
        <v>0</v>
      </c>
      <c r="C401" s="39">
        <v>0</v>
      </c>
      <c r="D401" s="39">
        <v>6734.8587599999992</v>
      </c>
      <c r="E401" s="39">
        <v>8180.1650412937461</v>
      </c>
      <c r="F401" s="39">
        <v>5339.9777199999999</v>
      </c>
      <c r="G401" s="39">
        <v>4839.2888789734552</v>
      </c>
      <c r="H401" s="40">
        <v>0.21460083021752152</v>
      </c>
      <c r="I401" s="40">
        <v>-9.3762346451614853E-2</v>
      </c>
      <c r="J401" s="40">
        <v>7.8230246996040753E-2</v>
      </c>
    </row>
    <row r="402" spans="1:10" ht="11.25" customHeight="1" x14ac:dyDescent="0.2">
      <c r="A402" s="49">
        <v>44501</v>
      </c>
      <c r="B402" s="39">
        <v>0</v>
      </c>
      <c r="C402" s="39">
        <v>0</v>
      </c>
      <c r="D402" s="39">
        <v>6526.0345499999994</v>
      </c>
      <c r="E402" s="39">
        <v>7926.5269824582283</v>
      </c>
      <c r="F402" s="39">
        <v>5174.4038500000006</v>
      </c>
      <c r="G402" s="39">
        <v>4689.2396035357297</v>
      </c>
      <c r="H402" s="40">
        <v>0.21460083021752152</v>
      </c>
      <c r="I402" s="40">
        <v>-9.3762346451615075E-2</v>
      </c>
      <c r="J402" s="40">
        <v>7.8230246996040753E-2</v>
      </c>
    </row>
    <row r="403" spans="1:10" ht="11.25" customHeight="1" x14ac:dyDescent="0.2">
      <c r="A403" s="49">
        <v>44531</v>
      </c>
      <c r="B403" s="39">
        <v>0</v>
      </c>
      <c r="C403" s="39">
        <v>0</v>
      </c>
      <c r="D403" s="39">
        <v>6923.8902599999992</v>
      </c>
      <c r="E403" s="39">
        <v>8409.7628581310109</v>
      </c>
      <c r="F403" s="39">
        <v>5489.8582200000001</v>
      </c>
      <c r="G403" s="39">
        <v>4975.1162316061145</v>
      </c>
      <c r="H403" s="40">
        <v>0.21460083021752174</v>
      </c>
      <c r="I403" s="40">
        <v>-9.3762346451614853E-2</v>
      </c>
      <c r="J403" s="40">
        <v>7.8230246996040975E-2</v>
      </c>
    </row>
    <row r="404" spans="1:10" ht="11.25" customHeight="1" x14ac:dyDescent="0.2">
      <c r="A404" s="49">
        <v>44562</v>
      </c>
      <c r="B404" s="39">
        <v>0</v>
      </c>
      <c r="C404" s="39">
        <v>0</v>
      </c>
      <c r="D404" s="39">
        <v>6748.6469399999996</v>
      </c>
      <c r="E404" s="39">
        <v>8196.9121761689348</v>
      </c>
      <c r="F404" s="39">
        <v>5350.9101800000008</v>
      </c>
      <c r="G404" s="39">
        <v>4849.1962858713669</v>
      </c>
      <c r="H404" s="40">
        <v>0.2146008302175213</v>
      </c>
      <c r="I404" s="40">
        <v>-9.3762346451615075E-2</v>
      </c>
      <c r="J404" s="40">
        <v>7.8230246996040531E-2</v>
      </c>
    </row>
    <row r="405" spans="1:10" ht="11.25" customHeight="1" x14ac:dyDescent="0.2">
      <c r="A405" s="49">
        <v>44593</v>
      </c>
      <c r="B405" s="39">
        <v>0</v>
      </c>
      <c r="C405" s="39">
        <v>0</v>
      </c>
      <c r="D405" s="39">
        <v>6041.6691300000002</v>
      </c>
      <c r="E405" s="39">
        <v>7338.2163411975707</v>
      </c>
      <c r="F405" s="39">
        <v>4790.3571100000008</v>
      </c>
      <c r="G405" s="39">
        <v>4341.2019870252234</v>
      </c>
      <c r="H405" s="40">
        <v>0.21460083021752152</v>
      </c>
      <c r="I405" s="40">
        <v>-9.3762346451615075E-2</v>
      </c>
      <c r="J405" s="40">
        <v>7.8230246996040531E-2</v>
      </c>
    </row>
    <row r="406" spans="1:10" ht="11.25" customHeight="1" x14ac:dyDescent="0.2">
      <c r="A406" s="49">
        <v>44621</v>
      </c>
      <c r="B406" s="39">
        <v>0</v>
      </c>
      <c r="C406" s="39">
        <v>0</v>
      </c>
      <c r="D406" s="39">
        <v>6721.0705799999996</v>
      </c>
      <c r="E406" s="39">
        <v>8163.4179064185582</v>
      </c>
      <c r="F406" s="39">
        <v>5329.0452600000008</v>
      </c>
      <c r="G406" s="39">
        <v>4829.3814720755445</v>
      </c>
      <c r="H406" s="40">
        <v>0.21460083021752152</v>
      </c>
      <c r="I406" s="40">
        <v>-9.3762346451614853E-2</v>
      </c>
      <c r="J406" s="40">
        <v>7.8230246996040753E-2</v>
      </c>
    </row>
    <row r="407" spans="1:10" ht="11.25" customHeight="1" x14ac:dyDescent="0.2">
      <c r="A407" s="49">
        <v>44652</v>
      </c>
      <c r="B407" s="39">
        <v>0</v>
      </c>
      <c r="C407" s="39">
        <v>0</v>
      </c>
      <c r="D407" s="39">
        <v>6517.1389499999996</v>
      </c>
      <c r="E407" s="39">
        <v>7915.722379312946</v>
      </c>
      <c r="F407" s="39">
        <v>5167.3506500000003</v>
      </c>
      <c r="G407" s="39">
        <v>4682.8477281177229</v>
      </c>
      <c r="H407" s="40">
        <v>0.21460083021752152</v>
      </c>
      <c r="I407" s="40">
        <v>-9.3762346451614853E-2</v>
      </c>
      <c r="J407" s="40">
        <v>7.8230246996040531E-2</v>
      </c>
    </row>
    <row r="408" spans="1:10" ht="11.25" customHeight="1" x14ac:dyDescent="0.2">
      <c r="A408" s="49">
        <v>44682</v>
      </c>
      <c r="B408" s="39">
        <v>0</v>
      </c>
      <c r="C408" s="39">
        <v>0</v>
      </c>
      <c r="D408" s="39">
        <v>6688.8240299999998</v>
      </c>
      <c r="E408" s="39">
        <v>8124.2512200169076</v>
      </c>
      <c r="F408" s="39">
        <v>5303.4774100000004</v>
      </c>
      <c r="G408" s="39">
        <v>4806.2109236852675</v>
      </c>
      <c r="H408" s="40">
        <v>0.21460083021752152</v>
      </c>
      <c r="I408" s="40">
        <v>-9.3762346451614853E-2</v>
      </c>
      <c r="J408" s="40">
        <v>7.8230246996040753E-2</v>
      </c>
    </row>
    <row r="409" spans="1:10" ht="11.25" customHeight="1" x14ac:dyDescent="0.2">
      <c r="A409" s="49">
        <v>44713</v>
      </c>
      <c r="B409" s="39">
        <v>0</v>
      </c>
      <c r="C409" s="39">
        <v>0</v>
      </c>
      <c r="D409" s="39">
        <v>6484.4476199999999</v>
      </c>
      <c r="E409" s="39">
        <v>7876.0154627540314</v>
      </c>
      <c r="F409" s="39">
        <v>5141.4301400000004</v>
      </c>
      <c r="G409" s="39">
        <v>4659.3575859565453</v>
      </c>
      <c r="H409" s="40">
        <v>0.21460083021752152</v>
      </c>
      <c r="I409" s="40">
        <v>-9.3762346451614964E-2</v>
      </c>
      <c r="J409" s="40">
        <v>7.8230246996040753E-2</v>
      </c>
    </row>
    <row r="410" spans="1:10" ht="11.25" customHeight="1" x14ac:dyDescent="0.2">
      <c r="A410" s="49">
        <v>44743</v>
      </c>
      <c r="B410" s="39">
        <v>0</v>
      </c>
      <c r="C410" s="39">
        <v>0</v>
      </c>
      <c r="D410" s="39">
        <v>6686.15535</v>
      </c>
      <c r="E410" s="39">
        <v>8121.0098390733228</v>
      </c>
      <c r="F410" s="39">
        <v>5301.3614500000003</v>
      </c>
      <c r="G410" s="39">
        <v>4804.2933610598648</v>
      </c>
      <c r="H410" s="40">
        <v>0.21460083021752152</v>
      </c>
      <c r="I410" s="40">
        <v>-9.3762346451614853E-2</v>
      </c>
      <c r="J410" s="40">
        <v>7.8230246996040753E-2</v>
      </c>
    </row>
    <row r="411" spans="1:10" ht="11.25" customHeight="1" x14ac:dyDescent="0.2">
      <c r="A411" s="41" t="s">
        <v>51</v>
      </c>
      <c r="B411" s="39">
        <v>189597.366094734</v>
      </c>
      <c r="C411" s="39">
        <v>164283.49790718386</v>
      </c>
      <c r="D411" s="39">
        <v>838958.89061168372</v>
      </c>
      <c r="E411" s="39">
        <v>1022926.6366047144</v>
      </c>
      <c r="F411" s="39">
        <v>0</v>
      </c>
      <c r="G411" s="39">
        <v>0</v>
      </c>
      <c r="H411" s="40">
        <v>0.15424910088390553</v>
      </c>
      <c r="I411" s="40">
        <v>0</v>
      </c>
      <c r="J411" s="40">
        <v>0.15424910088390553</v>
      </c>
    </row>
    <row r="412" spans="1:10" ht="11.25" customHeight="1" x14ac:dyDescent="0.2">
      <c r="A412" s="42" t="s">
        <v>34</v>
      </c>
      <c r="B412" s="39">
        <v>189597.366094734</v>
      </c>
      <c r="C412" s="39">
        <v>164283.49790718386</v>
      </c>
      <c r="D412" s="39">
        <v>838958.89061168372</v>
      </c>
      <c r="E412" s="39">
        <v>1022926.6366047144</v>
      </c>
      <c r="F412" s="39">
        <v>0</v>
      </c>
      <c r="G412" s="39">
        <v>0</v>
      </c>
      <c r="H412" s="40">
        <v>0.15424910088390553</v>
      </c>
      <c r="I412" s="40">
        <v>0</v>
      </c>
      <c r="J412" s="40">
        <v>0.15424910088390553</v>
      </c>
    </row>
    <row r="413" spans="1:10" ht="11.25" customHeight="1" x14ac:dyDescent="0.2">
      <c r="A413" s="43" t="s">
        <v>35</v>
      </c>
      <c r="B413" s="39">
        <v>189597.366094734</v>
      </c>
      <c r="C413" s="39">
        <v>164283.49790718386</v>
      </c>
      <c r="D413" s="39">
        <v>838958.89061168372</v>
      </c>
      <c r="E413" s="39">
        <v>1022926.6366047144</v>
      </c>
      <c r="F413" s="39">
        <v>0</v>
      </c>
      <c r="G413" s="39">
        <v>0</v>
      </c>
      <c r="H413" s="40">
        <v>0.15424910088390553</v>
      </c>
      <c r="I413" s="40">
        <v>0</v>
      </c>
      <c r="J413" s="40">
        <v>0.15424910088390553</v>
      </c>
    </row>
    <row r="414" spans="1:10" ht="11.25" customHeight="1" x14ac:dyDescent="0.2">
      <c r="A414" s="44" t="s">
        <v>33</v>
      </c>
      <c r="B414" s="39">
        <v>189597.366094734</v>
      </c>
      <c r="C414" s="39">
        <v>164283.49790718386</v>
      </c>
      <c r="D414" s="39">
        <v>838958.89061168372</v>
      </c>
      <c r="E414" s="39">
        <v>1022926.6366047144</v>
      </c>
      <c r="F414" s="39">
        <v>0</v>
      </c>
      <c r="G414" s="39">
        <v>0</v>
      </c>
      <c r="H414" s="40">
        <v>0.15424910088390553</v>
      </c>
      <c r="I414" s="40">
        <v>0</v>
      </c>
      <c r="J414" s="40">
        <v>0.15424910088390553</v>
      </c>
    </row>
    <row r="415" spans="1:10" ht="11.25" customHeight="1" x14ac:dyDescent="0.2">
      <c r="A415" s="45" t="s">
        <v>25</v>
      </c>
      <c r="B415" s="39">
        <v>189597.366094734</v>
      </c>
      <c r="C415" s="39">
        <v>164283.49790718386</v>
      </c>
      <c r="D415" s="39">
        <v>838958.89061168372</v>
      </c>
      <c r="E415" s="39">
        <v>1022926.6366047144</v>
      </c>
      <c r="F415" s="39">
        <v>0</v>
      </c>
      <c r="G415" s="39">
        <v>0</v>
      </c>
      <c r="H415" s="40">
        <v>0.15424910088390553</v>
      </c>
      <c r="I415" s="40">
        <v>0</v>
      </c>
      <c r="J415" s="40">
        <v>0.15424910088390553</v>
      </c>
    </row>
    <row r="416" spans="1:10" ht="11.25" customHeight="1" x14ac:dyDescent="0.2">
      <c r="A416" s="46" t="s">
        <v>50</v>
      </c>
      <c r="B416" s="39">
        <v>189597.366094734</v>
      </c>
      <c r="C416" s="39">
        <v>164283.49790718386</v>
      </c>
      <c r="D416" s="39">
        <v>838958.89061168372</v>
      </c>
      <c r="E416" s="39">
        <v>1022926.6366047144</v>
      </c>
      <c r="F416" s="39">
        <v>0</v>
      </c>
      <c r="G416" s="39">
        <v>0</v>
      </c>
      <c r="H416" s="40">
        <v>0.15424910088390553</v>
      </c>
      <c r="I416" s="40">
        <v>0</v>
      </c>
      <c r="J416" s="40">
        <v>0.15424910088390553</v>
      </c>
    </row>
    <row r="417" spans="1:10" ht="11.25" customHeight="1" x14ac:dyDescent="0.2">
      <c r="A417" s="47" t="s">
        <v>25</v>
      </c>
      <c r="B417" s="39">
        <v>189597.366094734</v>
      </c>
      <c r="C417" s="39">
        <v>164283.49790718386</v>
      </c>
      <c r="D417" s="39">
        <v>838958.89061168372</v>
      </c>
      <c r="E417" s="39">
        <v>1022926.6366047144</v>
      </c>
      <c r="F417" s="39">
        <v>0</v>
      </c>
      <c r="G417" s="39">
        <v>0</v>
      </c>
      <c r="H417" s="40">
        <v>0.15424910088390553</v>
      </c>
      <c r="I417" s="40">
        <v>0</v>
      </c>
      <c r="J417" s="40">
        <v>0.15424910088390553</v>
      </c>
    </row>
    <row r="418" spans="1:10" ht="11.25" customHeight="1" x14ac:dyDescent="0.2">
      <c r="A418" s="48" t="s">
        <v>37</v>
      </c>
      <c r="B418" s="39">
        <v>0</v>
      </c>
      <c r="C418" s="39">
        <v>0</v>
      </c>
      <c r="D418" s="39">
        <v>408356.01453999995</v>
      </c>
      <c r="E418" s="39">
        <v>633692.98827757291</v>
      </c>
      <c r="F418" s="39">
        <v>0</v>
      </c>
      <c r="G418" s="39">
        <v>0</v>
      </c>
      <c r="H418" s="40">
        <v>0.55181499895724051</v>
      </c>
      <c r="I418" s="40">
        <v>0</v>
      </c>
      <c r="J418" s="40">
        <v>0.55181499895724051</v>
      </c>
    </row>
    <row r="419" spans="1:10" ht="11.25" customHeight="1" x14ac:dyDescent="0.2">
      <c r="A419" s="49">
        <v>44409</v>
      </c>
      <c r="B419" s="39">
        <v>0</v>
      </c>
      <c r="C419" s="39">
        <v>0</v>
      </c>
      <c r="D419" s="39">
        <v>28035.991699999999</v>
      </c>
      <c r="E419" s="39">
        <v>43506.672430700703</v>
      </c>
      <c r="F419" s="39">
        <v>0</v>
      </c>
      <c r="G419" s="39">
        <v>0</v>
      </c>
      <c r="H419" s="40">
        <v>0.55181499895724051</v>
      </c>
      <c r="I419" s="40">
        <v>0</v>
      </c>
      <c r="J419" s="40">
        <v>0.55181499895724051</v>
      </c>
    </row>
    <row r="420" spans="1:10" ht="11.25" customHeight="1" x14ac:dyDescent="0.2">
      <c r="A420" s="49">
        <v>44440</v>
      </c>
      <c r="B420" s="39">
        <v>0</v>
      </c>
      <c r="C420" s="39">
        <v>0</v>
      </c>
      <c r="D420" s="39">
        <v>26264.887429999999</v>
      </c>
      <c r="E420" s="39">
        <v>40758.246259797488</v>
      </c>
      <c r="F420" s="39">
        <v>0</v>
      </c>
      <c r="G420" s="39">
        <v>0</v>
      </c>
      <c r="H420" s="40">
        <v>0.55181499895724051</v>
      </c>
      <c r="I420" s="40">
        <v>0</v>
      </c>
      <c r="J420" s="40">
        <v>0.55181499895724051</v>
      </c>
    </row>
    <row r="421" spans="1:10" ht="11.25" customHeight="1" x14ac:dyDescent="0.2">
      <c r="A421" s="49">
        <v>44470</v>
      </c>
      <c r="B421" s="39">
        <v>0</v>
      </c>
      <c r="C421" s="39">
        <v>0</v>
      </c>
      <c r="D421" s="39">
        <v>26947.976509999997</v>
      </c>
      <c r="E421" s="39">
        <v>41818.274139765381</v>
      </c>
      <c r="F421" s="39">
        <v>0</v>
      </c>
      <c r="G421" s="39">
        <v>0</v>
      </c>
      <c r="H421" s="40">
        <v>0.55181499895724029</v>
      </c>
      <c r="I421" s="40">
        <v>0</v>
      </c>
      <c r="J421" s="40">
        <v>0.55181499895724029</v>
      </c>
    </row>
    <row r="422" spans="1:10" ht="11.25" customHeight="1" x14ac:dyDescent="0.2">
      <c r="A422" s="49">
        <v>44501</v>
      </c>
      <c r="B422" s="39">
        <v>0</v>
      </c>
      <c r="C422" s="39">
        <v>0</v>
      </c>
      <c r="D422" s="39">
        <v>34562.538659999998</v>
      </c>
      <c r="E422" s="39">
        <v>53634.665894627477</v>
      </c>
      <c r="F422" s="39">
        <v>0</v>
      </c>
      <c r="G422" s="39">
        <v>0</v>
      </c>
      <c r="H422" s="40">
        <v>0.55181499895724029</v>
      </c>
      <c r="I422" s="40">
        <v>0</v>
      </c>
      <c r="J422" s="40">
        <v>0.55181499895724029</v>
      </c>
    </row>
    <row r="423" spans="1:10" ht="11.25" customHeight="1" x14ac:dyDescent="0.2">
      <c r="A423" s="49">
        <v>44531</v>
      </c>
      <c r="B423" s="39">
        <v>0</v>
      </c>
      <c r="C423" s="39">
        <v>0</v>
      </c>
      <c r="D423" s="39">
        <v>35967.882839999998</v>
      </c>
      <c r="E423" s="39">
        <v>55815.50007184875</v>
      </c>
      <c r="F423" s="39">
        <v>0</v>
      </c>
      <c r="G423" s="39">
        <v>0</v>
      </c>
      <c r="H423" s="40">
        <v>0.55181499895724051</v>
      </c>
      <c r="I423" s="40">
        <v>0</v>
      </c>
      <c r="J423" s="40">
        <v>0.55181499895724051</v>
      </c>
    </row>
    <row r="424" spans="1:10" ht="11.25" customHeight="1" x14ac:dyDescent="0.2">
      <c r="A424" s="49">
        <v>44562</v>
      </c>
      <c r="B424" s="39">
        <v>0</v>
      </c>
      <c r="C424" s="39">
        <v>0</v>
      </c>
      <c r="D424" s="39">
        <v>35782.651429999998</v>
      </c>
      <c r="E424" s="39">
        <v>55528.055191532745</v>
      </c>
      <c r="F424" s="39">
        <v>0</v>
      </c>
      <c r="G424" s="39">
        <v>0</v>
      </c>
      <c r="H424" s="40">
        <v>0.55181499895724051</v>
      </c>
      <c r="I424" s="40">
        <v>0</v>
      </c>
      <c r="J424" s="40">
        <v>0.55181499895724051</v>
      </c>
    </row>
    <row r="425" spans="1:10" ht="11.25" customHeight="1" x14ac:dyDescent="0.2">
      <c r="A425" s="49">
        <v>44593</v>
      </c>
      <c r="B425" s="39">
        <v>0</v>
      </c>
      <c r="C425" s="39">
        <v>0</v>
      </c>
      <c r="D425" s="39">
        <v>35878.601159999998</v>
      </c>
      <c r="E425" s="39">
        <v>55676.95142169264</v>
      </c>
      <c r="F425" s="39">
        <v>0</v>
      </c>
      <c r="G425" s="39">
        <v>0</v>
      </c>
      <c r="H425" s="40">
        <v>0.55181499895724029</v>
      </c>
      <c r="I425" s="40">
        <v>0</v>
      </c>
      <c r="J425" s="40">
        <v>0.55181499895724029</v>
      </c>
    </row>
    <row r="426" spans="1:10" ht="11.25" customHeight="1" x14ac:dyDescent="0.2">
      <c r="A426" s="49">
        <v>44621</v>
      </c>
      <c r="B426" s="39">
        <v>0</v>
      </c>
      <c r="C426" s="39">
        <v>0</v>
      </c>
      <c r="D426" s="39">
        <v>40250.104550000004</v>
      </c>
      <c r="E426" s="39">
        <v>62460.715950287071</v>
      </c>
      <c r="F426" s="39">
        <v>0</v>
      </c>
      <c r="G426" s="39">
        <v>0</v>
      </c>
      <c r="H426" s="40">
        <v>0.55181499895724029</v>
      </c>
      <c r="I426" s="40">
        <v>0</v>
      </c>
      <c r="J426" s="40">
        <v>0.55181499895724029</v>
      </c>
    </row>
    <row r="427" spans="1:10" ht="11.25" customHeight="1" x14ac:dyDescent="0.2">
      <c r="A427" s="49">
        <v>44652</v>
      </c>
      <c r="B427" s="39">
        <v>0</v>
      </c>
      <c r="C427" s="39">
        <v>0</v>
      </c>
      <c r="D427" s="39">
        <v>35494.521479999996</v>
      </c>
      <c r="E427" s="39">
        <v>55080.930813473948</v>
      </c>
      <c r="F427" s="39">
        <v>0</v>
      </c>
      <c r="G427" s="39">
        <v>0</v>
      </c>
      <c r="H427" s="40">
        <v>0.55181499895724051</v>
      </c>
      <c r="I427" s="40">
        <v>0</v>
      </c>
      <c r="J427" s="40">
        <v>0.55181499895724051</v>
      </c>
    </row>
    <row r="428" spans="1:10" ht="11.25" customHeight="1" x14ac:dyDescent="0.2">
      <c r="A428" s="49">
        <v>44682</v>
      </c>
      <c r="B428" s="39">
        <v>0</v>
      </c>
      <c r="C428" s="39">
        <v>0</v>
      </c>
      <c r="D428" s="39">
        <v>36159.220780000003</v>
      </c>
      <c r="E428" s="39">
        <v>56112.421157010329</v>
      </c>
      <c r="F428" s="39">
        <v>0</v>
      </c>
      <c r="G428" s="39">
        <v>0</v>
      </c>
      <c r="H428" s="40">
        <v>0.55181499895724029</v>
      </c>
      <c r="I428" s="40">
        <v>0</v>
      </c>
      <c r="J428" s="40">
        <v>0.55181499895724029</v>
      </c>
    </row>
    <row r="429" spans="1:10" ht="11.25" customHeight="1" x14ac:dyDescent="0.2">
      <c r="A429" s="49">
        <v>44713</v>
      </c>
      <c r="B429" s="39">
        <v>0</v>
      </c>
      <c r="C429" s="39">
        <v>0</v>
      </c>
      <c r="D429" s="39">
        <v>36127.635279999995</v>
      </c>
      <c r="E429" s="39">
        <v>56063.40630436076</v>
      </c>
      <c r="F429" s="39">
        <v>0</v>
      </c>
      <c r="G429" s="39">
        <v>0</v>
      </c>
      <c r="H429" s="40">
        <v>0.55181499895724051</v>
      </c>
      <c r="I429" s="40">
        <v>0</v>
      </c>
      <c r="J429" s="40">
        <v>0.55181499895724051</v>
      </c>
    </row>
    <row r="430" spans="1:10" ht="11.25" customHeight="1" x14ac:dyDescent="0.2">
      <c r="A430" s="49">
        <v>44743</v>
      </c>
      <c r="B430" s="39">
        <v>0</v>
      </c>
      <c r="C430" s="39">
        <v>0</v>
      </c>
      <c r="D430" s="39">
        <v>36884.002720000004</v>
      </c>
      <c r="E430" s="39">
        <v>57237.148642475659</v>
      </c>
      <c r="F430" s="39">
        <v>0</v>
      </c>
      <c r="G430" s="39">
        <v>0</v>
      </c>
      <c r="H430" s="40">
        <v>0.55181499895724051</v>
      </c>
      <c r="I430" s="40">
        <v>0</v>
      </c>
      <c r="J430" s="40">
        <v>0.55181499895724051</v>
      </c>
    </row>
    <row r="431" spans="1:10" ht="11.25" customHeight="1" x14ac:dyDescent="0.2">
      <c r="A431" s="48" t="s">
        <v>25</v>
      </c>
      <c r="B431" s="39">
        <v>189597.366094734</v>
      </c>
      <c r="C431" s="39">
        <v>164283.49790718386</v>
      </c>
      <c r="D431" s="39">
        <v>0</v>
      </c>
      <c r="E431" s="39">
        <v>0</v>
      </c>
      <c r="F431" s="39">
        <v>0</v>
      </c>
      <c r="G431" s="39">
        <v>0</v>
      </c>
      <c r="H431" s="40">
        <v>-0.1335138177758326</v>
      </c>
      <c r="I431" s="40">
        <v>0</v>
      </c>
      <c r="J431" s="40">
        <v>-0.1335138177758326</v>
      </c>
    </row>
    <row r="432" spans="1:10" ht="11.25" customHeight="1" x14ac:dyDescent="0.2">
      <c r="A432" s="49">
        <v>44409</v>
      </c>
      <c r="B432" s="39">
        <v>14364.204617879999</v>
      </c>
      <c r="C432" s="39">
        <v>12446.384820033594</v>
      </c>
      <c r="D432" s="39">
        <v>0</v>
      </c>
      <c r="E432" s="39">
        <v>0</v>
      </c>
      <c r="F432" s="39">
        <v>0</v>
      </c>
      <c r="G432" s="39">
        <v>0</v>
      </c>
      <c r="H432" s="40">
        <v>-0.13351381777583271</v>
      </c>
      <c r="I432" s="40">
        <v>0</v>
      </c>
      <c r="J432" s="40">
        <v>-0.13351381777583271</v>
      </c>
    </row>
    <row r="433" spans="1:10" ht="11.25" customHeight="1" x14ac:dyDescent="0.2">
      <c r="A433" s="49">
        <v>44440</v>
      </c>
      <c r="B433" s="39">
        <v>14510.375527049999</v>
      </c>
      <c r="C433" s="39">
        <v>12573.039893072542</v>
      </c>
      <c r="D433" s="39">
        <v>0</v>
      </c>
      <c r="E433" s="39">
        <v>0</v>
      </c>
      <c r="F433" s="39">
        <v>0</v>
      </c>
      <c r="G433" s="39">
        <v>0</v>
      </c>
      <c r="H433" s="40">
        <v>-0.13351381777583271</v>
      </c>
      <c r="I433" s="40">
        <v>0</v>
      </c>
      <c r="J433" s="40">
        <v>-0.13351381777583271</v>
      </c>
    </row>
    <row r="434" spans="1:10" ht="11.25" customHeight="1" x14ac:dyDescent="0.2">
      <c r="A434" s="49">
        <v>44470</v>
      </c>
      <c r="B434" s="39">
        <v>14582.249227259999</v>
      </c>
      <c r="C434" s="39">
        <v>12635.31746116983</v>
      </c>
      <c r="D434" s="39">
        <v>0</v>
      </c>
      <c r="E434" s="39">
        <v>0</v>
      </c>
      <c r="F434" s="39">
        <v>0</v>
      </c>
      <c r="G434" s="39">
        <v>0</v>
      </c>
      <c r="H434" s="40">
        <v>-0.13351381777583271</v>
      </c>
      <c r="I434" s="40">
        <v>0</v>
      </c>
      <c r="J434" s="40">
        <v>-0.13351381777583271</v>
      </c>
    </row>
    <row r="435" spans="1:10" ht="11.25" customHeight="1" x14ac:dyDescent="0.2">
      <c r="A435" s="49">
        <v>44501</v>
      </c>
      <c r="B435" s="39">
        <v>14279.0941566171</v>
      </c>
      <c r="C435" s="39">
        <v>12372.637781386567</v>
      </c>
      <c r="D435" s="39">
        <v>0</v>
      </c>
      <c r="E435" s="39">
        <v>0</v>
      </c>
      <c r="F435" s="39">
        <v>0</v>
      </c>
      <c r="G435" s="39">
        <v>0</v>
      </c>
      <c r="H435" s="40">
        <v>-0.13351381777583271</v>
      </c>
      <c r="I435" s="40">
        <v>0</v>
      </c>
      <c r="J435" s="40">
        <v>-0.13351381777583271</v>
      </c>
    </row>
    <row r="436" spans="1:10" ht="11.25" customHeight="1" x14ac:dyDescent="0.2">
      <c r="A436" s="49">
        <v>44531</v>
      </c>
      <c r="B436" s="39">
        <v>16622.572874378402</v>
      </c>
      <c r="C436" s="39">
        <v>14403.229708663142</v>
      </c>
      <c r="D436" s="39">
        <v>0</v>
      </c>
      <c r="E436" s="39">
        <v>0</v>
      </c>
      <c r="F436" s="39">
        <v>0</v>
      </c>
      <c r="G436" s="39">
        <v>0</v>
      </c>
      <c r="H436" s="40">
        <v>-0.13351381777583282</v>
      </c>
      <c r="I436" s="40">
        <v>0</v>
      </c>
      <c r="J436" s="40">
        <v>-0.13351381777583282</v>
      </c>
    </row>
    <row r="437" spans="1:10" ht="11.25" customHeight="1" x14ac:dyDescent="0.2">
      <c r="A437" s="49">
        <v>44562</v>
      </c>
      <c r="B437" s="39">
        <v>16396.2975614364</v>
      </c>
      <c r="C437" s="39">
        <v>14207.165276620452</v>
      </c>
      <c r="D437" s="39">
        <v>0</v>
      </c>
      <c r="E437" s="39">
        <v>0</v>
      </c>
      <c r="F437" s="39">
        <v>0</v>
      </c>
      <c r="G437" s="39">
        <v>0</v>
      </c>
      <c r="H437" s="40">
        <v>-0.1335138177758326</v>
      </c>
      <c r="I437" s="40">
        <v>0</v>
      </c>
      <c r="J437" s="40">
        <v>-0.1335138177758326</v>
      </c>
    </row>
    <row r="438" spans="1:10" ht="11.25" customHeight="1" x14ac:dyDescent="0.2">
      <c r="A438" s="49">
        <v>44593</v>
      </c>
      <c r="B438" s="39">
        <v>16405.221124749598</v>
      </c>
      <c r="C438" s="39">
        <v>14214.89742092754</v>
      </c>
      <c r="D438" s="39">
        <v>0</v>
      </c>
      <c r="E438" s="39">
        <v>0</v>
      </c>
      <c r="F438" s="39">
        <v>0</v>
      </c>
      <c r="G438" s="39">
        <v>0</v>
      </c>
      <c r="H438" s="40">
        <v>-0.1335138177758326</v>
      </c>
      <c r="I438" s="40">
        <v>0</v>
      </c>
      <c r="J438" s="40">
        <v>-0.1335138177758326</v>
      </c>
    </row>
    <row r="439" spans="1:10" ht="11.25" customHeight="1" x14ac:dyDescent="0.2">
      <c r="A439" s="49">
        <v>44621</v>
      </c>
      <c r="B439" s="39">
        <v>16676.741803589099</v>
      </c>
      <c r="C439" s="39">
        <v>14450.166337330093</v>
      </c>
      <c r="D439" s="39">
        <v>0</v>
      </c>
      <c r="E439" s="39">
        <v>0</v>
      </c>
      <c r="F439" s="39">
        <v>0</v>
      </c>
      <c r="G439" s="39">
        <v>0</v>
      </c>
      <c r="H439" s="40">
        <v>-0.13351381777583271</v>
      </c>
      <c r="I439" s="40">
        <v>0</v>
      </c>
      <c r="J439" s="40">
        <v>-0.13351381777583271</v>
      </c>
    </row>
    <row r="440" spans="1:10" ht="11.25" customHeight="1" x14ac:dyDescent="0.2">
      <c r="A440" s="49">
        <v>44652</v>
      </c>
      <c r="B440" s="39">
        <v>16801.0524262332</v>
      </c>
      <c r="C440" s="39">
        <v>14557.87977415489</v>
      </c>
      <c r="D440" s="39">
        <v>0</v>
      </c>
      <c r="E440" s="39">
        <v>0</v>
      </c>
      <c r="F440" s="39">
        <v>0</v>
      </c>
      <c r="G440" s="39">
        <v>0</v>
      </c>
      <c r="H440" s="40">
        <v>-0.1335138177758326</v>
      </c>
      <c r="I440" s="40">
        <v>0</v>
      </c>
      <c r="J440" s="40">
        <v>-0.1335138177758326</v>
      </c>
    </row>
    <row r="441" spans="1:10" ht="11.25" customHeight="1" x14ac:dyDescent="0.2">
      <c r="A441" s="49">
        <v>44682</v>
      </c>
      <c r="B441" s="39">
        <v>16422.563328420601</v>
      </c>
      <c r="C441" s="39">
        <v>14229.924200777779</v>
      </c>
      <c r="D441" s="39">
        <v>0</v>
      </c>
      <c r="E441" s="39">
        <v>0</v>
      </c>
      <c r="F441" s="39">
        <v>0</v>
      </c>
      <c r="G441" s="39">
        <v>0</v>
      </c>
      <c r="H441" s="40">
        <v>-0.13351381777583282</v>
      </c>
      <c r="I441" s="40">
        <v>0</v>
      </c>
      <c r="J441" s="40">
        <v>-0.13351381777583282</v>
      </c>
    </row>
    <row r="442" spans="1:10" ht="11.25" customHeight="1" x14ac:dyDescent="0.2">
      <c r="A442" s="49">
        <v>44713</v>
      </c>
      <c r="B442" s="39">
        <v>16555.235501421899</v>
      </c>
      <c r="C442" s="39">
        <v>14344.88280544906</v>
      </c>
      <c r="D442" s="39">
        <v>0</v>
      </c>
      <c r="E442" s="39">
        <v>0</v>
      </c>
      <c r="F442" s="39">
        <v>0</v>
      </c>
      <c r="G442" s="39">
        <v>0</v>
      </c>
      <c r="H442" s="40">
        <v>-0.1335138177758326</v>
      </c>
      <c r="I442" s="40">
        <v>0</v>
      </c>
      <c r="J442" s="40">
        <v>-0.1335138177758326</v>
      </c>
    </row>
    <row r="443" spans="1:10" ht="11.25" customHeight="1" x14ac:dyDescent="0.2">
      <c r="A443" s="49">
        <v>44743</v>
      </c>
      <c r="B443" s="39">
        <v>15981.7579456977</v>
      </c>
      <c r="C443" s="39">
        <v>13847.972427598352</v>
      </c>
      <c r="D443" s="39">
        <v>0</v>
      </c>
      <c r="E443" s="39">
        <v>0</v>
      </c>
      <c r="F443" s="39">
        <v>0</v>
      </c>
      <c r="G443" s="39">
        <v>0</v>
      </c>
      <c r="H443" s="40">
        <v>-0.1335138177758326</v>
      </c>
      <c r="I443" s="40">
        <v>0</v>
      </c>
      <c r="J443" s="40">
        <v>-0.1335138177758326</v>
      </c>
    </row>
    <row r="444" spans="1:10" ht="11.25" customHeight="1" x14ac:dyDescent="0.2">
      <c r="A444" s="48" t="s">
        <v>36</v>
      </c>
      <c r="B444" s="39">
        <v>0</v>
      </c>
      <c r="C444" s="39">
        <v>0</v>
      </c>
      <c r="D444" s="39">
        <v>430602.87607168377</v>
      </c>
      <c r="E444" s="39">
        <v>389233.64832714142</v>
      </c>
      <c r="F444" s="39">
        <v>0</v>
      </c>
      <c r="G444" s="39">
        <v>0</v>
      </c>
      <c r="H444" s="40">
        <v>-9.6072808714021463E-2</v>
      </c>
      <c r="I444" s="40">
        <v>0</v>
      </c>
      <c r="J444" s="40">
        <v>-9.6072808714021463E-2</v>
      </c>
    </row>
    <row r="445" spans="1:10" ht="11.25" customHeight="1" x14ac:dyDescent="0.2">
      <c r="A445" s="49">
        <v>44409</v>
      </c>
      <c r="B445" s="39">
        <v>0</v>
      </c>
      <c r="C445" s="39">
        <v>0</v>
      </c>
      <c r="D445" s="39">
        <v>30081.019281533991</v>
      </c>
      <c r="E445" s="39">
        <v>27191.051270176387</v>
      </c>
      <c r="F445" s="39">
        <v>0</v>
      </c>
      <c r="G445" s="39">
        <v>0</v>
      </c>
      <c r="H445" s="40">
        <v>-9.6072808714021352E-2</v>
      </c>
      <c r="I445" s="40">
        <v>0</v>
      </c>
      <c r="J445" s="40">
        <v>-9.6072808714021352E-2</v>
      </c>
    </row>
    <row r="446" spans="1:10" ht="11.25" customHeight="1" x14ac:dyDescent="0.2">
      <c r="A446" s="49">
        <v>44440</v>
      </c>
      <c r="B446" s="39">
        <v>0</v>
      </c>
      <c r="C446" s="39">
        <v>0</v>
      </c>
      <c r="D446" s="39">
        <v>27898.2877368384</v>
      </c>
      <c r="E446" s="39">
        <v>25218.020875648395</v>
      </c>
      <c r="F446" s="39">
        <v>0</v>
      </c>
      <c r="G446" s="39">
        <v>0</v>
      </c>
      <c r="H446" s="40">
        <v>-9.6072808714021352E-2</v>
      </c>
      <c r="I446" s="40">
        <v>0</v>
      </c>
      <c r="J446" s="40">
        <v>-9.6072808714021352E-2</v>
      </c>
    </row>
    <row r="447" spans="1:10" ht="11.25" customHeight="1" x14ac:dyDescent="0.2">
      <c r="A447" s="49">
        <v>44470</v>
      </c>
      <c r="B447" s="39">
        <v>0</v>
      </c>
      <c r="C447" s="39">
        <v>0</v>
      </c>
      <c r="D447" s="39">
        <v>28259.618601874627</v>
      </c>
      <c r="E447" s="39">
        <v>25544.637669605523</v>
      </c>
      <c r="F447" s="39">
        <v>0</v>
      </c>
      <c r="G447" s="39">
        <v>0</v>
      </c>
      <c r="H447" s="40">
        <v>-9.6072808714021463E-2</v>
      </c>
      <c r="I447" s="40">
        <v>0</v>
      </c>
      <c r="J447" s="40">
        <v>-9.6072808714021463E-2</v>
      </c>
    </row>
    <row r="448" spans="1:10" ht="11.25" customHeight="1" x14ac:dyDescent="0.2">
      <c r="A448" s="49">
        <v>44501</v>
      </c>
      <c r="B448" s="39">
        <v>0</v>
      </c>
      <c r="C448" s="39">
        <v>0</v>
      </c>
      <c r="D448" s="39">
        <v>34108.467468904433</v>
      </c>
      <c r="E448" s="39">
        <v>30831.571198235953</v>
      </c>
      <c r="F448" s="39">
        <v>0</v>
      </c>
      <c r="G448" s="39">
        <v>0</v>
      </c>
      <c r="H448" s="40">
        <v>-9.6072808714021463E-2</v>
      </c>
      <c r="I448" s="40">
        <v>0</v>
      </c>
      <c r="J448" s="40">
        <v>-9.6072808714021463E-2</v>
      </c>
    </row>
    <row r="449" spans="1:10" ht="11.25" customHeight="1" x14ac:dyDescent="0.2">
      <c r="A449" s="49">
        <v>44531</v>
      </c>
      <c r="B449" s="39">
        <v>0</v>
      </c>
      <c r="C449" s="39">
        <v>0</v>
      </c>
      <c r="D449" s="39">
        <v>40796.6339317089</v>
      </c>
      <c r="E449" s="39">
        <v>36877.186723811879</v>
      </c>
      <c r="F449" s="39">
        <v>0</v>
      </c>
      <c r="G449" s="39">
        <v>0</v>
      </c>
      <c r="H449" s="40">
        <v>-9.6072808714021352E-2</v>
      </c>
      <c r="I449" s="40">
        <v>0</v>
      </c>
      <c r="J449" s="40">
        <v>-9.6072808714021352E-2</v>
      </c>
    </row>
    <row r="450" spans="1:10" ht="11.25" customHeight="1" x14ac:dyDescent="0.2">
      <c r="A450" s="49">
        <v>44562</v>
      </c>
      <c r="B450" s="39">
        <v>0</v>
      </c>
      <c r="C450" s="39">
        <v>0</v>
      </c>
      <c r="D450" s="39">
        <v>39501.746175691173</v>
      </c>
      <c r="E450" s="39">
        <v>35706.702471484168</v>
      </c>
      <c r="F450" s="39">
        <v>0</v>
      </c>
      <c r="G450" s="39">
        <v>0</v>
      </c>
      <c r="H450" s="40">
        <v>-9.6072808714021352E-2</v>
      </c>
      <c r="I450" s="40">
        <v>0</v>
      </c>
      <c r="J450" s="40">
        <v>-9.6072808714021352E-2</v>
      </c>
    </row>
    <row r="451" spans="1:10" ht="11.25" customHeight="1" x14ac:dyDescent="0.2">
      <c r="A451" s="49">
        <v>44593</v>
      </c>
      <c r="B451" s="39">
        <v>0</v>
      </c>
      <c r="C451" s="39">
        <v>0</v>
      </c>
      <c r="D451" s="39">
        <v>39398.537252474227</v>
      </c>
      <c r="E451" s="39">
        <v>35613.409119405027</v>
      </c>
      <c r="F451" s="39">
        <v>0</v>
      </c>
      <c r="G451" s="39">
        <v>0</v>
      </c>
      <c r="H451" s="40">
        <v>-9.6072808714021352E-2</v>
      </c>
      <c r="I451" s="40">
        <v>0</v>
      </c>
      <c r="J451" s="40">
        <v>-9.6072808714021352E-2</v>
      </c>
    </row>
    <row r="452" spans="1:10" ht="11.25" customHeight="1" x14ac:dyDescent="0.2">
      <c r="A452" s="49">
        <v>44621</v>
      </c>
      <c r="B452" s="39">
        <v>0</v>
      </c>
      <c r="C452" s="39">
        <v>0</v>
      </c>
      <c r="D452" s="39">
        <v>43032.36728783587</v>
      </c>
      <c r="E452" s="39">
        <v>38898.126896880101</v>
      </c>
      <c r="F452" s="39">
        <v>0</v>
      </c>
      <c r="G452" s="39">
        <v>0</v>
      </c>
      <c r="H452" s="40">
        <v>-9.6072808714021463E-2</v>
      </c>
      <c r="I452" s="40">
        <v>0</v>
      </c>
      <c r="J452" s="40">
        <v>-9.6072808714021463E-2</v>
      </c>
    </row>
    <row r="453" spans="1:10" ht="11.25" customHeight="1" x14ac:dyDescent="0.2">
      <c r="A453" s="49">
        <v>44652</v>
      </c>
      <c r="B453" s="39">
        <v>0</v>
      </c>
      <c r="C453" s="39">
        <v>0</v>
      </c>
      <c r="D453" s="39">
        <v>35948.219620764939</v>
      </c>
      <c r="E453" s="39">
        <v>32494.573193529555</v>
      </c>
      <c r="F453" s="39">
        <v>0</v>
      </c>
      <c r="G453" s="39">
        <v>0</v>
      </c>
      <c r="H453" s="40">
        <v>-9.6072808714021463E-2</v>
      </c>
      <c r="I453" s="40">
        <v>0</v>
      </c>
      <c r="J453" s="40">
        <v>-9.6072808714021463E-2</v>
      </c>
    </row>
    <row r="454" spans="1:10" ht="11.25" customHeight="1" x14ac:dyDescent="0.2">
      <c r="A454" s="49">
        <v>44682</v>
      </c>
      <c r="B454" s="39">
        <v>0</v>
      </c>
      <c r="C454" s="39">
        <v>0</v>
      </c>
      <c r="D454" s="39">
        <v>36560.132237199723</v>
      </c>
      <c r="E454" s="39">
        <v>33047.697646215907</v>
      </c>
      <c r="F454" s="39">
        <v>0</v>
      </c>
      <c r="G454" s="39">
        <v>0</v>
      </c>
      <c r="H454" s="40">
        <v>-9.6072808714021352E-2</v>
      </c>
      <c r="I454" s="40">
        <v>0</v>
      </c>
      <c r="J454" s="40">
        <v>-9.6072808714021352E-2</v>
      </c>
    </row>
    <row r="455" spans="1:10" ht="11.25" customHeight="1" x14ac:dyDescent="0.2">
      <c r="A455" s="49">
        <v>44713</v>
      </c>
      <c r="B455" s="39">
        <v>0</v>
      </c>
      <c r="C455" s="39">
        <v>0</v>
      </c>
      <c r="D455" s="39">
        <v>38561.563394270437</v>
      </c>
      <c r="E455" s="39">
        <v>34856.845690579088</v>
      </c>
      <c r="F455" s="39">
        <v>0</v>
      </c>
      <c r="G455" s="39">
        <v>0</v>
      </c>
      <c r="H455" s="40">
        <v>-9.6072808714021241E-2</v>
      </c>
      <c r="I455" s="40">
        <v>0</v>
      </c>
      <c r="J455" s="40">
        <v>-9.6072808714021241E-2</v>
      </c>
    </row>
    <row r="456" spans="1:10" ht="11.25" customHeight="1" x14ac:dyDescent="0.2">
      <c r="A456" s="49">
        <v>44743</v>
      </c>
      <c r="B456" s="39">
        <v>0</v>
      </c>
      <c r="C456" s="39">
        <v>0</v>
      </c>
      <c r="D456" s="39">
        <v>36456.283082587062</v>
      </c>
      <c r="E456" s="39">
        <v>32953.825571569461</v>
      </c>
      <c r="F456" s="39">
        <v>0</v>
      </c>
      <c r="G456" s="39">
        <v>0</v>
      </c>
      <c r="H456" s="40">
        <v>-9.6072808714021352E-2</v>
      </c>
      <c r="I456" s="40">
        <v>0</v>
      </c>
      <c r="J456" s="40">
        <v>-9.6072808714021352E-2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2F09-BEBE-46E8-B253-5A09F25B3214}">
  <sheetPr codeName="Planilha20"/>
  <dimension ref="A1:G164"/>
  <sheetViews>
    <sheetView showGridLines="0" workbookViewId="0"/>
  </sheetViews>
  <sheetFormatPr defaultColWidth="9.140625" defaultRowHeight="11.25" customHeight="1" x14ac:dyDescent="0.2"/>
  <cols>
    <col min="1" max="1" width="34.7109375" style="14" bestFit="1" customWidth="1"/>
    <col min="2" max="2" width="20.42578125" style="39" bestFit="1" customWidth="1"/>
    <col min="3" max="3" width="21.85546875" style="39" bestFit="1" customWidth="1"/>
    <col min="4" max="4" width="20.28515625" style="39" bestFit="1" customWidth="1"/>
    <col min="5" max="5" width="21.7109375" style="39" bestFit="1" customWidth="1"/>
    <col min="6" max="6" width="14.85546875" style="39" bestFit="1" customWidth="1"/>
    <col min="7" max="7" width="14.7109375" style="39" bestFit="1" customWidth="1"/>
    <col min="8" max="16384" width="9.140625" style="14"/>
  </cols>
  <sheetData>
    <row r="1" spans="1:7" ht="11.25" customHeight="1" x14ac:dyDescent="0.2">
      <c r="A1" s="38" t="s">
        <v>605</v>
      </c>
      <c r="B1" s="39" t="s">
        <v>630</v>
      </c>
      <c r="C1" s="39" t="s">
        <v>631</v>
      </c>
      <c r="D1" s="39" t="s">
        <v>632</v>
      </c>
      <c r="E1" s="39" t="s">
        <v>633</v>
      </c>
      <c r="F1" s="39" t="s">
        <v>634</v>
      </c>
      <c r="G1" s="39" t="s">
        <v>635</v>
      </c>
    </row>
    <row r="2" spans="1:7" ht="11.25" customHeight="1" x14ac:dyDescent="0.2">
      <c r="A2" s="41" t="s">
        <v>623</v>
      </c>
      <c r="B2" s="39">
        <v>0</v>
      </c>
      <c r="C2" s="39">
        <v>456.66870360000036</v>
      </c>
      <c r="D2" s="39">
        <v>0</v>
      </c>
      <c r="E2" s="39">
        <v>492.39771391632701</v>
      </c>
      <c r="F2" s="39">
        <v>456.66870360000036</v>
      </c>
      <c r="G2" s="39">
        <v>492.39771391632701</v>
      </c>
    </row>
    <row r="3" spans="1:7" ht="11.25" customHeight="1" x14ac:dyDescent="0.2">
      <c r="A3" s="42" t="s">
        <v>32</v>
      </c>
      <c r="B3" s="39">
        <v>0</v>
      </c>
      <c r="C3" s="39">
        <v>456.66870360000036</v>
      </c>
      <c r="D3" s="39">
        <v>0</v>
      </c>
      <c r="E3" s="39">
        <v>492.39771391632701</v>
      </c>
      <c r="F3" s="39">
        <v>456.66870360000036</v>
      </c>
      <c r="G3" s="39">
        <v>492.39771391632701</v>
      </c>
    </row>
    <row r="4" spans="1:7" ht="11.25" customHeight="1" x14ac:dyDescent="0.2">
      <c r="A4" s="43" t="s">
        <v>23</v>
      </c>
      <c r="B4" s="39">
        <v>0</v>
      </c>
      <c r="C4" s="39">
        <v>456.66870360000036</v>
      </c>
      <c r="D4" s="39">
        <v>0</v>
      </c>
      <c r="E4" s="39">
        <v>492.39771391632701</v>
      </c>
      <c r="F4" s="39">
        <v>456.66870360000036</v>
      </c>
      <c r="G4" s="39">
        <v>492.39771391632701</v>
      </c>
    </row>
    <row r="5" spans="1:7" ht="11.25" customHeight="1" x14ac:dyDescent="0.2">
      <c r="A5" s="44" t="s">
        <v>47</v>
      </c>
      <c r="B5" s="39">
        <v>0</v>
      </c>
      <c r="C5" s="39">
        <v>456.66870360000036</v>
      </c>
      <c r="D5" s="39">
        <v>0</v>
      </c>
      <c r="E5" s="39">
        <v>492.39771391632701</v>
      </c>
      <c r="F5" s="39">
        <v>456.66870360000036</v>
      </c>
      <c r="G5" s="39">
        <v>492.39771391632701</v>
      </c>
    </row>
    <row r="6" spans="1:7" ht="11.25" customHeight="1" x14ac:dyDescent="0.2">
      <c r="A6" s="45" t="s">
        <v>48</v>
      </c>
      <c r="B6" s="39">
        <v>0</v>
      </c>
      <c r="C6" s="39">
        <v>456.66870360000036</v>
      </c>
      <c r="D6" s="39">
        <v>0</v>
      </c>
      <c r="E6" s="39">
        <v>492.39771391632701</v>
      </c>
      <c r="F6" s="39">
        <v>456.66870360000036</v>
      </c>
      <c r="G6" s="39">
        <v>492.39771391632701</v>
      </c>
    </row>
    <row r="7" spans="1:7" ht="11.25" customHeight="1" x14ac:dyDescent="0.2">
      <c r="A7" s="46" t="s">
        <v>25</v>
      </c>
      <c r="B7" s="39">
        <v>0</v>
      </c>
      <c r="C7" s="39">
        <v>456.66870360000036</v>
      </c>
      <c r="D7" s="39">
        <v>0</v>
      </c>
      <c r="E7" s="39">
        <v>492.39771391632701</v>
      </c>
      <c r="F7" s="39">
        <v>456.66870360000036</v>
      </c>
      <c r="G7" s="39">
        <v>492.39771391632701</v>
      </c>
    </row>
    <row r="8" spans="1:7" ht="11.25" customHeight="1" x14ac:dyDescent="0.2">
      <c r="A8" s="47" t="s">
        <v>25</v>
      </c>
      <c r="B8" s="39">
        <v>0</v>
      </c>
      <c r="C8" s="39">
        <v>456.66870360000036</v>
      </c>
      <c r="D8" s="39">
        <v>0</v>
      </c>
      <c r="E8" s="39">
        <v>492.39771391632701</v>
      </c>
      <c r="F8" s="39">
        <v>456.66870360000036</v>
      </c>
      <c r="G8" s="39">
        <v>492.39771391632701</v>
      </c>
    </row>
    <row r="9" spans="1:7" ht="11.25" customHeight="1" x14ac:dyDescent="0.2">
      <c r="A9" s="48" t="s">
        <v>25</v>
      </c>
      <c r="B9" s="39">
        <v>0</v>
      </c>
      <c r="C9" s="39">
        <v>456.66870360000036</v>
      </c>
      <c r="D9" s="39">
        <v>0</v>
      </c>
      <c r="E9" s="39">
        <v>492.39771391632701</v>
      </c>
      <c r="F9" s="39">
        <v>456.66870360000036</v>
      </c>
      <c r="G9" s="39">
        <v>492.39771391632701</v>
      </c>
    </row>
    <row r="10" spans="1:7" ht="11.25" customHeight="1" x14ac:dyDescent="0.2">
      <c r="A10" s="49">
        <v>44409</v>
      </c>
      <c r="B10" s="39">
        <v>0</v>
      </c>
      <c r="C10" s="39">
        <v>39.973191600000057</v>
      </c>
      <c r="D10" s="39">
        <v>0</v>
      </c>
      <c r="E10" s="39">
        <v>43.100628544538033</v>
      </c>
      <c r="F10" s="39">
        <v>39.973191600000057</v>
      </c>
      <c r="G10" s="39">
        <v>43.100628544538033</v>
      </c>
    </row>
    <row r="11" spans="1:7" ht="11.25" customHeight="1" x14ac:dyDescent="0.2">
      <c r="A11" s="49">
        <v>44440</v>
      </c>
      <c r="B11" s="39">
        <v>0</v>
      </c>
      <c r="C11" s="39">
        <v>40.538644800000057</v>
      </c>
      <c r="D11" s="39">
        <v>0</v>
      </c>
      <c r="E11" s="39">
        <v>43.71032187541833</v>
      </c>
      <c r="F11" s="39">
        <v>40.538644800000057</v>
      </c>
      <c r="G11" s="39">
        <v>43.71032187541833</v>
      </c>
    </row>
    <row r="12" spans="1:7" ht="11.25" customHeight="1" x14ac:dyDescent="0.2">
      <c r="A12" s="49">
        <v>44470</v>
      </c>
      <c r="B12" s="39">
        <v>0</v>
      </c>
      <c r="C12" s="39">
        <v>52.761133200000046</v>
      </c>
      <c r="D12" s="39">
        <v>0</v>
      </c>
      <c r="E12" s="39">
        <v>56.889077719830915</v>
      </c>
      <c r="F12" s="39">
        <v>52.761133200000046</v>
      </c>
      <c r="G12" s="39">
        <v>56.889077719830915</v>
      </c>
    </row>
    <row r="13" spans="1:7" ht="11.25" customHeight="1" x14ac:dyDescent="0.2">
      <c r="A13" s="49">
        <v>44501</v>
      </c>
      <c r="B13" s="39">
        <v>0</v>
      </c>
      <c r="C13" s="39">
        <v>49.629392399999972</v>
      </c>
      <c r="D13" s="39">
        <v>0</v>
      </c>
      <c r="E13" s="39">
        <v>53.5123146564938</v>
      </c>
      <c r="F13" s="39">
        <v>49.629392399999972</v>
      </c>
      <c r="G13" s="39">
        <v>53.5123146564938</v>
      </c>
    </row>
    <row r="14" spans="1:7" ht="11.25" customHeight="1" x14ac:dyDescent="0.2">
      <c r="A14" s="49">
        <v>44531</v>
      </c>
      <c r="B14" s="39">
        <v>0</v>
      </c>
      <c r="C14" s="39">
        <v>37.798371600000053</v>
      </c>
      <c r="D14" s="39">
        <v>0</v>
      </c>
      <c r="E14" s="39">
        <v>40.755654194998428</v>
      </c>
      <c r="F14" s="39">
        <v>37.798371600000053</v>
      </c>
      <c r="G14" s="39">
        <v>40.755654194998428</v>
      </c>
    </row>
    <row r="15" spans="1:7" ht="11.25" customHeight="1" x14ac:dyDescent="0.2">
      <c r="A15" s="49">
        <v>44562</v>
      </c>
      <c r="B15" s="39">
        <v>0</v>
      </c>
      <c r="C15" s="39">
        <v>30.056012400000036</v>
      </c>
      <c r="D15" s="39">
        <v>0</v>
      </c>
      <c r="E15" s="39">
        <v>32.407545510637405</v>
      </c>
      <c r="F15" s="39">
        <v>30.056012400000036</v>
      </c>
      <c r="G15" s="39">
        <v>32.407545510637405</v>
      </c>
    </row>
    <row r="16" spans="1:7" ht="11.25" customHeight="1" x14ac:dyDescent="0.2">
      <c r="A16" s="49">
        <v>44593</v>
      </c>
      <c r="B16" s="39">
        <v>0</v>
      </c>
      <c r="C16" s="39">
        <v>38.40732120000002</v>
      </c>
      <c r="D16" s="39">
        <v>0</v>
      </c>
      <c r="E16" s="39">
        <v>41.412247012869479</v>
      </c>
      <c r="F16" s="39">
        <v>38.40732120000002</v>
      </c>
      <c r="G16" s="39">
        <v>41.412247012869479</v>
      </c>
    </row>
    <row r="17" spans="1:7" ht="11.25" customHeight="1" x14ac:dyDescent="0.2">
      <c r="A17" s="49">
        <v>44621</v>
      </c>
      <c r="B17" s="39">
        <v>0</v>
      </c>
      <c r="C17" s="39">
        <v>30.925940400000023</v>
      </c>
      <c r="D17" s="39">
        <v>0</v>
      </c>
      <c r="E17" s="39">
        <v>33.345535250453239</v>
      </c>
      <c r="F17" s="39">
        <v>30.925940400000023</v>
      </c>
      <c r="G17" s="39">
        <v>33.345535250453239</v>
      </c>
    </row>
    <row r="18" spans="1:7" ht="11.25" customHeight="1" x14ac:dyDescent="0.2">
      <c r="A18" s="49">
        <v>44652</v>
      </c>
      <c r="B18" s="39">
        <v>0</v>
      </c>
      <c r="C18" s="39">
        <v>34.536141600000008</v>
      </c>
      <c r="D18" s="39">
        <v>0</v>
      </c>
      <c r="E18" s="39">
        <v>37.238192670688967</v>
      </c>
      <c r="F18" s="39">
        <v>34.536141600000008</v>
      </c>
      <c r="G18" s="39">
        <v>37.238192670688967</v>
      </c>
    </row>
    <row r="19" spans="1:7" ht="11.25" customHeight="1" x14ac:dyDescent="0.2">
      <c r="A19" s="49">
        <v>44682</v>
      </c>
      <c r="B19" s="39">
        <v>0</v>
      </c>
      <c r="C19" s="39">
        <v>29.403566400000031</v>
      </c>
      <c r="D19" s="39">
        <v>0</v>
      </c>
      <c r="E19" s="39">
        <v>31.704053205775516</v>
      </c>
      <c r="F19" s="39">
        <v>29.403566400000031</v>
      </c>
      <c r="G19" s="39">
        <v>31.704053205775516</v>
      </c>
    </row>
    <row r="20" spans="1:7" ht="11.25" customHeight="1" x14ac:dyDescent="0.2">
      <c r="A20" s="49">
        <v>44713</v>
      </c>
      <c r="B20" s="39">
        <v>0</v>
      </c>
      <c r="C20" s="39">
        <v>36.580472400000048</v>
      </c>
      <c r="D20" s="39">
        <v>0</v>
      </c>
      <c r="E20" s="39">
        <v>39.442468559256234</v>
      </c>
      <c r="F20" s="39">
        <v>36.580472400000048</v>
      </c>
      <c r="G20" s="39">
        <v>39.442468559256234</v>
      </c>
    </row>
    <row r="21" spans="1:7" ht="11.25" customHeight="1" x14ac:dyDescent="0.2">
      <c r="A21" s="49">
        <v>44743</v>
      </c>
      <c r="B21" s="39">
        <v>0</v>
      </c>
      <c r="C21" s="39">
        <v>36.058515600000007</v>
      </c>
      <c r="D21" s="39">
        <v>0</v>
      </c>
      <c r="E21" s="39">
        <v>38.87967471536669</v>
      </c>
      <c r="F21" s="39">
        <v>36.058515600000007</v>
      </c>
      <c r="G21" s="39">
        <v>38.87967471536669</v>
      </c>
    </row>
    <row r="22" spans="1:7" ht="11.25" customHeight="1" x14ac:dyDescent="0.2">
      <c r="A22" s="41" t="s">
        <v>621</v>
      </c>
      <c r="B22" s="39">
        <v>0</v>
      </c>
      <c r="C22" s="39">
        <v>145264.88749000002</v>
      </c>
      <c r="D22" s="39">
        <v>0</v>
      </c>
      <c r="E22" s="39">
        <v>147013.55057460081</v>
      </c>
      <c r="F22" s="39">
        <v>145264.88749000002</v>
      </c>
      <c r="G22" s="39">
        <v>147013.55057460081</v>
      </c>
    </row>
    <row r="23" spans="1:7" ht="11.25" customHeight="1" x14ac:dyDescent="0.2">
      <c r="A23" s="42" t="s">
        <v>22</v>
      </c>
      <c r="B23" s="39">
        <v>0</v>
      </c>
      <c r="C23" s="39">
        <v>145264.88749000002</v>
      </c>
      <c r="D23" s="39">
        <v>0</v>
      </c>
      <c r="E23" s="39">
        <v>147013.55057460081</v>
      </c>
      <c r="F23" s="39">
        <v>145264.88749000002</v>
      </c>
      <c r="G23" s="39">
        <v>147013.55057460081</v>
      </c>
    </row>
    <row r="24" spans="1:7" ht="11.25" customHeight="1" x14ac:dyDescent="0.2">
      <c r="A24" s="43" t="s">
        <v>23</v>
      </c>
      <c r="B24" s="39">
        <v>0</v>
      </c>
      <c r="C24" s="39">
        <v>145264.88749000002</v>
      </c>
      <c r="D24" s="39">
        <v>0</v>
      </c>
      <c r="E24" s="39">
        <v>147013.55057460081</v>
      </c>
      <c r="F24" s="39">
        <v>145264.88749000002</v>
      </c>
      <c r="G24" s="39">
        <v>147013.55057460081</v>
      </c>
    </row>
    <row r="25" spans="1:7" ht="11.25" customHeight="1" x14ac:dyDescent="0.2">
      <c r="A25" s="44" t="s">
        <v>24</v>
      </c>
      <c r="B25" s="39">
        <v>0</v>
      </c>
      <c r="C25" s="39">
        <v>145264.88749000002</v>
      </c>
      <c r="D25" s="39">
        <v>0</v>
      </c>
      <c r="E25" s="39">
        <v>147013.55057460081</v>
      </c>
      <c r="F25" s="39">
        <v>145264.88749000002</v>
      </c>
      <c r="G25" s="39">
        <v>147013.55057460081</v>
      </c>
    </row>
    <row r="26" spans="1:7" ht="11.25" customHeight="1" x14ac:dyDescent="0.2">
      <c r="A26" s="45" t="s">
        <v>28</v>
      </c>
      <c r="B26" s="39">
        <v>0</v>
      </c>
      <c r="C26" s="39">
        <v>53828.176800000001</v>
      </c>
      <c r="D26" s="39">
        <v>0</v>
      </c>
      <c r="E26" s="39">
        <v>54476.737534761472</v>
      </c>
      <c r="F26" s="39">
        <v>53828.176800000001</v>
      </c>
      <c r="G26" s="39">
        <v>54476.737534761472</v>
      </c>
    </row>
    <row r="27" spans="1:7" ht="11.25" customHeight="1" x14ac:dyDescent="0.2">
      <c r="A27" s="46" t="s">
        <v>25</v>
      </c>
      <c r="B27" s="39">
        <v>0</v>
      </c>
      <c r="C27" s="39">
        <v>53828.176800000001</v>
      </c>
      <c r="D27" s="39">
        <v>0</v>
      </c>
      <c r="E27" s="39">
        <v>54476.737534761472</v>
      </c>
      <c r="F27" s="39">
        <v>53828.176800000001</v>
      </c>
      <c r="G27" s="39">
        <v>54476.737534761472</v>
      </c>
    </row>
    <row r="28" spans="1:7" ht="11.25" customHeight="1" x14ac:dyDescent="0.2">
      <c r="A28" s="47" t="s">
        <v>25</v>
      </c>
      <c r="B28" s="39">
        <v>0</v>
      </c>
      <c r="C28" s="39">
        <v>53828.176800000001</v>
      </c>
      <c r="D28" s="39">
        <v>0</v>
      </c>
      <c r="E28" s="39">
        <v>54476.737534761472</v>
      </c>
      <c r="F28" s="39">
        <v>53828.176800000001</v>
      </c>
      <c r="G28" s="39">
        <v>54476.737534761472</v>
      </c>
    </row>
    <row r="29" spans="1:7" ht="11.25" customHeight="1" x14ac:dyDescent="0.2">
      <c r="A29" s="48" t="s">
        <v>25</v>
      </c>
      <c r="B29" s="39">
        <v>0</v>
      </c>
      <c r="C29" s="39">
        <v>53828.176800000001</v>
      </c>
      <c r="D29" s="39">
        <v>0</v>
      </c>
      <c r="E29" s="39">
        <v>54476.737534761472</v>
      </c>
      <c r="F29" s="39">
        <v>53828.176800000001</v>
      </c>
      <c r="G29" s="39">
        <v>54476.737534761472</v>
      </c>
    </row>
    <row r="30" spans="1:7" ht="11.25" customHeight="1" x14ac:dyDescent="0.2">
      <c r="A30" s="49">
        <v>44409</v>
      </c>
      <c r="B30" s="39">
        <v>0</v>
      </c>
      <c r="C30" s="39">
        <v>4436.0400000000009</v>
      </c>
      <c r="D30" s="39">
        <v>0</v>
      </c>
      <c r="E30" s="39">
        <v>4489.4886124715122</v>
      </c>
      <c r="F30" s="39">
        <v>4436.0400000000009</v>
      </c>
      <c r="G30" s="39">
        <v>4489.4886124715122</v>
      </c>
    </row>
    <row r="31" spans="1:7" ht="11.25" customHeight="1" x14ac:dyDescent="0.2">
      <c r="A31" s="49">
        <v>44440</v>
      </c>
      <c r="B31" s="39">
        <v>0</v>
      </c>
      <c r="C31" s="39">
        <v>4372.6680000000006</v>
      </c>
      <c r="D31" s="39">
        <v>0</v>
      </c>
      <c r="E31" s="39">
        <v>4425.3530608647761</v>
      </c>
      <c r="F31" s="39">
        <v>4372.6680000000006</v>
      </c>
      <c r="G31" s="39">
        <v>4425.3530608647761</v>
      </c>
    </row>
    <row r="32" spans="1:7" ht="11.25" customHeight="1" x14ac:dyDescent="0.2">
      <c r="A32" s="49">
        <v>44470</v>
      </c>
      <c r="B32" s="39">
        <v>0</v>
      </c>
      <c r="C32" s="39">
        <v>4385.3424000000014</v>
      </c>
      <c r="D32" s="39">
        <v>0</v>
      </c>
      <c r="E32" s="39">
        <v>4438.1801711861235</v>
      </c>
      <c r="F32" s="39">
        <v>4385.3424000000014</v>
      </c>
      <c r="G32" s="39">
        <v>4438.1801711861235</v>
      </c>
    </row>
    <row r="33" spans="1:7" ht="11.25" customHeight="1" x14ac:dyDescent="0.2">
      <c r="A33" s="49">
        <v>44501</v>
      </c>
      <c r="B33" s="39">
        <v>0</v>
      </c>
      <c r="C33" s="39">
        <v>4474.0632000000005</v>
      </c>
      <c r="D33" s="39">
        <v>0</v>
      </c>
      <c r="E33" s="39">
        <v>4527.9699434355534</v>
      </c>
      <c r="F33" s="39">
        <v>4474.0632000000005</v>
      </c>
      <c r="G33" s="39">
        <v>4527.9699434355534</v>
      </c>
    </row>
    <row r="34" spans="1:7" ht="11.25" customHeight="1" x14ac:dyDescent="0.2">
      <c r="A34" s="49">
        <v>44531</v>
      </c>
      <c r="B34" s="39">
        <v>0</v>
      </c>
      <c r="C34" s="39">
        <v>4537.4352000000008</v>
      </c>
      <c r="D34" s="39">
        <v>0</v>
      </c>
      <c r="E34" s="39">
        <v>4592.1054950422895</v>
      </c>
      <c r="F34" s="39">
        <v>4537.4352000000008</v>
      </c>
      <c r="G34" s="39">
        <v>4592.1054950422895</v>
      </c>
    </row>
    <row r="35" spans="1:7" ht="11.25" customHeight="1" x14ac:dyDescent="0.2">
      <c r="A35" s="49">
        <v>44562</v>
      </c>
      <c r="B35" s="39">
        <v>0</v>
      </c>
      <c r="C35" s="39">
        <v>4562.7840000000015</v>
      </c>
      <c r="D35" s="39">
        <v>0</v>
      </c>
      <c r="E35" s="39">
        <v>4617.7597156849843</v>
      </c>
      <c r="F35" s="39">
        <v>4562.7840000000015</v>
      </c>
      <c r="G35" s="39">
        <v>4617.7597156849843</v>
      </c>
    </row>
    <row r="36" spans="1:7" ht="11.25" customHeight="1" x14ac:dyDescent="0.2">
      <c r="A36" s="49">
        <v>44593</v>
      </c>
      <c r="B36" s="39">
        <v>0</v>
      </c>
      <c r="C36" s="39">
        <v>4562.7840000000015</v>
      </c>
      <c r="D36" s="39">
        <v>0</v>
      </c>
      <c r="E36" s="39">
        <v>4617.7597156849843</v>
      </c>
      <c r="F36" s="39">
        <v>4562.7840000000015</v>
      </c>
      <c r="G36" s="39">
        <v>4617.7597156849843</v>
      </c>
    </row>
    <row r="37" spans="1:7" ht="11.25" customHeight="1" x14ac:dyDescent="0.2">
      <c r="A37" s="49">
        <v>44621</v>
      </c>
      <c r="B37" s="39">
        <v>0</v>
      </c>
      <c r="C37" s="39">
        <v>4613.481600000001</v>
      </c>
      <c r="D37" s="39">
        <v>0</v>
      </c>
      <c r="E37" s="39">
        <v>4669.068156970372</v>
      </c>
      <c r="F37" s="39">
        <v>4613.481600000001</v>
      </c>
      <c r="G37" s="39">
        <v>4669.068156970372</v>
      </c>
    </row>
    <row r="38" spans="1:7" ht="11.25" customHeight="1" x14ac:dyDescent="0.2">
      <c r="A38" s="49">
        <v>44652</v>
      </c>
      <c r="B38" s="39">
        <v>0</v>
      </c>
      <c r="C38" s="39">
        <v>4702.202400000001</v>
      </c>
      <c r="D38" s="39">
        <v>0</v>
      </c>
      <c r="E38" s="39">
        <v>4758.8579292198028</v>
      </c>
      <c r="F38" s="39">
        <v>4702.202400000001</v>
      </c>
      <c r="G38" s="39">
        <v>4758.8579292198028</v>
      </c>
    </row>
    <row r="39" spans="1:7" ht="11.25" customHeight="1" x14ac:dyDescent="0.2">
      <c r="A39" s="49">
        <v>44682</v>
      </c>
      <c r="B39" s="39">
        <v>0</v>
      </c>
      <c r="C39" s="39">
        <v>4790.9232000000011</v>
      </c>
      <c r="D39" s="39">
        <v>0</v>
      </c>
      <c r="E39" s="39">
        <v>4848.6477014692327</v>
      </c>
      <c r="F39" s="39">
        <v>4790.9232000000011</v>
      </c>
      <c r="G39" s="39">
        <v>4848.6477014692327</v>
      </c>
    </row>
    <row r="40" spans="1:7" ht="11.25" customHeight="1" x14ac:dyDescent="0.2">
      <c r="A40" s="49">
        <v>44713</v>
      </c>
      <c r="B40" s="39">
        <v>0</v>
      </c>
      <c r="C40" s="39">
        <v>4220.5752000000011</v>
      </c>
      <c r="D40" s="39">
        <v>0</v>
      </c>
      <c r="E40" s="39">
        <v>4271.4277370086102</v>
      </c>
      <c r="F40" s="39">
        <v>4220.5752000000011</v>
      </c>
      <c r="G40" s="39">
        <v>4271.4277370086102</v>
      </c>
    </row>
    <row r="41" spans="1:7" ht="11.25" customHeight="1" x14ac:dyDescent="0.2">
      <c r="A41" s="49">
        <v>44743</v>
      </c>
      <c r="B41" s="39">
        <v>0</v>
      </c>
      <c r="C41" s="39">
        <v>4169.8776000000007</v>
      </c>
      <c r="D41" s="39">
        <v>0</v>
      </c>
      <c r="E41" s="39">
        <v>4220.1192957232206</v>
      </c>
      <c r="F41" s="39">
        <v>4169.8776000000007</v>
      </c>
      <c r="G41" s="39">
        <v>4220.1192957232206</v>
      </c>
    </row>
    <row r="42" spans="1:7" ht="11.25" customHeight="1" x14ac:dyDescent="0.2">
      <c r="A42" s="45" t="s">
        <v>29</v>
      </c>
      <c r="B42" s="39">
        <v>0</v>
      </c>
      <c r="C42" s="39">
        <v>71609.305689999994</v>
      </c>
      <c r="D42" s="39">
        <v>0</v>
      </c>
      <c r="E42" s="39">
        <v>72471.463034235363</v>
      </c>
      <c r="F42" s="39">
        <v>71609.305689999994</v>
      </c>
      <c r="G42" s="39">
        <v>72471.463034235363</v>
      </c>
    </row>
    <row r="43" spans="1:7" ht="11.25" customHeight="1" x14ac:dyDescent="0.2">
      <c r="A43" s="46" t="s">
        <v>25</v>
      </c>
      <c r="B43" s="39">
        <v>0</v>
      </c>
      <c r="C43" s="39">
        <v>71609.305689999994</v>
      </c>
      <c r="D43" s="39">
        <v>0</v>
      </c>
      <c r="E43" s="39">
        <v>72471.463034235363</v>
      </c>
      <c r="F43" s="39">
        <v>71609.305689999994</v>
      </c>
      <c r="G43" s="39">
        <v>72471.463034235363</v>
      </c>
    </row>
    <row r="44" spans="1:7" ht="11.25" customHeight="1" x14ac:dyDescent="0.2">
      <c r="A44" s="47" t="s">
        <v>25</v>
      </c>
      <c r="B44" s="39">
        <v>0</v>
      </c>
      <c r="C44" s="39">
        <v>71609.305689999994</v>
      </c>
      <c r="D44" s="39">
        <v>0</v>
      </c>
      <c r="E44" s="39">
        <v>72471.463034235363</v>
      </c>
      <c r="F44" s="39">
        <v>71609.305689999994</v>
      </c>
      <c r="G44" s="39">
        <v>72471.463034235363</v>
      </c>
    </row>
    <row r="45" spans="1:7" ht="11.25" customHeight="1" x14ac:dyDescent="0.2">
      <c r="A45" s="48" t="s">
        <v>25</v>
      </c>
      <c r="B45" s="39">
        <v>0</v>
      </c>
      <c r="C45" s="39">
        <v>71609.305689999994</v>
      </c>
      <c r="D45" s="39">
        <v>0</v>
      </c>
      <c r="E45" s="39">
        <v>72471.463034235363</v>
      </c>
      <c r="F45" s="39">
        <v>71609.305689999994</v>
      </c>
      <c r="G45" s="39">
        <v>72471.463034235363</v>
      </c>
    </row>
    <row r="46" spans="1:7" ht="11.25" customHeight="1" x14ac:dyDescent="0.2">
      <c r="A46" s="49">
        <v>44409</v>
      </c>
      <c r="B46" s="39">
        <v>0</v>
      </c>
      <c r="C46" s="39">
        <v>5622.02376</v>
      </c>
      <c r="D46" s="39">
        <v>0</v>
      </c>
      <c r="E46" s="39">
        <v>5689.7114582320264</v>
      </c>
      <c r="F46" s="39">
        <v>5622.02376</v>
      </c>
      <c r="G46" s="39">
        <v>5689.7114582320264</v>
      </c>
    </row>
    <row r="47" spans="1:7" ht="11.25" customHeight="1" x14ac:dyDescent="0.2">
      <c r="A47" s="49">
        <v>44440</v>
      </c>
      <c r="B47" s="39">
        <v>0</v>
      </c>
      <c r="C47" s="39">
        <v>5654.0025299999998</v>
      </c>
      <c r="D47" s="39">
        <v>0</v>
      </c>
      <c r="E47" s="39">
        <v>5722.0752442735802</v>
      </c>
      <c r="F47" s="39">
        <v>5654.0025299999998</v>
      </c>
      <c r="G47" s="39">
        <v>5722.0752442735802</v>
      </c>
    </row>
    <row r="48" spans="1:7" ht="11.25" customHeight="1" x14ac:dyDescent="0.2">
      <c r="A48" s="49">
        <v>44470</v>
      </c>
      <c r="B48" s="39">
        <v>0</v>
      </c>
      <c r="C48" s="39">
        <v>5795.6970800000008</v>
      </c>
      <c r="D48" s="39">
        <v>0</v>
      </c>
      <c r="E48" s="39">
        <v>5865.4757596609488</v>
      </c>
      <c r="F48" s="39">
        <v>5795.6970800000008</v>
      </c>
      <c r="G48" s="39">
        <v>5865.4757596609488</v>
      </c>
    </row>
    <row r="49" spans="1:7" ht="11.25" customHeight="1" x14ac:dyDescent="0.2">
      <c r="A49" s="49">
        <v>44501</v>
      </c>
      <c r="B49" s="39">
        <v>0</v>
      </c>
      <c r="C49" s="39">
        <v>5895.0132599999997</v>
      </c>
      <c r="D49" s="39">
        <v>0</v>
      </c>
      <c r="E49" s="39">
        <v>5965.9876805379663</v>
      </c>
      <c r="F49" s="39">
        <v>5895.0132599999997</v>
      </c>
      <c r="G49" s="39">
        <v>5965.9876805379663</v>
      </c>
    </row>
    <row r="50" spans="1:7" ht="11.25" customHeight="1" x14ac:dyDescent="0.2">
      <c r="A50" s="49">
        <v>44531</v>
      </c>
      <c r="B50" s="39">
        <v>0</v>
      </c>
      <c r="C50" s="39">
        <v>6085.3259399999997</v>
      </c>
      <c r="D50" s="39">
        <v>0</v>
      </c>
      <c r="E50" s="39">
        <v>6158.5916755169637</v>
      </c>
      <c r="F50" s="39">
        <v>6085.3259399999997</v>
      </c>
      <c r="G50" s="39">
        <v>6158.5916755169637</v>
      </c>
    </row>
    <row r="51" spans="1:7" ht="11.25" customHeight="1" x14ac:dyDescent="0.2">
      <c r="A51" s="49">
        <v>44562</v>
      </c>
      <c r="B51" s="39">
        <v>0</v>
      </c>
      <c r="C51" s="39">
        <v>6085.5859300000002</v>
      </c>
      <c r="D51" s="39">
        <v>0</v>
      </c>
      <c r="E51" s="39">
        <v>6158.8547957286837</v>
      </c>
      <c r="F51" s="39">
        <v>6085.5859300000002</v>
      </c>
      <c r="G51" s="39">
        <v>6158.8547957286837</v>
      </c>
    </row>
    <row r="52" spans="1:7" ht="11.25" customHeight="1" x14ac:dyDescent="0.2">
      <c r="A52" s="49">
        <v>44593</v>
      </c>
      <c r="B52" s="39">
        <v>0</v>
      </c>
      <c r="C52" s="39">
        <v>6296.9578000000001</v>
      </c>
      <c r="D52" s="39">
        <v>0</v>
      </c>
      <c r="E52" s="39">
        <v>6372.7715278569967</v>
      </c>
      <c r="F52" s="39">
        <v>6296.9578000000001</v>
      </c>
      <c r="G52" s="39">
        <v>6372.7715278569967</v>
      </c>
    </row>
    <row r="53" spans="1:7" ht="11.25" customHeight="1" x14ac:dyDescent="0.2">
      <c r="A53" s="49">
        <v>44621</v>
      </c>
      <c r="B53" s="39">
        <v>0</v>
      </c>
      <c r="C53" s="39">
        <v>6269.3988600000002</v>
      </c>
      <c r="D53" s="39">
        <v>0</v>
      </c>
      <c r="E53" s="39">
        <v>6344.8807854146835</v>
      </c>
      <c r="F53" s="39">
        <v>6269.3988600000002</v>
      </c>
      <c r="G53" s="39">
        <v>6344.8807854146835</v>
      </c>
    </row>
    <row r="54" spans="1:7" ht="11.25" customHeight="1" x14ac:dyDescent="0.2">
      <c r="A54" s="49">
        <v>44652</v>
      </c>
      <c r="B54" s="39">
        <v>0</v>
      </c>
      <c r="C54" s="39">
        <v>6400.4338200000002</v>
      </c>
      <c r="D54" s="39">
        <v>0</v>
      </c>
      <c r="E54" s="39">
        <v>6477.493372121533</v>
      </c>
      <c r="F54" s="39">
        <v>6400.4338200000002</v>
      </c>
      <c r="G54" s="39">
        <v>6477.493372121533</v>
      </c>
    </row>
    <row r="55" spans="1:7" ht="11.25" customHeight="1" x14ac:dyDescent="0.2">
      <c r="A55" s="49">
        <v>44682</v>
      </c>
      <c r="B55" s="39">
        <v>0</v>
      </c>
      <c r="C55" s="39">
        <v>6432.6725800000004</v>
      </c>
      <c r="D55" s="39">
        <v>0</v>
      </c>
      <c r="E55" s="39">
        <v>6510.1202783748067</v>
      </c>
      <c r="F55" s="39">
        <v>6432.6725800000004</v>
      </c>
      <c r="G55" s="39">
        <v>6510.1202783748067</v>
      </c>
    </row>
    <row r="56" spans="1:7" ht="11.25" customHeight="1" x14ac:dyDescent="0.2">
      <c r="A56" s="49">
        <v>44713</v>
      </c>
      <c r="B56" s="39">
        <v>0</v>
      </c>
      <c r="C56" s="39">
        <v>5601.2245600000006</v>
      </c>
      <c r="D56" s="39">
        <v>0</v>
      </c>
      <c r="E56" s="39">
        <v>5668.6618412944317</v>
      </c>
      <c r="F56" s="39">
        <v>5601.2245600000006</v>
      </c>
      <c r="G56" s="39">
        <v>5668.6618412944317</v>
      </c>
    </row>
    <row r="57" spans="1:7" ht="11.25" customHeight="1" x14ac:dyDescent="0.2">
      <c r="A57" s="49">
        <v>44743</v>
      </c>
      <c r="B57" s="39">
        <v>0</v>
      </c>
      <c r="C57" s="39">
        <v>5470.9695700000002</v>
      </c>
      <c r="D57" s="39">
        <v>0</v>
      </c>
      <c r="E57" s="39">
        <v>5536.8386152227404</v>
      </c>
      <c r="F57" s="39">
        <v>5470.9695700000002</v>
      </c>
      <c r="G57" s="39">
        <v>5536.8386152227404</v>
      </c>
    </row>
    <row r="58" spans="1:7" ht="11.25" customHeight="1" x14ac:dyDescent="0.2">
      <c r="A58" s="45" t="s">
        <v>30</v>
      </c>
      <c r="B58" s="39">
        <v>0</v>
      </c>
      <c r="C58" s="39">
        <v>19827.404999999999</v>
      </c>
      <c r="D58" s="39">
        <v>0</v>
      </c>
      <c r="E58" s="39">
        <v>20065.350005603988</v>
      </c>
      <c r="F58" s="39">
        <v>19827.404999999999</v>
      </c>
      <c r="G58" s="39">
        <v>20065.350005603988</v>
      </c>
    </row>
    <row r="59" spans="1:7" ht="11.25" customHeight="1" x14ac:dyDescent="0.2">
      <c r="A59" s="46" t="s">
        <v>25</v>
      </c>
      <c r="B59" s="39">
        <v>0</v>
      </c>
      <c r="C59" s="39">
        <v>19827.404999999999</v>
      </c>
      <c r="D59" s="39">
        <v>0</v>
      </c>
      <c r="E59" s="39">
        <v>20065.350005603988</v>
      </c>
      <c r="F59" s="39">
        <v>19827.404999999999</v>
      </c>
      <c r="G59" s="39">
        <v>20065.350005603988</v>
      </c>
    </row>
    <row r="60" spans="1:7" ht="11.25" customHeight="1" x14ac:dyDescent="0.2">
      <c r="A60" s="47" t="s">
        <v>25</v>
      </c>
      <c r="B60" s="39">
        <v>0</v>
      </c>
      <c r="C60" s="39">
        <v>19827.404999999999</v>
      </c>
      <c r="D60" s="39">
        <v>0</v>
      </c>
      <c r="E60" s="39">
        <v>20065.350005603988</v>
      </c>
      <c r="F60" s="39">
        <v>19827.404999999999</v>
      </c>
      <c r="G60" s="39">
        <v>20065.350005603988</v>
      </c>
    </row>
    <row r="61" spans="1:7" ht="11.25" customHeight="1" x14ac:dyDescent="0.2">
      <c r="A61" s="48" t="s">
        <v>25</v>
      </c>
      <c r="B61" s="39">
        <v>0</v>
      </c>
      <c r="C61" s="39">
        <v>19827.404999999999</v>
      </c>
      <c r="D61" s="39">
        <v>0</v>
      </c>
      <c r="E61" s="39">
        <v>20065.350005603988</v>
      </c>
      <c r="F61" s="39">
        <v>19827.404999999999</v>
      </c>
      <c r="G61" s="39">
        <v>20065.350005603988</v>
      </c>
    </row>
    <row r="62" spans="1:7" ht="11.25" customHeight="1" x14ac:dyDescent="0.2">
      <c r="A62" s="49">
        <v>44409</v>
      </c>
      <c r="B62" s="39">
        <v>0</v>
      </c>
      <c r="C62" s="39">
        <v>1542.19</v>
      </c>
      <c r="D62" s="39">
        <v>0</v>
      </c>
      <c r="E62" s="39">
        <v>1560.6975358168363</v>
      </c>
      <c r="F62" s="39">
        <v>1542.19</v>
      </c>
      <c r="G62" s="39">
        <v>1560.6975358168363</v>
      </c>
    </row>
    <row r="63" spans="1:7" ht="11.25" customHeight="1" x14ac:dyDescent="0.2">
      <c r="A63" s="49">
        <v>44440</v>
      </c>
      <c r="B63" s="39">
        <v>0</v>
      </c>
      <c r="C63" s="39">
        <v>1382.4849999999999</v>
      </c>
      <c r="D63" s="39">
        <v>0</v>
      </c>
      <c r="E63" s="39">
        <v>1399.0759457678619</v>
      </c>
      <c r="F63" s="39">
        <v>1382.4849999999999</v>
      </c>
      <c r="G63" s="39">
        <v>1399.0759457678619</v>
      </c>
    </row>
    <row r="64" spans="1:7" ht="11.25" customHeight="1" x14ac:dyDescent="0.2">
      <c r="A64" s="49">
        <v>44470</v>
      </c>
      <c r="B64" s="39">
        <v>0</v>
      </c>
      <c r="C64" s="39">
        <v>1716.52</v>
      </c>
      <c r="D64" s="39">
        <v>0</v>
      </c>
      <c r="E64" s="39">
        <v>1737.1196377750575</v>
      </c>
      <c r="F64" s="39">
        <v>1716.52</v>
      </c>
      <c r="G64" s="39">
        <v>1737.1196377750575</v>
      </c>
    </row>
    <row r="65" spans="1:7" ht="11.25" customHeight="1" x14ac:dyDescent="0.2">
      <c r="A65" s="49">
        <v>44501</v>
      </c>
      <c r="B65" s="39">
        <v>0</v>
      </c>
      <c r="C65" s="39">
        <v>1469.26</v>
      </c>
      <c r="D65" s="39">
        <v>0</v>
      </c>
      <c r="E65" s="39">
        <v>1486.8923164293926</v>
      </c>
      <c r="F65" s="39">
        <v>1469.26</v>
      </c>
      <c r="G65" s="39">
        <v>1486.8923164293926</v>
      </c>
    </row>
    <row r="66" spans="1:7" ht="11.25" customHeight="1" x14ac:dyDescent="0.2">
      <c r="A66" s="49">
        <v>44531</v>
      </c>
      <c r="B66" s="39">
        <v>0</v>
      </c>
      <c r="C66" s="39">
        <v>1682.395</v>
      </c>
      <c r="D66" s="39">
        <v>0</v>
      </c>
      <c r="E66" s="39">
        <v>1702.585109986815</v>
      </c>
      <c r="F66" s="39">
        <v>1682.395</v>
      </c>
      <c r="G66" s="39">
        <v>1702.585109986815</v>
      </c>
    </row>
    <row r="67" spans="1:7" ht="11.25" customHeight="1" x14ac:dyDescent="0.2">
      <c r="A67" s="49">
        <v>44562</v>
      </c>
      <c r="B67" s="39">
        <v>0</v>
      </c>
      <c r="C67" s="39">
        <v>1587.7549999999999</v>
      </c>
      <c r="D67" s="39">
        <v>0</v>
      </c>
      <c r="E67" s="39">
        <v>1606.8093529207561</v>
      </c>
      <c r="F67" s="39">
        <v>1587.7549999999999</v>
      </c>
      <c r="G67" s="39">
        <v>1606.8093529207561</v>
      </c>
    </row>
    <row r="68" spans="1:7" ht="11.25" customHeight="1" x14ac:dyDescent="0.2">
      <c r="A68" s="49">
        <v>44593</v>
      </c>
      <c r="B68" s="39">
        <v>0</v>
      </c>
      <c r="C68" s="39">
        <v>2038.66</v>
      </c>
      <c r="D68" s="39">
        <v>0</v>
      </c>
      <c r="E68" s="39">
        <v>2063.1255800960657</v>
      </c>
      <c r="F68" s="39">
        <v>2038.66</v>
      </c>
      <c r="G68" s="39">
        <v>2063.1255800960657</v>
      </c>
    </row>
    <row r="69" spans="1:7" ht="11.25" customHeight="1" x14ac:dyDescent="0.2">
      <c r="A69" s="49">
        <v>44621</v>
      </c>
      <c r="B69" s="39">
        <v>0</v>
      </c>
      <c r="C69" s="39">
        <v>1723.4099999999999</v>
      </c>
      <c r="D69" s="39">
        <v>0</v>
      </c>
      <c r="E69" s="39">
        <v>1744.0923233856358</v>
      </c>
      <c r="F69" s="39">
        <v>1723.4099999999999</v>
      </c>
      <c r="G69" s="39">
        <v>1744.0923233856358</v>
      </c>
    </row>
    <row r="70" spans="1:7" ht="11.25" customHeight="1" x14ac:dyDescent="0.2">
      <c r="A70" s="49">
        <v>44652</v>
      </c>
      <c r="B70" s="39">
        <v>0</v>
      </c>
      <c r="C70" s="39">
        <v>1935.635</v>
      </c>
      <c r="D70" s="39">
        <v>0</v>
      </c>
      <c r="E70" s="39">
        <v>1958.8641962020386</v>
      </c>
      <c r="F70" s="39">
        <v>1935.635</v>
      </c>
      <c r="G70" s="39">
        <v>1958.8641962020386</v>
      </c>
    </row>
    <row r="71" spans="1:7" ht="11.25" customHeight="1" x14ac:dyDescent="0.2">
      <c r="A71" s="49">
        <v>44682</v>
      </c>
      <c r="B71" s="39">
        <v>0</v>
      </c>
      <c r="C71" s="39">
        <v>1820.845</v>
      </c>
      <c r="D71" s="39">
        <v>0</v>
      </c>
      <c r="E71" s="39">
        <v>1842.6966227276844</v>
      </c>
      <c r="F71" s="39">
        <v>1820.845</v>
      </c>
      <c r="G71" s="39">
        <v>1842.6966227276844</v>
      </c>
    </row>
    <row r="72" spans="1:7" ht="11.25" customHeight="1" x14ac:dyDescent="0.2">
      <c r="A72" s="49">
        <v>44713</v>
      </c>
      <c r="B72" s="39">
        <v>0</v>
      </c>
      <c r="C72" s="39">
        <v>1454.375</v>
      </c>
      <c r="D72" s="39">
        <v>0</v>
      </c>
      <c r="E72" s="39">
        <v>1471.8286843084259</v>
      </c>
      <c r="F72" s="39">
        <v>1454.375</v>
      </c>
      <c r="G72" s="39">
        <v>1471.8286843084259</v>
      </c>
    </row>
    <row r="73" spans="1:7" ht="11.25" customHeight="1" x14ac:dyDescent="0.2">
      <c r="A73" s="49">
        <v>44743</v>
      </c>
      <c r="B73" s="39">
        <v>0</v>
      </c>
      <c r="C73" s="39">
        <v>1473.875</v>
      </c>
      <c r="D73" s="39">
        <v>0</v>
      </c>
      <c r="E73" s="39">
        <v>1491.5627001874216</v>
      </c>
      <c r="F73" s="39">
        <v>1473.875</v>
      </c>
      <c r="G73" s="39">
        <v>1491.5627001874216</v>
      </c>
    </row>
    <row r="74" spans="1:7" ht="11.25" customHeight="1" x14ac:dyDescent="0.2">
      <c r="A74" s="45" t="s">
        <v>31</v>
      </c>
      <c r="B74" s="39">
        <v>0</v>
      </c>
      <c r="C74" s="39">
        <v>0</v>
      </c>
      <c r="D74" s="39">
        <v>0</v>
      </c>
      <c r="E74" s="39">
        <v>6.223331183718983E-12</v>
      </c>
      <c r="F74" s="39">
        <v>0</v>
      </c>
      <c r="G74" s="39">
        <v>6.223331183718983E-12</v>
      </c>
    </row>
    <row r="75" spans="1:7" ht="11.25" customHeight="1" x14ac:dyDescent="0.2">
      <c r="A75" s="46" t="s">
        <v>25</v>
      </c>
      <c r="B75" s="39">
        <v>0</v>
      </c>
      <c r="C75" s="39">
        <v>0</v>
      </c>
      <c r="D75" s="39">
        <v>0</v>
      </c>
      <c r="E75" s="39">
        <v>6.223331183718983E-12</v>
      </c>
      <c r="F75" s="39">
        <v>0</v>
      </c>
      <c r="G75" s="39">
        <v>6.223331183718983E-12</v>
      </c>
    </row>
    <row r="76" spans="1:7" ht="11.25" customHeight="1" x14ac:dyDescent="0.2">
      <c r="A76" s="47" t="s">
        <v>25</v>
      </c>
      <c r="B76" s="39">
        <v>0</v>
      </c>
      <c r="C76" s="39">
        <v>0</v>
      </c>
      <c r="D76" s="39">
        <v>0</v>
      </c>
      <c r="E76" s="39">
        <v>6.223331183718983E-12</v>
      </c>
      <c r="F76" s="39">
        <v>0</v>
      </c>
      <c r="G76" s="39">
        <v>6.223331183718983E-12</v>
      </c>
    </row>
    <row r="77" spans="1:7" ht="11.25" customHeight="1" x14ac:dyDescent="0.2">
      <c r="A77" s="48" t="s">
        <v>25</v>
      </c>
      <c r="B77" s="39">
        <v>0</v>
      </c>
      <c r="C77" s="39">
        <v>0</v>
      </c>
      <c r="D77" s="39">
        <v>0</v>
      </c>
      <c r="E77" s="39">
        <v>6.223331183718983E-12</v>
      </c>
      <c r="F77" s="39">
        <v>0</v>
      </c>
      <c r="G77" s="39">
        <v>6.223331183718983E-12</v>
      </c>
    </row>
    <row r="78" spans="1:7" ht="11.25" customHeight="1" x14ac:dyDescent="0.2">
      <c r="A78" s="49">
        <v>44409</v>
      </c>
      <c r="B78" s="39">
        <v>0</v>
      </c>
      <c r="C78" s="39">
        <v>0</v>
      </c>
      <c r="D78" s="39">
        <v>0</v>
      </c>
      <c r="E78" s="39">
        <v>4.5287151806405743E-13</v>
      </c>
      <c r="F78" s="39">
        <v>0</v>
      </c>
      <c r="G78" s="39">
        <v>4.5287151806405743E-13</v>
      </c>
    </row>
    <row r="79" spans="1:7" ht="11.25" customHeight="1" x14ac:dyDescent="0.2">
      <c r="A79" s="49">
        <v>44440</v>
      </c>
      <c r="B79" s="39">
        <v>0</v>
      </c>
      <c r="C79" s="39">
        <v>0</v>
      </c>
      <c r="D79" s="39">
        <v>0</v>
      </c>
      <c r="E79" s="39">
        <v>3.0627234082203358E-13</v>
      </c>
      <c r="F79" s="39">
        <v>0</v>
      </c>
      <c r="G79" s="39">
        <v>3.0627234082203358E-13</v>
      </c>
    </row>
    <row r="80" spans="1:7" ht="11.25" customHeight="1" x14ac:dyDescent="0.2">
      <c r="A80" s="49">
        <v>44470</v>
      </c>
      <c r="B80" s="39">
        <v>0</v>
      </c>
      <c r="C80" s="39">
        <v>0</v>
      </c>
      <c r="D80" s="39">
        <v>0</v>
      </c>
      <c r="E80" s="39">
        <v>5.285869519866537E-13</v>
      </c>
      <c r="F80" s="39">
        <v>0</v>
      </c>
      <c r="G80" s="39">
        <v>5.285869519866537E-13</v>
      </c>
    </row>
    <row r="81" spans="1:7" ht="11.25" customHeight="1" x14ac:dyDescent="0.2">
      <c r="A81" s="49">
        <v>44501</v>
      </c>
      <c r="B81" s="39">
        <v>0</v>
      </c>
      <c r="C81" s="39">
        <v>0</v>
      </c>
      <c r="D81" s="39">
        <v>0</v>
      </c>
      <c r="E81" s="39">
        <v>3.0632918424089441E-13</v>
      </c>
      <c r="F81" s="39">
        <v>0</v>
      </c>
      <c r="G81" s="39">
        <v>3.0632918424089441E-13</v>
      </c>
    </row>
    <row r="82" spans="1:7" ht="11.25" customHeight="1" x14ac:dyDescent="0.2">
      <c r="A82" s="49">
        <v>44531</v>
      </c>
      <c r="B82" s="39">
        <v>0</v>
      </c>
      <c r="C82" s="39">
        <v>0</v>
      </c>
      <c r="D82" s="39">
        <v>0</v>
      </c>
      <c r="E82" s="39">
        <v>4.6009063225938004E-13</v>
      </c>
      <c r="F82" s="39">
        <v>0</v>
      </c>
      <c r="G82" s="39">
        <v>4.6009063225938004E-13</v>
      </c>
    </row>
    <row r="83" spans="1:7" ht="11.25" customHeight="1" x14ac:dyDescent="0.2">
      <c r="A83" s="49">
        <v>44562</v>
      </c>
      <c r="B83" s="39">
        <v>0</v>
      </c>
      <c r="C83" s="39">
        <v>0</v>
      </c>
      <c r="D83" s="39">
        <v>0</v>
      </c>
      <c r="E83" s="39">
        <v>3.930153980036266E-13</v>
      </c>
      <c r="F83" s="39">
        <v>0</v>
      </c>
      <c r="G83" s="39">
        <v>3.930153980036266E-13</v>
      </c>
    </row>
    <row r="84" spans="1:7" ht="11.25" customHeight="1" x14ac:dyDescent="0.2">
      <c r="A84" s="49">
        <v>44593</v>
      </c>
      <c r="B84" s="39">
        <v>0</v>
      </c>
      <c r="C84" s="39">
        <v>0</v>
      </c>
      <c r="D84" s="39">
        <v>0</v>
      </c>
      <c r="E84" s="39">
        <v>1.0366534297645557E-12</v>
      </c>
      <c r="F84" s="39">
        <v>0</v>
      </c>
      <c r="G84" s="39">
        <v>1.0366534297645557E-12</v>
      </c>
    </row>
    <row r="85" spans="1:7" ht="11.25" customHeight="1" x14ac:dyDescent="0.2">
      <c r="A85" s="49">
        <v>44621</v>
      </c>
      <c r="B85" s="39">
        <v>0</v>
      </c>
      <c r="C85" s="39">
        <v>0</v>
      </c>
      <c r="D85" s="39">
        <v>0</v>
      </c>
      <c r="E85" s="39">
        <v>5.4075144362286664E-13</v>
      </c>
      <c r="F85" s="39">
        <v>0</v>
      </c>
      <c r="G85" s="39">
        <v>5.4075144362286664E-13</v>
      </c>
    </row>
    <row r="86" spans="1:7" ht="11.25" customHeight="1" x14ac:dyDescent="0.2">
      <c r="A86" s="49">
        <v>44652</v>
      </c>
      <c r="B86" s="39">
        <v>0</v>
      </c>
      <c r="C86" s="39">
        <v>0</v>
      </c>
      <c r="D86" s="39">
        <v>0</v>
      </c>
      <c r="E86" s="39">
        <v>7.7346840043901462E-13</v>
      </c>
      <c r="F86" s="39">
        <v>0</v>
      </c>
      <c r="G86" s="39">
        <v>7.7346840043901462E-13</v>
      </c>
    </row>
    <row r="87" spans="1:7" ht="11.25" customHeight="1" x14ac:dyDescent="0.2">
      <c r="A87" s="49">
        <v>44682</v>
      </c>
      <c r="B87" s="39">
        <v>0</v>
      </c>
      <c r="C87" s="39">
        <v>0</v>
      </c>
      <c r="D87" s="39">
        <v>0</v>
      </c>
      <c r="E87" s="39">
        <v>5.0329163059359412E-13</v>
      </c>
      <c r="F87" s="39">
        <v>0</v>
      </c>
      <c r="G87" s="39">
        <v>5.0329163059359412E-13</v>
      </c>
    </row>
    <row r="88" spans="1:7" ht="11.25" customHeight="1" x14ac:dyDescent="0.2">
      <c r="A88" s="49">
        <v>44713</v>
      </c>
      <c r="B88" s="39">
        <v>0</v>
      </c>
      <c r="C88" s="39">
        <v>0</v>
      </c>
      <c r="D88" s="39">
        <v>0</v>
      </c>
      <c r="E88" s="39">
        <v>3.4003733162535356E-13</v>
      </c>
      <c r="F88" s="39">
        <v>0</v>
      </c>
      <c r="G88" s="39">
        <v>3.4003733162535356E-13</v>
      </c>
    </row>
    <row r="89" spans="1:7" ht="11.25" customHeight="1" x14ac:dyDescent="0.2">
      <c r="A89" s="49">
        <v>44743</v>
      </c>
      <c r="B89" s="39">
        <v>0</v>
      </c>
      <c r="C89" s="39">
        <v>0</v>
      </c>
      <c r="D89" s="39">
        <v>0</v>
      </c>
      <c r="E89" s="39">
        <v>5.8196292229695243E-13</v>
      </c>
      <c r="F89" s="39">
        <v>0</v>
      </c>
      <c r="G89" s="39">
        <v>5.8196292229695243E-13</v>
      </c>
    </row>
    <row r="90" spans="1:7" ht="11.25" customHeight="1" x14ac:dyDescent="0.2">
      <c r="A90" s="41" t="s">
        <v>620</v>
      </c>
      <c r="B90" s="39">
        <v>174710.39390526598</v>
      </c>
      <c r="C90" s="39">
        <v>362315.06792831625</v>
      </c>
      <c r="D90" s="39">
        <v>151384.14220985438</v>
      </c>
      <c r="E90" s="39">
        <v>327506.44171303138</v>
      </c>
      <c r="F90" s="39">
        <v>537025.46183358226</v>
      </c>
      <c r="G90" s="39">
        <v>478890.58392288577</v>
      </c>
    </row>
    <row r="91" spans="1:7" ht="11.25" customHeight="1" x14ac:dyDescent="0.2">
      <c r="A91" s="42" t="s">
        <v>34</v>
      </c>
      <c r="B91" s="39">
        <v>174710.39390526598</v>
      </c>
      <c r="C91" s="39">
        <v>362315.06792831625</v>
      </c>
      <c r="D91" s="39">
        <v>151384.14220985438</v>
      </c>
      <c r="E91" s="39">
        <v>327506.44171303138</v>
      </c>
      <c r="F91" s="39">
        <v>537025.46183358226</v>
      </c>
      <c r="G91" s="39">
        <v>478890.58392288577</v>
      </c>
    </row>
    <row r="92" spans="1:7" ht="11.25" customHeight="1" x14ac:dyDescent="0.2">
      <c r="A92" s="43" t="s">
        <v>35</v>
      </c>
      <c r="B92" s="39">
        <v>174710.39390526598</v>
      </c>
      <c r="C92" s="39">
        <v>362315.06792831625</v>
      </c>
      <c r="D92" s="39">
        <v>151384.14220985438</v>
      </c>
      <c r="E92" s="39">
        <v>327506.44171303138</v>
      </c>
      <c r="F92" s="39">
        <v>537025.46183358226</v>
      </c>
      <c r="G92" s="39">
        <v>478890.58392288577</v>
      </c>
    </row>
    <row r="93" spans="1:7" ht="11.25" customHeight="1" x14ac:dyDescent="0.2">
      <c r="A93" s="44" t="s">
        <v>33</v>
      </c>
      <c r="B93" s="39">
        <v>174710.39390526598</v>
      </c>
      <c r="C93" s="39">
        <v>362315.06792831625</v>
      </c>
      <c r="D93" s="39">
        <v>151384.14220985438</v>
      </c>
      <c r="E93" s="39">
        <v>327506.44171303138</v>
      </c>
      <c r="F93" s="39">
        <v>537025.46183358226</v>
      </c>
      <c r="G93" s="39">
        <v>478890.58392288577</v>
      </c>
    </row>
    <row r="94" spans="1:7" ht="11.25" customHeight="1" x14ac:dyDescent="0.2">
      <c r="A94" s="45" t="s">
        <v>25</v>
      </c>
      <c r="B94" s="39">
        <v>174710.39390526598</v>
      </c>
      <c r="C94" s="39">
        <v>362315.06792831625</v>
      </c>
      <c r="D94" s="39">
        <v>151384.14220985438</v>
      </c>
      <c r="E94" s="39">
        <v>327506.44171303138</v>
      </c>
      <c r="F94" s="39">
        <v>537025.46183358226</v>
      </c>
      <c r="G94" s="39">
        <v>478890.58392288577</v>
      </c>
    </row>
    <row r="95" spans="1:7" ht="11.25" customHeight="1" x14ac:dyDescent="0.2">
      <c r="A95" s="46" t="s">
        <v>50</v>
      </c>
      <c r="B95" s="39">
        <v>174710.39390526598</v>
      </c>
      <c r="C95" s="39">
        <v>362315.06792831625</v>
      </c>
      <c r="D95" s="39">
        <v>151384.14220985438</v>
      </c>
      <c r="E95" s="39">
        <v>327506.44171303138</v>
      </c>
      <c r="F95" s="39">
        <v>537025.46183358226</v>
      </c>
      <c r="G95" s="39">
        <v>478890.58392288577</v>
      </c>
    </row>
    <row r="96" spans="1:7" ht="11.25" customHeight="1" x14ac:dyDescent="0.2">
      <c r="A96" s="47" t="s">
        <v>25</v>
      </c>
      <c r="B96" s="39">
        <v>174710.39390526598</v>
      </c>
      <c r="C96" s="39">
        <v>362315.06792831625</v>
      </c>
      <c r="D96" s="39">
        <v>151384.14220985438</v>
      </c>
      <c r="E96" s="39">
        <v>327506.44171303138</v>
      </c>
      <c r="F96" s="39">
        <v>537025.46183358226</v>
      </c>
      <c r="G96" s="39">
        <v>478890.58392288577</v>
      </c>
    </row>
    <row r="97" spans="1:7" ht="11.25" customHeight="1" x14ac:dyDescent="0.2">
      <c r="A97" s="48" t="s">
        <v>37</v>
      </c>
      <c r="B97" s="39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</row>
    <row r="98" spans="1:7" ht="11.25" customHeight="1" x14ac:dyDescent="0.2">
      <c r="A98" s="49">
        <v>44409</v>
      </c>
      <c r="B98" s="39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</row>
    <row r="99" spans="1:7" ht="11.25" customHeight="1" x14ac:dyDescent="0.2">
      <c r="A99" s="49">
        <v>44440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</row>
    <row r="100" spans="1:7" ht="11.25" customHeight="1" x14ac:dyDescent="0.2">
      <c r="A100" s="49">
        <v>44470</v>
      </c>
      <c r="B100" s="39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</row>
    <row r="101" spans="1:7" ht="11.25" customHeight="1" x14ac:dyDescent="0.2">
      <c r="A101" s="49">
        <v>44501</v>
      </c>
      <c r="B101" s="39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</row>
    <row r="102" spans="1:7" ht="11.25" customHeight="1" x14ac:dyDescent="0.2">
      <c r="A102" s="49">
        <v>44531</v>
      </c>
      <c r="B102" s="39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</row>
    <row r="103" spans="1:7" ht="11.25" customHeight="1" x14ac:dyDescent="0.2">
      <c r="A103" s="49">
        <v>44562</v>
      </c>
      <c r="B103" s="39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</row>
    <row r="104" spans="1:7" ht="11.25" customHeight="1" x14ac:dyDescent="0.2">
      <c r="A104" s="49">
        <v>44593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</row>
    <row r="105" spans="1:7" ht="11.25" customHeight="1" x14ac:dyDescent="0.2">
      <c r="A105" s="49">
        <v>44621</v>
      </c>
      <c r="B105" s="39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</row>
    <row r="106" spans="1:7" ht="11.25" customHeight="1" x14ac:dyDescent="0.2">
      <c r="A106" s="49">
        <v>44652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</row>
    <row r="107" spans="1:7" ht="11.25" customHeight="1" x14ac:dyDescent="0.2">
      <c r="A107" s="49">
        <v>44682</v>
      </c>
      <c r="B107" s="39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</row>
    <row r="108" spans="1:7" ht="11.25" customHeight="1" x14ac:dyDescent="0.2">
      <c r="A108" s="49">
        <v>44713</v>
      </c>
      <c r="B108" s="39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</row>
    <row r="109" spans="1:7" ht="11.25" customHeight="1" x14ac:dyDescent="0.2">
      <c r="A109" s="49">
        <v>44743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</row>
    <row r="110" spans="1:7" ht="11.25" customHeight="1" x14ac:dyDescent="0.2">
      <c r="A110" s="48" t="s">
        <v>25</v>
      </c>
      <c r="B110" s="39">
        <v>174710.39390526598</v>
      </c>
      <c r="C110" s="39">
        <v>0</v>
      </c>
      <c r="D110" s="39">
        <v>151384.14220985438</v>
      </c>
      <c r="E110" s="39">
        <v>0</v>
      </c>
      <c r="F110" s="39">
        <v>174710.39390526598</v>
      </c>
      <c r="G110" s="39">
        <v>151384.14220985438</v>
      </c>
    </row>
    <row r="111" spans="1:7" ht="11.25" customHeight="1" x14ac:dyDescent="0.2">
      <c r="A111" s="49">
        <v>44409</v>
      </c>
      <c r="B111" s="39">
        <v>12194.795382120001</v>
      </c>
      <c r="C111" s="39">
        <v>0</v>
      </c>
      <c r="D111" s="39">
        <v>10566.621693658064</v>
      </c>
      <c r="E111" s="39">
        <v>0</v>
      </c>
      <c r="F111" s="39">
        <v>12194.795382120001</v>
      </c>
      <c r="G111" s="39">
        <v>10566.621693658064</v>
      </c>
    </row>
    <row r="112" spans="1:7" ht="11.25" customHeight="1" x14ac:dyDescent="0.2">
      <c r="A112" s="49">
        <v>44440</v>
      </c>
      <c r="B112" s="39">
        <v>12048.624472950001</v>
      </c>
      <c r="C112" s="39">
        <v>0</v>
      </c>
      <c r="D112" s="39">
        <v>10439.966620619116</v>
      </c>
      <c r="E112" s="39">
        <v>0</v>
      </c>
      <c r="F112" s="39">
        <v>12048.624472950001</v>
      </c>
      <c r="G112" s="39">
        <v>10439.966620619116</v>
      </c>
    </row>
    <row r="113" spans="1:7" ht="11.25" customHeight="1" x14ac:dyDescent="0.2">
      <c r="A113" s="49">
        <v>44470</v>
      </c>
      <c r="B113" s="39">
        <v>11976.750772740001</v>
      </c>
      <c r="C113" s="39">
        <v>0</v>
      </c>
      <c r="D113" s="39">
        <v>10377.689052521828</v>
      </c>
      <c r="E113" s="39">
        <v>0</v>
      </c>
      <c r="F113" s="39">
        <v>11976.750772740001</v>
      </c>
      <c r="G113" s="39">
        <v>10377.689052521828</v>
      </c>
    </row>
    <row r="114" spans="1:7" ht="11.25" customHeight="1" x14ac:dyDescent="0.2">
      <c r="A114" s="49">
        <v>44501</v>
      </c>
      <c r="B114" s="39">
        <v>14057.315843382899</v>
      </c>
      <c r="C114" s="39">
        <v>0</v>
      </c>
      <c r="D114" s="39">
        <v>12180.46993745215</v>
      </c>
      <c r="E114" s="39">
        <v>0</v>
      </c>
      <c r="F114" s="39">
        <v>14057.315843382899</v>
      </c>
      <c r="G114" s="39">
        <v>12180.46993745215</v>
      </c>
    </row>
    <row r="115" spans="1:7" ht="11.25" customHeight="1" x14ac:dyDescent="0.2">
      <c r="A115" s="49">
        <v>44531</v>
      </c>
      <c r="B115" s="39">
        <v>15166.5071256216</v>
      </c>
      <c r="C115" s="39">
        <v>0</v>
      </c>
      <c r="D115" s="39">
        <v>13141.568856955488</v>
      </c>
      <c r="E115" s="39">
        <v>0</v>
      </c>
      <c r="F115" s="39">
        <v>15166.5071256216</v>
      </c>
      <c r="G115" s="39">
        <v>13141.568856955488</v>
      </c>
    </row>
    <row r="116" spans="1:7" ht="11.25" customHeight="1" x14ac:dyDescent="0.2">
      <c r="A116" s="49">
        <v>44562</v>
      </c>
      <c r="B116" s="39">
        <v>15229.342438563599</v>
      </c>
      <c r="C116" s="39">
        <v>0</v>
      </c>
      <c r="D116" s="39">
        <v>13196.014787375463</v>
      </c>
      <c r="E116" s="39">
        <v>0</v>
      </c>
      <c r="F116" s="39">
        <v>15229.342438563599</v>
      </c>
      <c r="G116" s="39">
        <v>13196.014787375463</v>
      </c>
    </row>
    <row r="117" spans="1:7" ht="11.25" customHeight="1" x14ac:dyDescent="0.2">
      <c r="A117" s="49">
        <v>44593</v>
      </c>
      <c r="B117" s="39">
        <v>15016.1188752504</v>
      </c>
      <c r="C117" s="39">
        <v>0</v>
      </c>
      <c r="D117" s="39">
        <v>13011.259516039976</v>
      </c>
      <c r="E117" s="39">
        <v>0</v>
      </c>
      <c r="F117" s="39">
        <v>15016.1188752504</v>
      </c>
      <c r="G117" s="39">
        <v>13011.259516039976</v>
      </c>
    </row>
    <row r="118" spans="1:7" ht="11.25" customHeight="1" x14ac:dyDescent="0.2">
      <c r="A118" s="49">
        <v>44621</v>
      </c>
      <c r="B118" s="39">
        <v>16440.2881964109</v>
      </c>
      <c r="C118" s="39">
        <v>0</v>
      </c>
      <c r="D118" s="39">
        <v>14245.282553973122</v>
      </c>
      <c r="E118" s="39">
        <v>0</v>
      </c>
      <c r="F118" s="39">
        <v>16440.2881964109</v>
      </c>
      <c r="G118" s="39">
        <v>14245.282553973122</v>
      </c>
    </row>
    <row r="119" spans="1:7" ht="11.25" customHeight="1" x14ac:dyDescent="0.2">
      <c r="A119" s="49">
        <v>44652</v>
      </c>
      <c r="B119" s="39">
        <v>15314.907573766799</v>
      </c>
      <c r="C119" s="39">
        <v>0</v>
      </c>
      <c r="D119" s="39">
        <v>13270.155794709179</v>
      </c>
      <c r="E119" s="39">
        <v>0</v>
      </c>
      <c r="F119" s="39">
        <v>15314.907573766799</v>
      </c>
      <c r="G119" s="39">
        <v>13270.155794709179</v>
      </c>
    </row>
    <row r="120" spans="1:7" ht="11.25" customHeight="1" x14ac:dyDescent="0.2">
      <c r="A120" s="49">
        <v>44682</v>
      </c>
      <c r="B120" s="39">
        <v>16306.296671579399</v>
      </c>
      <c r="C120" s="39">
        <v>0</v>
      </c>
      <c r="D120" s="39">
        <v>14129.180749171479</v>
      </c>
      <c r="E120" s="39">
        <v>0</v>
      </c>
      <c r="F120" s="39">
        <v>16306.296671579399</v>
      </c>
      <c r="G120" s="39">
        <v>14129.180749171479</v>
      </c>
    </row>
    <row r="121" spans="1:7" ht="11.25" customHeight="1" x14ac:dyDescent="0.2">
      <c r="A121" s="49">
        <v>44713</v>
      </c>
      <c r="B121" s="39">
        <v>15090.834498578099</v>
      </c>
      <c r="C121" s="39">
        <v>0</v>
      </c>
      <c r="D121" s="39">
        <v>13075.999571249693</v>
      </c>
      <c r="E121" s="39">
        <v>0</v>
      </c>
      <c r="F121" s="39">
        <v>15090.834498578099</v>
      </c>
      <c r="G121" s="39">
        <v>13075.999571249693</v>
      </c>
    </row>
    <row r="122" spans="1:7" ht="11.25" customHeight="1" x14ac:dyDescent="0.2">
      <c r="A122" s="49">
        <v>44743</v>
      </c>
      <c r="B122" s="39">
        <v>15868.612054302299</v>
      </c>
      <c r="C122" s="39">
        <v>0</v>
      </c>
      <c r="D122" s="39">
        <v>13749.9330761288</v>
      </c>
      <c r="E122" s="39">
        <v>0</v>
      </c>
      <c r="F122" s="39">
        <v>15868.612054302299</v>
      </c>
      <c r="G122" s="39">
        <v>13749.9330761288</v>
      </c>
    </row>
    <row r="123" spans="1:7" ht="11.25" customHeight="1" x14ac:dyDescent="0.2">
      <c r="A123" s="48" t="s">
        <v>36</v>
      </c>
      <c r="B123" s="39">
        <v>0</v>
      </c>
      <c r="C123" s="39">
        <v>362315.06792831625</v>
      </c>
      <c r="D123" s="39">
        <v>0</v>
      </c>
      <c r="E123" s="39">
        <v>327506.44171303138</v>
      </c>
      <c r="F123" s="39">
        <v>362315.06792831625</v>
      </c>
      <c r="G123" s="39">
        <v>327506.44171303138</v>
      </c>
    </row>
    <row r="124" spans="1:7" ht="11.25" customHeight="1" x14ac:dyDescent="0.2">
      <c r="A124" s="49">
        <v>44409</v>
      </c>
      <c r="B124" s="39">
        <v>0</v>
      </c>
      <c r="C124" s="39">
        <v>23620.562218466013</v>
      </c>
      <c r="D124" s="39">
        <v>0</v>
      </c>
      <c r="E124" s="39">
        <v>21351.268462733686</v>
      </c>
      <c r="F124" s="39">
        <v>23620.562218466013</v>
      </c>
      <c r="G124" s="39">
        <v>21351.268462733686</v>
      </c>
    </row>
    <row r="125" spans="1:7" ht="11.25" customHeight="1" x14ac:dyDescent="0.2">
      <c r="A125" s="49">
        <v>44440</v>
      </c>
      <c r="B125" s="39">
        <v>0</v>
      </c>
      <c r="C125" s="39">
        <v>21150.992263161603</v>
      </c>
      <c r="D125" s="39">
        <v>0</v>
      </c>
      <c r="E125" s="39">
        <v>19118.957029351131</v>
      </c>
      <c r="F125" s="39">
        <v>21150.992263161603</v>
      </c>
      <c r="G125" s="39">
        <v>19118.957029351131</v>
      </c>
    </row>
    <row r="126" spans="1:7" ht="11.25" customHeight="1" x14ac:dyDescent="0.2">
      <c r="A126" s="49">
        <v>44470</v>
      </c>
      <c r="B126" s="39">
        <v>0</v>
      </c>
      <c r="C126" s="39">
        <v>21201.243898125376</v>
      </c>
      <c r="D126" s="39">
        <v>0</v>
      </c>
      <c r="E126" s="39">
        <v>19164.380848601464</v>
      </c>
      <c r="F126" s="39">
        <v>21201.243898125376</v>
      </c>
      <c r="G126" s="39">
        <v>19164.380848601464</v>
      </c>
    </row>
    <row r="127" spans="1:7" ht="11.25" customHeight="1" x14ac:dyDescent="0.2">
      <c r="A127" s="49">
        <v>44501</v>
      </c>
      <c r="B127" s="39">
        <v>0</v>
      </c>
      <c r="C127" s="39">
        <v>30436.18403109557</v>
      </c>
      <c r="D127" s="39">
        <v>0</v>
      </c>
      <c r="E127" s="39">
        <v>27512.094344691373</v>
      </c>
      <c r="F127" s="39">
        <v>30436.18403109557</v>
      </c>
      <c r="G127" s="39">
        <v>27512.094344691373</v>
      </c>
    </row>
    <row r="128" spans="1:7" ht="11.25" customHeight="1" x14ac:dyDescent="0.2">
      <c r="A128" s="49">
        <v>44531</v>
      </c>
      <c r="B128" s="39">
        <v>0</v>
      </c>
      <c r="C128" s="39">
        <v>33854.496818291096</v>
      </c>
      <c r="D128" s="39">
        <v>0</v>
      </c>
      <c r="E128" s="39">
        <v>30602.000221357968</v>
      </c>
      <c r="F128" s="39">
        <v>33854.496818291096</v>
      </c>
      <c r="G128" s="39">
        <v>30602.000221357968</v>
      </c>
    </row>
    <row r="129" spans="1:7" ht="11.25" customHeight="1" x14ac:dyDescent="0.2">
      <c r="A129" s="49">
        <v>44562</v>
      </c>
      <c r="B129" s="39">
        <v>0</v>
      </c>
      <c r="C129" s="39">
        <v>33344.098574308824</v>
      </c>
      <c r="D129" s="39">
        <v>0</v>
      </c>
      <c r="E129" s="39">
        <v>30140.637370237779</v>
      </c>
      <c r="F129" s="39">
        <v>33344.098574308824</v>
      </c>
      <c r="G129" s="39">
        <v>30140.637370237779</v>
      </c>
    </row>
    <row r="130" spans="1:7" ht="11.25" customHeight="1" x14ac:dyDescent="0.2">
      <c r="A130" s="49">
        <v>44593</v>
      </c>
      <c r="B130" s="39">
        <v>0</v>
      </c>
      <c r="C130" s="39">
        <v>32794.452497525766</v>
      </c>
      <c r="D130" s="39">
        <v>0</v>
      </c>
      <c r="E130" s="39">
        <v>29643.797335849915</v>
      </c>
      <c r="F130" s="39">
        <v>32794.452497525766</v>
      </c>
      <c r="G130" s="39">
        <v>29643.797335849915</v>
      </c>
    </row>
    <row r="131" spans="1:7" ht="11.25" customHeight="1" x14ac:dyDescent="0.2">
      <c r="A131" s="49">
        <v>44621</v>
      </c>
      <c r="B131" s="39">
        <v>0</v>
      </c>
      <c r="C131" s="39">
        <v>38449.61371216413</v>
      </c>
      <c r="D131" s="39">
        <v>0</v>
      </c>
      <c r="E131" s="39">
        <v>34755.651328867367</v>
      </c>
      <c r="F131" s="39">
        <v>38449.61371216413</v>
      </c>
      <c r="G131" s="39">
        <v>34755.651328867367</v>
      </c>
    </row>
    <row r="132" spans="1:7" ht="11.25" customHeight="1" x14ac:dyDescent="0.2">
      <c r="A132" s="49">
        <v>44652</v>
      </c>
      <c r="B132" s="39">
        <v>0</v>
      </c>
      <c r="C132" s="39">
        <v>29804.213629235066</v>
      </c>
      <c r="D132" s="39">
        <v>0</v>
      </c>
      <c r="E132" s="39">
        <v>26940.839114361734</v>
      </c>
      <c r="F132" s="39">
        <v>29804.213629235066</v>
      </c>
      <c r="G132" s="39">
        <v>26940.839114361734</v>
      </c>
    </row>
    <row r="133" spans="1:7" ht="11.25" customHeight="1" x14ac:dyDescent="0.2">
      <c r="A133" s="49">
        <v>44682</v>
      </c>
      <c r="B133" s="39">
        <v>0</v>
      </c>
      <c r="C133" s="39">
        <v>32890.866512800276</v>
      </c>
      <c r="D133" s="39">
        <v>0</v>
      </c>
      <c r="E133" s="39">
        <v>29730.948585877606</v>
      </c>
      <c r="F133" s="39">
        <v>32890.866512800276</v>
      </c>
      <c r="G133" s="39">
        <v>29730.948585877606</v>
      </c>
    </row>
    <row r="134" spans="1:7" ht="11.25" customHeight="1" x14ac:dyDescent="0.2">
      <c r="A134" s="49">
        <v>44713</v>
      </c>
      <c r="B134" s="39">
        <v>0</v>
      </c>
      <c r="C134" s="39">
        <v>31970.903855729564</v>
      </c>
      <c r="D134" s="39">
        <v>0</v>
      </c>
      <c r="E134" s="39">
        <v>28899.369325183692</v>
      </c>
      <c r="F134" s="39">
        <v>31970.903855729564</v>
      </c>
      <c r="G134" s="39">
        <v>28899.369325183692</v>
      </c>
    </row>
    <row r="135" spans="1:7" ht="11.25" customHeight="1" x14ac:dyDescent="0.2">
      <c r="A135" s="49">
        <v>44743</v>
      </c>
      <c r="B135" s="39">
        <v>0</v>
      </c>
      <c r="C135" s="39">
        <v>32797.439917412936</v>
      </c>
      <c r="D135" s="39">
        <v>0</v>
      </c>
      <c r="E135" s="39">
        <v>29646.497745917717</v>
      </c>
      <c r="F135" s="39">
        <v>32797.439917412936</v>
      </c>
      <c r="G135" s="39">
        <v>29646.497745917717</v>
      </c>
    </row>
    <row r="136" spans="1:7" ht="11.25" customHeight="1" x14ac:dyDescent="0.2">
      <c r="A136" s="41" t="s">
        <v>622</v>
      </c>
      <c r="B136" s="39">
        <v>0</v>
      </c>
      <c r="C136" s="39">
        <v>1029.961600000001</v>
      </c>
      <c r="D136" s="39">
        <v>0</v>
      </c>
      <c r="E136" s="39">
        <v>555.28992597097886</v>
      </c>
      <c r="F136" s="39">
        <v>1029.961600000001</v>
      </c>
      <c r="G136" s="39">
        <v>555.28992597097886</v>
      </c>
    </row>
    <row r="137" spans="1:7" ht="11.25" customHeight="1" x14ac:dyDescent="0.2">
      <c r="A137" s="42" t="s">
        <v>41</v>
      </c>
      <c r="B137" s="39">
        <v>0</v>
      </c>
      <c r="C137" s="39">
        <v>1029.961600000001</v>
      </c>
      <c r="D137" s="39">
        <v>0</v>
      </c>
      <c r="E137" s="39">
        <v>555.28992597097886</v>
      </c>
      <c r="F137" s="39">
        <v>1029.961600000001</v>
      </c>
      <c r="G137" s="39">
        <v>555.28992597097886</v>
      </c>
    </row>
    <row r="138" spans="1:7" ht="11.25" customHeight="1" x14ac:dyDescent="0.2">
      <c r="A138" s="43" t="s">
        <v>23</v>
      </c>
      <c r="B138" s="39">
        <v>0</v>
      </c>
      <c r="C138" s="39">
        <v>1029.961600000001</v>
      </c>
      <c r="D138" s="39">
        <v>0</v>
      </c>
      <c r="E138" s="39">
        <v>555.28992597097886</v>
      </c>
      <c r="F138" s="39">
        <v>1029.961600000001</v>
      </c>
      <c r="G138" s="39">
        <v>555.28992597097886</v>
      </c>
    </row>
    <row r="139" spans="1:7" ht="11.25" customHeight="1" x14ac:dyDescent="0.2">
      <c r="A139" s="44" t="s">
        <v>42</v>
      </c>
      <c r="B139" s="39">
        <v>0</v>
      </c>
      <c r="C139" s="39">
        <v>1029.961600000001</v>
      </c>
      <c r="D139" s="39">
        <v>0</v>
      </c>
      <c r="E139" s="39">
        <v>555.28992597097886</v>
      </c>
      <c r="F139" s="39">
        <v>1029.961600000001</v>
      </c>
      <c r="G139" s="39">
        <v>555.28992597097886</v>
      </c>
    </row>
    <row r="140" spans="1:7" ht="11.25" customHeight="1" x14ac:dyDescent="0.2">
      <c r="A140" s="45" t="s">
        <v>25</v>
      </c>
      <c r="B140" s="39">
        <v>0</v>
      </c>
      <c r="C140" s="39">
        <v>1029.961600000001</v>
      </c>
      <c r="D140" s="39">
        <v>0</v>
      </c>
      <c r="E140" s="39">
        <v>555.28992597097886</v>
      </c>
      <c r="F140" s="39">
        <v>1029.961600000001</v>
      </c>
      <c r="G140" s="39">
        <v>555.28992597097886</v>
      </c>
    </row>
    <row r="141" spans="1:7" ht="11.25" customHeight="1" x14ac:dyDescent="0.2">
      <c r="A141" s="46" t="s">
        <v>25</v>
      </c>
      <c r="B141" s="39">
        <v>0</v>
      </c>
      <c r="C141" s="39">
        <v>1029.961600000001</v>
      </c>
      <c r="D141" s="39">
        <v>0</v>
      </c>
      <c r="E141" s="39">
        <v>555.28992597097886</v>
      </c>
      <c r="F141" s="39">
        <v>1029.961600000001</v>
      </c>
      <c r="G141" s="39">
        <v>555.28992597097886</v>
      </c>
    </row>
    <row r="142" spans="1:7" ht="11.25" customHeight="1" x14ac:dyDescent="0.2">
      <c r="A142" s="47" t="s">
        <v>25</v>
      </c>
      <c r="B142" s="39">
        <v>0</v>
      </c>
      <c r="C142" s="39">
        <v>1029.961600000001</v>
      </c>
      <c r="D142" s="39">
        <v>0</v>
      </c>
      <c r="E142" s="39">
        <v>555.28992597097886</v>
      </c>
      <c r="F142" s="39">
        <v>1029.961600000001</v>
      </c>
      <c r="G142" s="39">
        <v>555.28992597097886</v>
      </c>
    </row>
    <row r="143" spans="1:7" ht="11.25" customHeight="1" x14ac:dyDescent="0.2">
      <c r="A143" s="48" t="s">
        <v>25</v>
      </c>
      <c r="B143" s="39">
        <v>0</v>
      </c>
      <c r="C143" s="39">
        <v>1029.961600000001</v>
      </c>
      <c r="D143" s="39">
        <v>0</v>
      </c>
      <c r="E143" s="39">
        <v>555.28992597097886</v>
      </c>
      <c r="F143" s="39">
        <v>1029.961600000001</v>
      </c>
      <c r="G143" s="39">
        <v>555.28992597097886</v>
      </c>
    </row>
    <row r="144" spans="1:7" ht="11.25" customHeight="1" x14ac:dyDescent="0.2">
      <c r="A144" s="49">
        <v>44409</v>
      </c>
      <c r="B144" s="39">
        <v>0</v>
      </c>
      <c r="C144" s="39">
        <v>74.202470000000048</v>
      </c>
      <c r="D144" s="39">
        <v>0</v>
      </c>
      <c r="E144" s="39">
        <v>40.005262403145686</v>
      </c>
      <c r="F144" s="39">
        <v>74.202470000000048</v>
      </c>
      <c r="G144" s="39">
        <v>40.005262403145686</v>
      </c>
    </row>
    <row r="145" spans="1:7" ht="11.25" customHeight="1" x14ac:dyDescent="0.2">
      <c r="A145" s="49">
        <v>44440</v>
      </c>
      <c r="B145" s="39">
        <v>0</v>
      </c>
      <c r="C145" s="39">
        <v>80.291770000000071</v>
      </c>
      <c r="D145" s="39">
        <v>0</v>
      </c>
      <c r="E145" s="39">
        <v>43.288226492501138</v>
      </c>
      <c r="F145" s="39">
        <v>80.291770000000071</v>
      </c>
      <c r="G145" s="39">
        <v>43.288226492501138</v>
      </c>
    </row>
    <row r="146" spans="1:7" ht="11.25" customHeight="1" x14ac:dyDescent="0.2">
      <c r="A146" s="49">
        <v>44470</v>
      </c>
      <c r="B146" s="39">
        <v>0</v>
      </c>
      <c r="C146" s="39">
        <v>88.642810000000054</v>
      </c>
      <c r="D146" s="39">
        <v>0</v>
      </c>
      <c r="E146" s="39">
        <v>47.790577243617172</v>
      </c>
      <c r="F146" s="39">
        <v>88.642810000000054</v>
      </c>
      <c r="G146" s="39">
        <v>47.790577243617172</v>
      </c>
    </row>
    <row r="147" spans="1:7" ht="11.25" customHeight="1" x14ac:dyDescent="0.2">
      <c r="A147" s="49">
        <v>44501</v>
      </c>
      <c r="B147" s="39">
        <v>0</v>
      </c>
      <c r="C147" s="39">
        <v>80.987690000000072</v>
      </c>
      <c r="D147" s="39">
        <v>0</v>
      </c>
      <c r="E147" s="39">
        <v>43.66342238842747</v>
      </c>
      <c r="F147" s="39">
        <v>80.987690000000072</v>
      </c>
      <c r="G147" s="39">
        <v>43.66342238842747</v>
      </c>
    </row>
    <row r="148" spans="1:7" ht="11.25" customHeight="1" x14ac:dyDescent="0.2">
      <c r="A148" s="49">
        <v>44531</v>
      </c>
      <c r="B148" s="39">
        <v>0</v>
      </c>
      <c r="C148" s="39">
        <v>101.95228000000007</v>
      </c>
      <c r="D148" s="39">
        <v>0</v>
      </c>
      <c r="E148" s="39">
        <v>54.966198753208367</v>
      </c>
      <c r="F148" s="39">
        <v>101.95228000000007</v>
      </c>
      <c r="G148" s="39">
        <v>54.966198753208367</v>
      </c>
    </row>
    <row r="149" spans="1:7" ht="11.25" customHeight="1" x14ac:dyDescent="0.2">
      <c r="A149" s="49">
        <v>44562</v>
      </c>
      <c r="B149" s="39">
        <v>0</v>
      </c>
      <c r="C149" s="39">
        <v>98.646660000000068</v>
      </c>
      <c r="D149" s="39">
        <v>0</v>
      </c>
      <c r="E149" s="39">
        <v>53.184018247558264</v>
      </c>
      <c r="F149" s="39">
        <v>98.646660000000068</v>
      </c>
      <c r="G149" s="39">
        <v>53.184018247558264</v>
      </c>
    </row>
    <row r="150" spans="1:7" ht="11.25" customHeight="1" x14ac:dyDescent="0.2">
      <c r="A150" s="49">
        <v>44593</v>
      </c>
      <c r="B150" s="39">
        <v>0</v>
      </c>
      <c r="C150" s="39">
        <v>128.5712200000001</v>
      </c>
      <c r="D150" s="39">
        <v>0</v>
      </c>
      <c r="E150" s="39">
        <v>69.317441772390765</v>
      </c>
      <c r="F150" s="39">
        <v>128.5712200000001</v>
      </c>
      <c r="G150" s="39">
        <v>69.317441772390765</v>
      </c>
    </row>
    <row r="151" spans="1:7" ht="11.25" customHeight="1" x14ac:dyDescent="0.2">
      <c r="A151" s="49">
        <v>44621</v>
      </c>
      <c r="B151" s="39">
        <v>0</v>
      </c>
      <c r="C151" s="39">
        <v>93.253280000000075</v>
      </c>
      <c r="D151" s="39">
        <v>0</v>
      </c>
      <c r="E151" s="39">
        <v>50.276250054129164</v>
      </c>
      <c r="F151" s="39">
        <v>93.253280000000075</v>
      </c>
      <c r="G151" s="39">
        <v>50.276250054129164</v>
      </c>
    </row>
    <row r="152" spans="1:7" ht="11.25" customHeight="1" x14ac:dyDescent="0.2">
      <c r="A152" s="49">
        <v>44652</v>
      </c>
      <c r="B152" s="39">
        <v>0</v>
      </c>
      <c r="C152" s="39">
        <v>99.429570000000083</v>
      </c>
      <c r="D152" s="39">
        <v>0</v>
      </c>
      <c r="E152" s="39">
        <v>53.606113630475399</v>
      </c>
      <c r="F152" s="39">
        <v>99.429570000000083</v>
      </c>
      <c r="G152" s="39">
        <v>53.606113630475399</v>
      </c>
    </row>
    <row r="153" spans="1:7" ht="11.25" customHeight="1" x14ac:dyDescent="0.2">
      <c r="A153" s="49">
        <v>44682</v>
      </c>
      <c r="B153" s="39">
        <v>0</v>
      </c>
      <c r="C153" s="39">
        <v>67.069290000000052</v>
      </c>
      <c r="D153" s="39">
        <v>0</v>
      </c>
      <c r="E153" s="39">
        <v>36.159504469900732</v>
      </c>
      <c r="F153" s="39">
        <v>67.069290000000052</v>
      </c>
      <c r="G153" s="39">
        <v>36.159504469900732</v>
      </c>
    </row>
    <row r="154" spans="1:7" ht="11.25" customHeight="1" x14ac:dyDescent="0.2">
      <c r="A154" s="49">
        <v>44713</v>
      </c>
      <c r="B154" s="39">
        <v>0</v>
      </c>
      <c r="C154" s="39">
        <v>60.284070000000042</v>
      </c>
      <c r="D154" s="39">
        <v>0</v>
      </c>
      <c r="E154" s="39">
        <v>32.50134448461894</v>
      </c>
      <c r="F154" s="39">
        <v>60.284070000000042</v>
      </c>
      <c r="G154" s="39">
        <v>32.50134448461894</v>
      </c>
    </row>
    <row r="155" spans="1:7" ht="11.25" customHeight="1" x14ac:dyDescent="0.2">
      <c r="A155" s="49">
        <v>44743</v>
      </c>
      <c r="B155" s="39">
        <v>0</v>
      </c>
      <c r="C155" s="39">
        <v>56.630490000000044</v>
      </c>
      <c r="D155" s="39">
        <v>0</v>
      </c>
      <c r="E155" s="39">
        <v>30.531566031005674</v>
      </c>
      <c r="F155" s="39">
        <v>56.630490000000044</v>
      </c>
      <c r="G155" s="39">
        <v>30.531566031005674</v>
      </c>
    </row>
    <row r="156" spans="1:7" ht="11.25" customHeight="1" x14ac:dyDescent="0.2">
      <c r="A156" s="41" t="s">
        <v>629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</row>
    <row r="157" spans="1:7" ht="11.25" customHeight="1" x14ac:dyDescent="0.2">
      <c r="A157" s="42" t="s">
        <v>22</v>
      </c>
      <c r="B157" s="39">
        <v>0</v>
      </c>
      <c r="C157" s="39">
        <v>0</v>
      </c>
      <c r="D157" s="39">
        <v>0</v>
      </c>
      <c r="E157" s="39">
        <v>0</v>
      </c>
      <c r="F157" s="39">
        <v>0</v>
      </c>
      <c r="G157" s="39">
        <v>0</v>
      </c>
    </row>
    <row r="158" spans="1:7" ht="11.25" customHeight="1" x14ac:dyDescent="0.2">
      <c r="A158" s="43" t="s">
        <v>23</v>
      </c>
      <c r="B158" s="39">
        <v>0</v>
      </c>
      <c r="C158" s="39">
        <v>0</v>
      </c>
      <c r="D158" s="39">
        <v>0</v>
      </c>
      <c r="E158" s="39">
        <v>0</v>
      </c>
      <c r="F158" s="39">
        <v>0</v>
      </c>
      <c r="G158" s="39">
        <v>0</v>
      </c>
    </row>
    <row r="159" spans="1:7" ht="11.25" customHeight="1" x14ac:dyDescent="0.2">
      <c r="A159" s="44" t="s">
        <v>24</v>
      </c>
      <c r="B159" s="39">
        <v>0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</row>
    <row r="160" spans="1:7" ht="11.25" customHeight="1" x14ac:dyDescent="0.2">
      <c r="A160" s="45" t="s">
        <v>24</v>
      </c>
      <c r="B160" s="39">
        <v>0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</row>
    <row r="161" spans="1:7" ht="11.25" customHeight="1" x14ac:dyDescent="0.2">
      <c r="A161" s="46" t="s">
        <v>25</v>
      </c>
      <c r="B161" s="39">
        <v>0</v>
      </c>
      <c r="C161" s="39">
        <v>0</v>
      </c>
      <c r="D161" s="39">
        <v>0</v>
      </c>
      <c r="E161" s="39">
        <v>0</v>
      </c>
      <c r="F161" s="39">
        <v>0</v>
      </c>
      <c r="G161" s="39">
        <v>0</v>
      </c>
    </row>
    <row r="162" spans="1:7" ht="11.25" customHeight="1" x14ac:dyDescent="0.2">
      <c r="A162" s="47" t="s">
        <v>25</v>
      </c>
      <c r="B162" s="39">
        <v>0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</row>
    <row r="163" spans="1:7" ht="11.25" customHeight="1" x14ac:dyDescent="0.2">
      <c r="A163" s="48" t="s">
        <v>25</v>
      </c>
      <c r="B163" s="39">
        <v>0</v>
      </c>
      <c r="C163" s="39">
        <v>0</v>
      </c>
      <c r="D163" s="39">
        <v>0</v>
      </c>
      <c r="E163" s="39">
        <v>0</v>
      </c>
      <c r="F163" s="39">
        <v>0</v>
      </c>
      <c r="G163" s="39">
        <v>0</v>
      </c>
    </row>
    <row r="164" spans="1:7" ht="11.25" customHeight="1" x14ac:dyDescent="0.2">
      <c r="A164" s="49">
        <v>44409</v>
      </c>
      <c r="B164" s="39">
        <v>0</v>
      </c>
      <c r="C164" s="39">
        <v>0</v>
      </c>
      <c r="D164" s="39">
        <v>0</v>
      </c>
      <c r="E164" s="39">
        <v>0</v>
      </c>
      <c r="F164" s="39">
        <v>0</v>
      </c>
      <c r="G164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F9A2-09E7-4139-BEC5-520FC03E2B4E}">
  <sheetPr codeName="Planilha21"/>
  <dimension ref="A1:V35"/>
  <sheetViews>
    <sheetView showGridLines="0" topLeftCell="B1" workbookViewId="0">
      <selection activeCell="R15" sqref="R15"/>
    </sheetView>
  </sheetViews>
  <sheetFormatPr defaultColWidth="9.140625"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128" t="s">
        <v>696</v>
      </c>
      <c r="B1" s="157"/>
      <c r="C1" s="157"/>
      <c r="D1" s="157"/>
      <c r="E1" s="157"/>
      <c r="F1" s="157"/>
      <c r="G1" s="157"/>
      <c r="H1" s="157"/>
      <c r="I1" s="157"/>
      <c r="J1" s="157"/>
      <c r="L1" s="128" t="s">
        <v>706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</row>
    <row r="2" spans="1:22" ht="11.25" customHeight="1" x14ac:dyDescent="0.25">
      <c r="A2" s="149" t="s">
        <v>58</v>
      </c>
      <c r="B2" s="149" t="s">
        <v>59</v>
      </c>
      <c r="C2" s="149" t="s">
        <v>697</v>
      </c>
      <c r="D2" s="149" t="s">
        <v>64</v>
      </c>
      <c r="E2" s="149" t="s">
        <v>698</v>
      </c>
      <c r="F2" s="155"/>
      <c r="G2" s="155"/>
      <c r="H2" s="149" t="s">
        <v>461</v>
      </c>
      <c r="I2" s="155"/>
      <c r="J2" s="155"/>
      <c r="L2" s="149" t="s">
        <v>58</v>
      </c>
      <c r="M2" s="149" t="s">
        <v>59</v>
      </c>
      <c r="N2" s="149" t="s">
        <v>60</v>
      </c>
      <c r="O2" s="149" t="s">
        <v>61</v>
      </c>
      <c r="P2" s="149" t="s">
        <v>64</v>
      </c>
      <c r="Q2" s="149" t="s">
        <v>698</v>
      </c>
      <c r="R2" s="156"/>
      <c r="S2" s="156"/>
      <c r="T2" s="149" t="s">
        <v>461</v>
      </c>
      <c r="U2" s="156"/>
      <c r="V2" s="156"/>
    </row>
    <row r="3" spans="1:22" ht="11.25" customHeight="1" x14ac:dyDescent="0.25">
      <c r="A3" s="155"/>
      <c r="B3" s="155"/>
      <c r="C3" s="155"/>
      <c r="D3" s="155"/>
      <c r="E3" s="149" t="s">
        <v>419</v>
      </c>
      <c r="F3" s="155"/>
      <c r="G3" s="30" t="s">
        <v>447</v>
      </c>
      <c r="H3" s="149" t="s">
        <v>419</v>
      </c>
      <c r="I3" s="155"/>
      <c r="J3" s="30" t="s">
        <v>447</v>
      </c>
      <c r="L3" s="156"/>
      <c r="M3" s="156"/>
      <c r="N3" s="156"/>
      <c r="O3" s="156"/>
      <c r="P3" s="156"/>
      <c r="Q3" s="149" t="s">
        <v>419</v>
      </c>
      <c r="R3" s="156"/>
      <c r="S3" s="30" t="s">
        <v>447</v>
      </c>
      <c r="T3" s="149" t="s">
        <v>419</v>
      </c>
      <c r="U3" s="156"/>
      <c r="V3" s="30" t="s">
        <v>447</v>
      </c>
    </row>
    <row r="4" spans="1:22" ht="11.25" customHeight="1" x14ac:dyDescent="0.25">
      <c r="A4" s="155"/>
      <c r="B4" s="155"/>
      <c r="C4" s="155"/>
      <c r="D4" s="155"/>
      <c r="E4" s="30" t="s">
        <v>699</v>
      </c>
      <c r="F4" s="30" t="s">
        <v>700</v>
      </c>
      <c r="G4" s="30" t="s">
        <v>700</v>
      </c>
      <c r="H4" s="30" t="s">
        <v>699</v>
      </c>
      <c r="I4" s="30" t="s">
        <v>700</v>
      </c>
      <c r="J4" s="30" t="s">
        <v>700</v>
      </c>
      <c r="L4" s="156"/>
      <c r="M4" s="156"/>
      <c r="N4" s="156"/>
      <c r="O4" s="156"/>
      <c r="P4" s="156"/>
      <c r="Q4" s="30" t="s">
        <v>699</v>
      </c>
      <c r="R4" s="30" t="s">
        <v>700</v>
      </c>
      <c r="S4" s="30" t="s">
        <v>700</v>
      </c>
      <c r="T4" s="30" t="s">
        <v>699</v>
      </c>
      <c r="U4" s="30" t="s">
        <v>700</v>
      </c>
      <c r="V4" s="30" t="s">
        <v>700</v>
      </c>
    </row>
    <row r="5" spans="1:22" ht="11.25" customHeight="1" x14ac:dyDescent="0.25">
      <c r="A5" s="154" t="s">
        <v>34</v>
      </c>
      <c r="B5" s="154" t="s">
        <v>73</v>
      </c>
      <c r="C5" s="154" t="s">
        <v>25</v>
      </c>
      <c r="D5" s="31" t="s">
        <v>701</v>
      </c>
      <c r="E5" s="29">
        <f ca="1">ROUND('TUSD BE'!$AM$5+'TUSD BF_350'!$AM$5+'TUSD CVA'!$AM$5,2)</f>
        <v>32.35</v>
      </c>
      <c r="F5" s="29">
        <f ca="1">ROUND('TUSD BE'!$AM$7+'TUSD BF_350'!$AM$7+'TUSD CVA'!$AM$7,2)</f>
        <v>126.25</v>
      </c>
      <c r="G5" s="29">
        <f ca="1">ROUND('TE BE'!$AB$5+'TE BF_350'!$AB$5+'TE CVA'!$AB$5,2)</f>
        <v>399.84</v>
      </c>
      <c r="H5" s="29">
        <f ca="1">ROUND('TUSD BE'!$AM$5,2)</f>
        <v>49.16</v>
      </c>
      <c r="I5" s="29">
        <f ca="1">ROUND('TUSD BE'!$AM$7,2)</f>
        <v>92.28</v>
      </c>
      <c r="J5" s="29">
        <f>ROUND('TE BE'!$AB$5,2)</f>
        <v>461.96</v>
      </c>
      <c r="L5" s="151" t="s">
        <v>22</v>
      </c>
      <c r="M5" s="151" t="s">
        <v>707</v>
      </c>
      <c r="N5" s="151" t="s">
        <v>708</v>
      </c>
      <c r="O5" s="151" t="s">
        <v>708</v>
      </c>
      <c r="P5" s="31" t="s">
        <v>701</v>
      </c>
      <c r="Q5" s="29">
        <v>0</v>
      </c>
      <c r="R5" s="29">
        <f ca="1">ROUND('TUSD BE'!$AM$17+'TUSD BF_350'!$AM$17+'TUSD CVA'!$AM$17,2)</f>
        <v>571.59</v>
      </c>
      <c r="S5" s="29">
        <f ca="1">ROUND('TE BE'!$AB$8+'TE BF_350'!$AB$8+'TE CVA'!$AB$8,2)</f>
        <v>399.84</v>
      </c>
      <c r="T5" s="29">
        <v>0</v>
      </c>
      <c r="U5" s="29">
        <f ca="1">ROUND('TUSD BE'!$AM$17,2)</f>
        <v>1102.83</v>
      </c>
      <c r="V5" s="29">
        <f>ROUND('TE BE'!$AB$8,2)</f>
        <v>461.96</v>
      </c>
    </row>
    <row r="6" spans="1:22" ht="11.25" customHeight="1" x14ac:dyDescent="0.25">
      <c r="A6" s="155"/>
      <c r="B6" s="155"/>
      <c r="C6" s="155"/>
      <c r="D6" s="31" t="s">
        <v>702</v>
      </c>
      <c r="E6" s="29">
        <f ca="1">ROUND('TUSD BE'!$AM$6+'TUSD BF_350'!$AM$6+'TUSD CVA'!$AM$6,2)</f>
        <v>15.64</v>
      </c>
      <c r="F6" s="29">
        <f ca="1">ROUND('TUSD BE'!$AM$7+'TUSD BF_350'!$AM$7+'TUSD CVA'!$AM$7,2)</f>
        <v>126.25</v>
      </c>
      <c r="G6" s="29">
        <f ca="1">ROUND('TE BE'!$AB$6+'TE BF_350'!$AB$6+'TE CVA'!$AB$6,2)</f>
        <v>250.04</v>
      </c>
      <c r="H6" s="29">
        <f ca="1">ROUND('TUSD BE'!$AM$6,2)</f>
        <v>18.03</v>
      </c>
      <c r="I6" s="29">
        <f ca="1">ROUND('TUSD BE'!$AM$7,2)</f>
        <v>92.28</v>
      </c>
      <c r="J6" s="29">
        <f>ROUND('TE BE'!$AB$6,2)</f>
        <v>269.77</v>
      </c>
      <c r="L6" s="152"/>
      <c r="M6" s="152"/>
      <c r="N6" s="152"/>
      <c r="O6" s="152"/>
      <c r="P6" s="31" t="s">
        <v>709</v>
      </c>
      <c r="Q6" s="29">
        <v>0</v>
      </c>
      <c r="R6" s="29">
        <f ca="1">ROUND('TUSD BE'!$AM$18+'TUSD BF_350'!$AM$18+'TUSD CVA'!$AM$18,2)</f>
        <v>405.71</v>
      </c>
      <c r="S6" s="29">
        <f ca="1">ROUND('TE BE'!$AB$9+'TE BF_350'!$AB$9+'TE CVA'!$AB$9,2)</f>
        <v>250.04</v>
      </c>
      <c r="T6" s="29">
        <v>0</v>
      </c>
      <c r="U6" s="29">
        <f ca="1">ROUND('TUSD BE'!$AM$18,2)</f>
        <v>712.18</v>
      </c>
      <c r="V6" s="29">
        <f>ROUND('TE BE'!$AB$9,2)</f>
        <v>269.77</v>
      </c>
    </row>
    <row r="7" spans="1:22" ht="11.25" customHeight="1" x14ac:dyDescent="0.25">
      <c r="A7" s="155"/>
      <c r="B7" s="154" t="s">
        <v>703</v>
      </c>
      <c r="C7" s="154" t="s">
        <v>25</v>
      </c>
      <c r="D7" s="31" t="s">
        <v>701</v>
      </c>
      <c r="E7" s="29">
        <f ca="1">ROUND('TUSD BE'!$AM$5+'TUSD BF_350'!$AM$5+'TUSD CVA'!$AM$5,2)</f>
        <v>32.35</v>
      </c>
      <c r="F7" s="29">
        <f ca="1">ROUND('TUSD BE'!$AM$8+'TUSD BF_350'!$AM$8+'TUSD CVA'!$AM$8,2)</f>
        <v>20.49</v>
      </c>
      <c r="G7" s="29">
        <v>0</v>
      </c>
      <c r="H7" s="29">
        <f ca="1">ROUND('TUSD BE'!$AM$5,2)</f>
        <v>49.16</v>
      </c>
      <c r="I7" s="29">
        <f ca="1">ROUND('TUSD BE'!$AM$8,2)</f>
        <v>3.17</v>
      </c>
      <c r="J7" s="29">
        <v>0</v>
      </c>
      <c r="L7" s="152"/>
      <c r="M7" s="153"/>
      <c r="N7" s="153"/>
      <c r="O7" s="153"/>
      <c r="P7" s="31" t="s">
        <v>702</v>
      </c>
      <c r="Q7" s="29">
        <v>0</v>
      </c>
      <c r="R7" s="29">
        <f ca="1">ROUND('TUSD BE'!$AM$19+'TUSD BF_350'!$AM$19+'TUSD CVA'!$AM$19,2)</f>
        <v>239.83</v>
      </c>
      <c r="S7" s="29">
        <f ca="1">ROUND('TE BE'!$AB$10+'TE BF_350'!$AB$10+'TE CVA'!$AB$10,2)</f>
        <v>250.04</v>
      </c>
      <c r="T7" s="29">
        <v>0</v>
      </c>
      <c r="U7" s="29">
        <f ca="1">ROUND('TUSD BE'!$AM$19,2)</f>
        <v>321.52999999999997</v>
      </c>
      <c r="V7" s="29">
        <f>ROUND('TE BE'!$AB$10,2)</f>
        <v>269.77</v>
      </c>
    </row>
    <row r="8" spans="1:22" ht="11.25" customHeight="1" x14ac:dyDescent="0.25">
      <c r="A8" s="155"/>
      <c r="B8" s="155"/>
      <c r="C8" s="155"/>
      <c r="D8" s="31" t="s">
        <v>702</v>
      </c>
      <c r="E8" s="29">
        <f ca="1">ROUND('TUSD BE'!$AM$6+'TUSD BF_350'!$AM$6+'TUSD CVA'!$AM$6,2)</f>
        <v>15.64</v>
      </c>
      <c r="F8" s="29">
        <f ca="1">ROUND('TUSD BE'!$AM$8+'TUSD BF_350'!$AM$8+'TUSD CVA'!$AM$8,2)</f>
        <v>20.49</v>
      </c>
      <c r="G8" s="29">
        <v>0</v>
      </c>
      <c r="H8" s="29">
        <f ca="1">ROUND('TUSD BE'!$AM$6,2)</f>
        <v>18.03</v>
      </c>
      <c r="I8" s="29">
        <f ca="1">ROUND('TUSD BE'!$AM$8,2)</f>
        <v>3.17</v>
      </c>
      <c r="J8" s="29">
        <v>0</v>
      </c>
      <c r="L8" s="152"/>
      <c r="M8" s="31" t="s">
        <v>710</v>
      </c>
      <c r="N8" s="31" t="s">
        <v>708</v>
      </c>
      <c r="O8" s="31" t="s">
        <v>708</v>
      </c>
      <c r="P8" s="31" t="s">
        <v>704</v>
      </c>
      <c r="Q8" s="29">
        <v>0</v>
      </c>
      <c r="R8" s="29">
        <f ca="1">ROUND('TUSD BE'!$AM$25+'TUSD BF_350'!$AM$25+'TUSD CVA'!$AM$25,2)</f>
        <v>310.49</v>
      </c>
      <c r="S8" s="29">
        <f ca="1">ROUND('TE BE'!$AB$16+'TE BF_350'!$AB$16+'TE CVA'!$AB$16,2)</f>
        <v>262.52999999999997</v>
      </c>
      <c r="T8" s="29">
        <v>0</v>
      </c>
      <c r="U8" s="29">
        <f ca="1">ROUND('TUSD BE'!$AM$25,2)</f>
        <v>475</v>
      </c>
      <c r="V8" s="29">
        <f>ROUND('TE BE'!$AB$16,2)</f>
        <v>285.79000000000002</v>
      </c>
    </row>
    <row r="9" spans="1:22" ht="11.25" customHeight="1" x14ac:dyDescent="0.25">
      <c r="A9" s="155"/>
      <c r="B9" s="154" t="s">
        <v>35</v>
      </c>
      <c r="C9" s="154" t="s">
        <v>25</v>
      </c>
      <c r="D9" s="31" t="s">
        <v>704</v>
      </c>
      <c r="E9" s="29">
        <f ca="1">ROUND('TUSD BE'!$AM$10+'TUSD BF_350'!$AM$10+'TUSD CVA'!$AM$10,2)</f>
        <v>15.64</v>
      </c>
      <c r="F9" s="29">
        <v>0</v>
      </c>
      <c r="G9" s="29">
        <v>0</v>
      </c>
      <c r="H9" s="29">
        <f ca="1">ROUND('TUSD BE'!$AM$10,2)</f>
        <v>18.03</v>
      </c>
      <c r="I9" s="29">
        <v>0</v>
      </c>
      <c r="J9" s="29">
        <v>0</v>
      </c>
      <c r="L9" s="152"/>
      <c r="M9" s="31" t="s">
        <v>712</v>
      </c>
      <c r="N9" s="31" t="s">
        <v>708</v>
      </c>
      <c r="O9" s="31" t="s">
        <v>708</v>
      </c>
      <c r="P9" s="31" t="s">
        <v>704</v>
      </c>
      <c r="Q9" s="29">
        <v>0</v>
      </c>
      <c r="R9" s="29">
        <f ca="1">ROUND('TUSD BE'!$AM$20+'TUSD BF_350'!$AM$20+'TUSD CVA'!$AM$20,2)</f>
        <v>310.49</v>
      </c>
      <c r="S9" s="29">
        <f ca="1">ROUND('TE BE'!$AB$11+'TE BF_350'!$AB$11+'TE CVA'!$AB$11,2)</f>
        <v>262.52999999999997</v>
      </c>
      <c r="T9" s="29">
        <v>0</v>
      </c>
      <c r="U9" s="29">
        <f ca="1">ROUND('TUSD BE'!$AM$20,2)</f>
        <v>475</v>
      </c>
      <c r="V9" s="29">
        <f>ROUND('TE BE'!$AB$11,2)</f>
        <v>285.79000000000002</v>
      </c>
    </row>
    <row r="10" spans="1:22" ht="11.25" customHeight="1" x14ac:dyDescent="0.25">
      <c r="A10" s="155"/>
      <c r="B10" s="155"/>
      <c r="C10" s="155"/>
      <c r="D10" s="31" t="s">
        <v>701</v>
      </c>
      <c r="E10" s="29">
        <v>0</v>
      </c>
      <c r="F10" s="29">
        <f ca="1">ROUND('TUSD BE'!$AM$11+'TUSD BF_350'!$AM$11+'TUSD CVA'!$AM$11,2)</f>
        <v>911.84</v>
      </c>
      <c r="G10" s="29">
        <f ca="1">ROUND('TE BE'!$AB$5+'TE BF_350'!$AB$5+'TE CVA'!$AB$5,2)</f>
        <v>399.84</v>
      </c>
      <c r="H10" s="29">
        <v>0</v>
      </c>
      <c r="I10" s="29">
        <f ca="1">ROUND('TUSD BE'!$AM$11,2)</f>
        <v>1286.74</v>
      </c>
      <c r="J10" s="29">
        <f>ROUND('TE BE'!$AB$5,2)</f>
        <v>461.96</v>
      </c>
      <c r="L10" s="152"/>
      <c r="M10" s="31" t="s">
        <v>710</v>
      </c>
      <c r="N10" s="31" t="s">
        <v>708</v>
      </c>
      <c r="O10" s="31" t="s">
        <v>711</v>
      </c>
      <c r="P10" s="31" t="s">
        <v>704</v>
      </c>
      <c r="Q10" s="29">
        <v>0</v>
      </c>
      <c r="R10" s="29">
        <f ca="1">ROUND('TUSD BE'!$AM$26+'TUSD BF_350'!$AM$26+'TUSD CVA'!$AM$26,2)</f>
        <v>187.78</v>
      </c>
      <c r="S10" s="29">
        <f ca="1">ROUND('TE BE'!$AB$17+'TE BF_350'!$AB$17+'TE CVA'!$AB$17,2)</f>
        <v>262.52999999999997</v>
      </c>
      <c r="T10" s="29">
        <v>0</v>
      </c>
      <c r="U10" s="29">
        <f ca="1">ROUND('TUSD BE'!$AM$26,2)</f>
        <v>371.56</v>
      </c>
      <c r="V10" s="29">
        <f>ROUND('TE BE'!$AB$17,2)</f>
        <v>285.79000000000002</v>
      </c>
    </row>
    <row r="11" spans="1:22" ht="11.25" customHeight="1" x14ac:dyDescent="0.25">
      <c r="A11" s="155"/>
      <c r="B11" s="155"/>
      <c r="C11" s="155"/>
      <c r="D11" s="31" t="s">
        <v>702</v>
      </c>
      <c r="E11" s="29">
        <v>0</v>
      </c>
      <c r="F11" s="29">
        <f ca="1">ROUND('TUSD BE'!$AM$12+'TUSD BF_350'!$AM$12+'TUSD CVA'!$AM$12,2)</f>
        <v>126.25</v>
      </c>
      <c r="G11" s="29">
        <f ca="1">ROUND('TE BE'!$AB$6+'TE BF_350'!$AB$6+'TE CVA'!$AB$6,2)</f>
        <v>250.04</v>
      </c>
      <c r="H11" s="29">
        <v>0</v>
      </c>
      <c r="I11" s="29">
        <f ca="1">ROUND('TUSD BE'!$AM$12,2)</f>
        <v>92.28</v>
      </c>
      <c r="J11" s="29">
        <f>ROUND('TE BE'!$AB$6,2)</f>
        <v>269.77</v>
      </c>
      <c r="L11" s="153"/>
      <c r="M11" s="31" t="s">
        <v>712</v>
      </c>
      <c r="N11" s="31" t="s">
        <v>708</v>
      </c>
      <c r="O11" s="31" t="s">
        <v>711</v>
      </c>
      <c r="P11" s="31" t="s">
        <v>704</v>
      </c>
      <c r="Q11" s="29">
        <v>0</v>
      </c>
      <c r="R11" s="29">
        <f ca="1">ROUND('TUSD BE'!$AM$21+'TUSD BF_350'!$AM$21+'TUSD CVA'!$AM$21,2)</f>
        <v>187.78</v>
      </c>
      <c r="S11" s="29">
        <f ca="1">ROUND('TE BE'!$AB$12+'TE BF_350'!$AB$12+'TE CVA'!$AB$12,2)</f>
        <v>262.52999999999997</v>
      </c>
      <c r="T11" s="29">
        <v>0</v>
      </c>
      <c r="U11" s="29">
        <f ca="1">ROUND('TUSD BE'!$AM$21,2)</f>
        <v>371.56</v>
      </c>
      <c r="V11" s="29">
        <f>ROUND('TE BE'!$AB$12,2)</f>
        <v>285.79000000000002</v>
      </c>
    </row>
    <row r="12" spans="1:22" ht="11.25" customHeight="1" x14ac:dyDescent="0.25">
      <c r="A12" s="155"/>
      <c r="B12" s="154" t="s">
        <v>705</v>
      </c>
      <c r="C12" s="154" t="s">
        <v>25</v>
      </c>
      <c r="D12" s="31" t="s">
        <v>704</v>
      </c>
      <c r="E12" s="29">
        <f ca="1">ROUND('TUSD BE'!$AM$10+'TUSD BF_350'!$AM$10+'TUSD CVA'!$AM$10,2)</f>
        <v>15.64</v>
      </c>
      <c r="F12" s="29">
        <v>0</v>
      </c>
      <c r="G12" s="29">
        <v>0</v>
      </c>
      <c r="H12" s="29">
        <f ca="1">ROUND('TUSD BE'!$AM$10,2)</f>
        <v>18.03</v>
      </c>
      <c r="I12" s="29">
        <v>0</v>
      </c>
      <c r="J12" s="29">
        <v>0</v>
      </c>
      <c r="L12" s="151" t="s">
        <v>41</v>
      </c>
      <c r="M12" s="151" t="s">
        <v>707</v>
      </c>
      <c r="N12" s="151" t="s">
        <v>713</v>
      </c>
      <c r="O12" s="151" t="s">
        <v>714</v>
      </c>
      <c r="P12" s="31" t="s">
        <v>701</v>
      </c>
      <c r="Q12" s="29">
        <v>0</v>
      </c>
      <c r="R12" s="29">
        <f ca="1">ROUND(('TUSD BE'!$AM$30+'TUSD BF_350'!$AM$30+'TUSD CVA'!$AM$30)*(1-CUSTOS!$M$38),2)</f>
        <v>573.39</v>
      </c>
      <c r="S12" s="29">
        <f ca="1">ROUND(('TE BE'!$AB$21+'TE BF_350'!$AB$21+'TE CVA'!$AB$21)*(1-CUSTOS!$M$38),2)</f>
        <v>375.85</v>
      </c>
      <c r="T12" s="29">
        <v>0</v>
      </c>
      <c r="U12" s="29">
        <f ca="1">ROUND('TUSD BE'!$AM$30*(1-CUSTOS!$M$38),2)</f>
        <v>118.64</v>
      </c>
      <c r="V12" s="29">
        <f>ROUND('TE BE'!$AB$21*(1-CUSTOS!$M$38),2)</f>
        <v>434.25</v>
      </c>
    </row>
    <row r="13" spans="1:22" ht="11.25" customHeight="1" x14ac:dyDescent="0.25">
      <c r="A13" s="155"/>
      <c r="B13" s="155"/>
      <c r="C13" s="155"/>
      <c r="D13" s="31" t="s">
        <v>701</v>
      </c>
      <c r="E13" s="29">
        <v>0</v>
      </c>
      <c r="F13" s="29">
        <f ca="1">ROUND('TUSD BE'!$AM$13+'TUSD BF_350'!$AM$13+'TUSD CVA'!$AM$13,2)</f>
        <v>806.08</v>
      </c>
      <c r="G13" s="29">
        <v>0</v>
      </c>
      <c r="H13" s="29">
        <v>0</v>
      </c>
      <c r="I13" s="29">
        <f ca="1">ROUND('TUSD BE'!$AM$13,2)</f>
        <v>1197.6300000000001</v>
      </c>
      <c r="J13" s="29">
        <v>0</v>
      </c>
      <c r="L13" s="152"/>
      <c r="M13" s="152"/>
      <c r="N13" s="152"/>
      <c r="O13" s="152"/>
      <c r="P13" s="31" t="s">
        <v>709</v>
      </c>
      <c r="Q13" s="29">
        <v>0</v>
      </c>
      <c r="R13" s="29">
        <f ca="1">ROUND(('TUSD BE'!$AM$31+'TUSD BF_350'!$AM$31+'TUSD CVA'!$AM$31)*(1-CUSTOS!$M$38),2)</f>
        <v>403.03</v>
      </c>
      <c r="S13" s="29">
        <f ca="1">ROUND(('TE BE'!$AB$22+'TE BF_350'!$AB$22+'TE CVA'!$AB$22)*(1-CUSTOS!$M$38),2)</f>
        <v>235.04</v>
      </c>
      <c r="T13" s="29">
        <v>0</v>
      </c>
      <c r="U13" s="29">
        <f ca="1">ROUND('TUSD BE'!$AM$31*(1-CUSTOS!$M$38),2)</f>
        <v>118.64</v>
      </c>
      <c r="V13" s="29">
        <f>ROUND('TE BE'!$AB$22*(1-CUSTOS!$M$38),2)</f>
        <v>253.58</v>
      </c>
    </row>
    <row r="14" spans="1:22" ht="11.25" customHeight="1" x14ac:dyDescent="0.25">
      <c r="A14" s="155"/>
      <c r="B14" s="155"/>
      <c r="C14" s="155"/>
      <c r="D14" s="31" t="s">
        <v>702</v>
      </c>
      <c r="E14" s="29">
        <v>0</v>
      </c>
      <c r="F14" s="29">
        <f ca="1">ROUND('TUSD BE'!$AM$14+'TUSD BF_350'!$AM$14+'TUSD CVA'!$AM$14,2)</f>
        <v>20.49</v>
      </c>
      <c r="G14" s="29">
        <v>0</v>
      </c>
      <c r="H14" s="29">
        <v>0</v>
      </c>
      <c r="I14" s="29">
        <f ca="1">ROUND('TUSD BE'!$AM$14,2)</f>
        <v>3.17</v>
      </c>
      <c r="J14" s="29">
        <v>0</v>
      </c>
      <c r="L14" s="152"/>
      <c r="M14" s="153"/>
      <c r="N14" s="153"/>
      <c r="O14" s="153"/>
      <c r="P14" s="31" t="s">
        <v>702</v>
      </c>
      <c r="Q14" s="29">
        <v>0</v>
      </c>
      <c r="R14" s="29">
        <f ca="1">ROUND(('TUSD BE'!$AM$32+'TUSD BF_350'!$AM$32+'TUSD CVA'!$AM$32)*(1-CUSTOS!$M$38),2)</f>
        <v>232.66</v>
      </c>
      <c r="S14" s="29">
        <f ca="1">ROUND(('TE BE'!$AB$23+'TE BF_350'!$AB$23+'TE CVA'!$AB$23)*(1-CUSTOS!$M$38),2)</f>
        <v>235.04</v>
      </c>
      <c r="T14" s="29">
        <v>0</v>
      </c>
      <c r="U14" s="29">
        <f ca="1">ROUND('TUSD BE'!$AM$32*(1-CUSTOS!$M$38),2)</f>
        <v>118.64</v>
      </c>
      <c r="V14" s="29">
        <f>ROUND('TE BE'!$AB$23*(1-CUSTOS!$M$38),2)</f>
        <v>253.58</v>
      </c>
    </row>
    <row r="15" spans="1:22" ht="11.25" customHeight="1" x14ac:dyDescent="0.25">
      <c r="A15" s="155"/>
      <c r="B15" s="31" t="s">
        <v>78</v>
      </c>
      <c r="C15" s="31" t="s">
        <v>25</v>
      </c>
      <c r="D15" s="31" t="s">
        <v>704</v>
      </c>
      <c r="E15" s="29">
        <f ca="1">ROUND('TUSD BE'!$AM$9+'TUSD BF_350'!$AM$9+'TUSD CVA'!$AM$9,2)</f>
        <v>6.83</v>
      </c>
      <c r="F15" s="29">
        <v>0</v>
      </c>
      <c r="G15" s="29">
        <v>0</v>
      </c>
      <c r="H15" s="29">
        <f ca="1">ROUND('TUSD BE'!$AM$9,2)</f>
        <v>6.83</v>
      </c>
      <c r="I15" s="29">
        <v>0</v>
      </c>
      <c r="J15" s="29">
        <v>0</v>
      </c>
      <c r="L15" s="152"/>
      <c r="M15" s="31" t="s">
        <v>710</v>
      </c>
      <c r="N15" s="31" t="s">
        <v>713</v>
      </c>
      <c r="O15" s="31" t="s">
        <v>714</v>
      </c>
      <c r="P15" s="31" t="s">
        <v>704</v>
      </c>
      <c r="Q15" s="29">
        <v>0</v>
      </c>
      <c r="R15" s="29">
        <f ca="1">ROUND(('TUSD BE'!$AM$42+'TUSD BF_350'!$AM$42+'TUSD CVA'!$AM$42)*(1-CUSTOS!$M$38),2)</f>
        <v>291.86</v>
      </c>
      <c r="S15" s="29">
        <f ca="1">ROUND(('TE BE'!$AB$33+'TE BF_350'!$AB$33+'TE CVA'!$AB$33)*(1-CUSTOS!$M$38),2)</f>
        <v>246.78</v>
      </c>
      <c r="T15" s="29">
        <v>0</v>
      </c>
      <c r="U15" s="29">
        <f ca="1">ROUND(('TUSD BE'!$AM$42)*(1-CUSTOS!$M$38),2)</f>
        <v>446.5</v>
      </c>
      <c r="V15" s="29">
        <f>ROUND(('TE BE'!$AB$33)*(1-CUSTOS!$M$38),2)</f>
        <v>268.64</v>
      </c>
    </row>
    <row r="16" spans="1:22" ht="11.25" customHeight="1" x14ac:dyDescent="0.25">
      <c r="L16" s="152"/>
      <c r="M16" s="31" t="s">
        <v>712</v>
      </c>
      <c r="N16" s="31" t="s">
        <v>713</v>
      </c>
      <c r="O16" s="31" t="s">
        <v>714</v>
      </c>
      <c r="P16" s="31" t="s">
        <v>704</v>
      </c>
      <c r="Q16" s="29">
        <v>0</v>
      </c>
      <c r="R16" s="29">
        <f ca="1">ROUND(('TUSD BE'!$AM$33+'TUSD BF_350'!$AM$33+'TUSD CVA'!$AM$33)*(1-CUSTOS!$M$38),2)</f>
        <v>291.86</v>
      </c>
      <c r="S16" s="29">
        <f ca="1">ROUND(('TE BE'!$AB$24+'TE BF_350'!$AB$24+'TE CVA'!$AB$24)*(1-CUSTOS!$M$38),2)</f>
        <v>246.78</v>
      </c>
      <c r="T16" s="29">
        <v>0</v>
      </c>
      <c r="U16" s="29">
        <f ca="1">ROUND(('TUSD BE'!$AM$33)*(1-CUSTOS!$M$38),2)</f>
        <v>446.5</v>
      </c>
      <c r="V16" s="29">
        <f>ROUND(('TE BE'!$AB$24)*(1-CUSTOS!$M$38),2)</f>
        <v>268.64</v>
      </c>
    </row>
    <row r="17" spans="12:22" ht="11.25" customHeight="1" x14ac:dyDescent="0.25">
      <c r="L17" s="152"/>
      <c r="M17" s="151" t="s">
        <v>707</v>
      </c>
      <c r="N17" s="151" t="s">
        <v>713</v>
      </c>
      <c r="O17" s="151" t="s">
        <v>715</v>
      </c>
      <c r="P17" s="31" t="s">
        <v>701</v>
      </c>
      <c r="Q17" s="29">
        <v>0</v>
      </c>
      <c r="R17" s="29">
        <f ca="1">ROUND(('TUSD BE'!$AM$34+'TUSD BF_350'!$AM$34+'TUSD CVA'!$AM$34)*(1-CUSTOS!$M$39),2)</f>
        <v>573.39</v>
      </c>
      <c r="S17" s="29">
        <f ca="1">ROUND(('TE BE'!$AB$25+'TE BF_350'!$AB$25+'TE CVA'!$AB$25)*(1-CUSTOS!$M$39),2)</f>
        <v>375.85</v>
      </c>
      <c r="T17" s="29">
        <v>0</v>
      </c>
      <c r="U17" s="29">
        <f ca="1">ROUND('TUSD BE'!$AM$34*(1-CUSTOS!$M$39),2)</f>
        <v>118.64</v>
      </c>
      <c r="V17" s="29">
        <f>ROUND('TE BE'!$AB$25*(1-CUSTOS!$M$39),2)</f>
        <v>434.25</v>
      </c>
    </row>
    <row r="18" spans="12:22" ht="11.25" customHeight="1" x14ac:dyDescent="0.25">
      <c r="L18" s="152"/>
      <c r="M18" s="152"/>
      <c r="N18" s="152"/>
      <c r="O18" s="152"/>
      <c r="P18" s="31" t="s">
        <v>709</v>
      </c>
      <c r="Q18" s="29">
        <v>0</v>
      </c>
      <c r="R18" s="29">
        <f ca="1">ROUND(('TUSD BE'!$AM$35+'TUSD BF_350'!$AM$35+'TUSD CVA'!$AM$35)*(1-CUSTOS!$M$39),2)</f>
        <v>403.03</v>
      </c>
      <c r="S18" s="29">
        <f ca="1">ROUND(('TE BE'!$AB$26+'TE BF_350'!$AB$26+'TE CVA'!$AB$26)*(1-CUSTOS!$M$39),2)</f>
        <v>235.04</v>
      </c>
      <c r="T18" s="29">
        <v>0</v>
      </c>
      <c r="U18" s="29">
        <f ca="1">ROUND('TUSD BE'!$AM$35*(1-CUSTOS!$M$39),2)</f>
        <v>118.64</v>
      </c>
      <c r="V18" s="29">
        <f>ROUND('TE BE'!$AB$26*(1-CUSTOS!$M$39),2)</f>
        <v>253.58</v>
      </c>
    </row>
    <row r="19" spans="12:22" ht="11.25" customHeight="1" x14ac:dyDescent="0.25">
      <c r="L19" s="152"/>
      <c r="M19" s="153"/>
      <c r="N19" s="153"/>
      <c r="O19" s="153"/>
      <c r="P19" s="31" t="s">
        <v>702</v>
      </c>
      <c r="Q19" s="29">
        <v>0</v>
      </c>
      <c r="R19" s="29">
        <f ca="1">ROUND(('TUSD BE'!$AM$36+'TUSD BF_350'!$AM$36+'TUSD CVA'!$AM$36)*(1-CUSTOS!$M$39),2)</f>
        <v>232.66</v>
      </c>
      <c r="S19" s="29">
        <f ca="1">ROUND(('TE BE'!$AB$27+'TE BF_350'!$AB$27+'TE CVA'!$AB$27)*(1-CUSTOS!$M$39),2)</f>
        <v>235.04</v>
      </c>
      <c r="T19" s="29">
        <v>0</v>
      </c>
      <c r="U19" s="29">
        <f ca="1">ROUND('TUSD BE'!$AM$36*(1-CUSTOS!$M$39),2)</f>
        <v>118.64</v>
      </c>
      <c r="V19" s="29">
        <f>ROUND('TE BE'!$AB$27*(1-CUSTOS!$M$39),2)</f>
        <v>253.58</v>
      </c>
    </row>
    <row r="20" spans="12:22" ht="11.25" customHeight="1" x14ac:dyDescent="0.25">
      <c r="L20" s="152"/>
      <c r="M20" s="31" t="s">
        <v>710</v>
      </c>
      <c r="N20" s="31" t="s">
        <v>713</v>
      </c>
      <c r="O20" s="31" t="s">
        <v>715</v>
      </c>
      <c r="P20" s="31" t="s">
        <v>704</v>
      </c>
      <c r="Q20" s="29">
        <v>0</v>
      </c>
      <c r="R20" s="29">
        <f ca="1">ROUND(('TUSD BE'!$AM$42+'TUSD BF_350'!$AM$42+'TUSD CVA'!$AM$42)*(1-CUSTOS!$M$39),2)</f>
        <v>291.86</v>
      </c>
      <c r="S20" s="29">
        <f ca="1">ROUND(('TE BE'!$AB$33+'TE BF_350'!$AB$33+'TE CVA'!$AB$33)*(1-CUSTOS!$M$39),2)</f>
        <v>246.78</v>
      </c>
      <c r="T20" s="29">
        <v>0</v>
      </c>
      <c r="U20" s="29">
        <f ca="1">ROUND(('TUSD BE'!$AM$42)*(1-CUSTOS!$M$39),2)</f>
        <v>446.5</v>
      </c>
      <c r="V20" s="29">
        <f>ROUND(('TE BE'!$AB$33)*(1-CUSTOS!$M$39),2)</f>
        <v>268.64</v>
      </c>
    </row>
    <row r="21" spans="12:22" ht="11.25" customHeight="1" x14ac:dyDescent="0.25">
      <c r="L21" s="152"/>
      <c r="M21" s="31" t="s">
        <v>712</v>
      </c>
      <c r="N21" s="31" t="s">
        <v>713</v>
      </c>
      <c r="O21" s="31" t="s">
        <v>715</v>
      </c>
      <c r="P21" s="31" t="s">
        <v>704</v>
      </c>
      <c r="Q21" s="29">
        <v>0</v>
      </c>
      <c r="R21" s="29">
        <f ca="1">ROUND(('TUSD BE'!$AM$33+'TUSD BF_350'!$AM$33+'TUSD CVA'!$AM$33)*(1-CUSTOS!$M$39),2)</f>
        <v>291.86</v>
      </c>
      <c r="S21" s="29">
        <f ca="1">ROUND(('TE BE'!$AB$24+'TE BF_350'!$AB$24+'TE CVA'!$AB$24)*(1-CUSTOS!$M$39),2)</f>
        <v>246.78</v>
      </c>
      <c r="T21" s="29">
        <v>0</v>
      </c>
      <c r="U21" s="29">
        <f ca="1">ROUND(('TUSD BE'!$AM$33)*(1-CUSTOS!$M$39),2)</f>
        <v>446.5</v>
      </c>
      <c r="V21" s="29">
        <f>ROUND(('TE BE'!$AB$24)*(1-CUSTOS!$M$39),2)</f>
        <v>268.64</v>
      </c>
    </row>
    <row r="22" spans="12:22" ht="11.25" customHeight="1" x14ac:dyDescent="0.25">
      <c r="L22" s="152"/>
      <c r="M22" s="151" t="s">
        <v>707</v>
      </c>
      <c r="N22" s="151" t="s">
        <v>713</v>
      </c>
      <c r="O22" s="151" t="s">
        <v>716</v>
      </c>
      <c r="P22" s="31" t="s">
        <v>701</v>
      </c>
      <c r="Q22" s="29">
        <v>0</v>
      </c>
      <c r="R22" s="29">
        <f ca="1">ROUND(('TUSD BE'!$AM$38+'TUSD BF_350'!$AM$38+'TUSD CVA'!$AM$38)*(1-CUSTOS!$M$40),2)</f>
        <v>561.19000000000005</v>
      </c>
      <c r="S22" s="29">
        <f ca="1">ROUND(('TE BE'!$AB$29+'TE BF_350'!$AB$29+'TE CVA'!$AB$29)*(1-CUSTOS!$M$40),2)</f>
        <v>367.85</v>
      </c>
      <c r="T22" s="29">
        <v>0</v>
      </c>
      <c r="U22" s="29">
        <f ca="1">ROUND('TUSD BE'!$AM$38*(1-CUSTOS!$M$40),2)</f>
        <v>116.11</v>
      </c>
      <c r="V22" s="29">
        <f>ROUND('TE BE'!$AB$29*(1-CUSTOS!$M$40),2)</f>
        <v>425.01</v>
      </c>
    </row>
    <row r="23" spans="12:22" ht="11.25" customHeight="1" x14ac:dyDescent="0.25">
      <c r="L23" s="152"/>
      <c r="M23" s="152"/>
      <c r="N23" s="152"/>
      <c r="O23" s="152"/>
      <c r="P23" s="31" t="s">
        <v>709</v>
      </c>
      <c r="Q23" s="29">
        <v>0</v>
      </c>
      <c r="R23" s="29">
        <f ca="1">ROUND(('TUSD BE'!$AM$39+'TUSD BF_350'!$AM$39+'TUSD CVA'!$AM$39)*(1-CUSTOS!$M$40),2)</f>
        <v>394.46</v>
      </c>
      <c r="S23" s="29">
        <f ca="1">ROUND(('TE BE'!$AB$30+'TE BF_350'!$AB$30+'TE CVA'!$AB$30)*(1-CUSTOS!$M$40),2)</f>
        <v>230.04</v>
      </c>
      <c r="T23" s="29">
        <v>0</v>
      </c>
      <c r="U23" s="29">
        <f ca="1">ROUND('TUSD BE'!$AM$39*(1-CUSTOS!$M$40),2)</f>
        <v>116.11</v>
      </c>
      <c r="V23" s="29">
        <f>ROUND('TE BE'!$AB$30*(1-CUSTOS!$M$40),2)</f>
        <v>248.19</v>
      </c>
    </row>
    <row r="24" spans="12:22" ht="11.25" customHeight="1" x14ac:dyDescent="0.25">
      <c r="L24" s="152"/>
      <c r="M24" s="153"/>
      <c r="N24" s="153"/>
      <c r="O24" s="153"/>
      <c r="P24" s="31" t="s">
        <v>702</v>
      </c>
      <c r="Q24" s="29">
        <v>0</v>
      </c>
      <c r="R24" s="29">
        <f ca="1">ROUND(('TUSD BE'!$AM$40+'TUSD BF_350'!$AM$40+'TUSD CVA'!$AM$40)*(1-CUSTOS!$M$40),2)</f>
        <v>227.71</v>
      </c>
      <c r="S24" s="29">
        <f ca="1">ROUND(('TE BE'!$AB$31+'TE BF_350'!$AB$31+'TE CVA'!$AB$31)*(1-CUSTOS!$M$40),2)</f>
        <v>230.04</v>
      </c>
      <c r="T24" s="29">
        <v>0</v>
      </c>
      <c r="U24" s="29">
        <f ca="1">ROUND('TUSD BE'!$AM$40*(1-CUSTOS!$M$40),2)</f>
        <v>116.11</v>
      </c>
      <c r="V24" s="29">
        <f>ROUND('TE BE'!$AB$31*(1-CUSTOS!$M$40),2)</f>
        <v>248.19</v>
      </c>
    </row>
    <row r="25" spans="12:22" ht="11.25" customHeight="1" x14ac:dyDescent="0.25">
      <c r="L25" s="152"/>
      <c r="M25" s="31" t="s">
        <v>710</v>
      </c>
      <c r="N25" s="31" t="s">
        <v>713</v>
      </c>
      <c r="O25" s="31" t="s">
        <v>716</v>
      </c>
      <c r="P25" s="31" t="s">
        <v>704</v>
      </c>
      <c r="Q25" s="29">
        <v>0</v>
      </c>
      <c r="R25" s="29">
        <f ca="1">ROUND(('TUSD BE'!$AM$42+'TUSD BF_350'!$AM$42+'TUSD CVA'!$AM$42)*(1-CUSTOS!$M$40),2)</f>
        <v>285.64999999999998</v>
      </c>
      <c r="S25" s="29">
        <f ca="1">ROUND(('TE BE'!$AB$33+'TE BF_350'!$AB$33+'TE CVA'!$AB$33)*(1-CUSTOS!$M$40),2)</f>
        <v>241.53</v>
      </c>
      <c r="T25" s="29">
        <v>0</v>
      </c>
      <c r="U25" s="29">
        <f ca="1">ROUND(('TUSD BE'!$AM$42)*(1-CUSTOS!$M$40),2)</f>
        <v>437</v>
      </c>
      <c r="V25" s="29">
        <f>ROUND(('TE BE'!$AB$33)*(1-CUSTOS!$M$40),2)</f>
        <v>262.92</v>
      </c>
    </row>
    <row r="26" spans="12:22" ht="11.25" customHeight="1" x14ac:dyDescent="0.25">
      <c r="L26" s="153"/>
      <c r="M26" s="31" t="s">
        <v>712</v>
      </c>
      <c r="N26" s="31" t="s">
        <v>713</v>
      </c>
      <c r="O26" s="31" t="s">
        <v>716</v>
      </c>
      <c r="P26" s="31" t="s">
        <v>704</v>
      </c>
      <c r="Q26" s="29">
        <v>0</v>
      </c>
      <c r="R26" s="29">
        <f ca="1">ROUND(('TUSD BE'!$AM$33+'TUSD BF_350'!$AM$33+'TUSD CVA'!$AM$33)*(1-CUSTOS!$M$40),2)</f>
        <v>285.64999999999998</v>
      </c>
      <c r="S26" s="29">
        <f ca="1">ROUND(('TE BE'!$AB$24+'TE BF_350'!$AB$24+'TE CVA'!$AB$24)*(1-CUSTOS!$M$40),2)</f>
        <v>241.53</v>
      </c>
      <c r="T26" s="29">
        <v>0</v>
      </c>
      <c r="U26" s="29">
        <f ca="1">ROUND(('TUSD BE'!$AM$33)*(1-CUSTOS!$M$40),2)</f>
        <v>437</v>
      </c>
      <c r="V26" s="29">
        <f>ROUND(('TE BE'!$AB$24)*(1-CUSTOS!$M$40),2)</f>
        <v>262.92</v>
      </c>
    </row>
    <row r="27" spans="12:22" ht="11.25" customHeight="1" x14ac:dyDescent="0.25">
      <c r="L27" s="151" t="s">
        <v>32</v>
      </c>
      <c r="M27" s="151" t="s">
        <v>707</v>
      </c>
      <c r="N27" s="151" t="s">
        <v>704</v>
      </c>
      <c r="O27" s="151" t="s">
        <v>704</v>
      </c>
      <c r="P27" s="31" t="s">
        <v>701</v>
      </c>
      <c r="Q27" s="29">
        <v>0</v>
      </c>
      <c r="R27" s="29">
        <f ca="1">ROUND(('TUSD BE'!$AM$45+'TUSD BF_350'!$AM$45+'TUSD CVA'!$AM$45)*(1-CUSTOS!$M$31),2)</f>
        <v>679.11</v>
      </c>
      <c r="S27" s="29">
        <f ca="1">ROUND(('TE BE'!$AB$36+'TE BF_350'!$AB$36+'TE CVA'!$AB$36)*(1-CUSTOS!$M$31),2)</f>
        <v>399.84</v>
      </c>
      <c r="T27" s="29">
        <v>0</v>
      </c>
      <c r="U27" s="29">
        <f ca="1">ROUND('TUSD BE'!$AM$45*(1-CUSTOS!$M$31),2)</f>
        <v>1416.75</v>
      </c>
      <c r="V27" s="29">
        <f>ROUND('TE BE'!$AB$36*(1-CUSTOS!$M$31),2)</f>
        <v>461.96</v>
      </c>
    </row>
    <row r="28" spans="12:22" ht="11.25" customHeight="1" x14ac:dyDescent="0.25">
      <c r="L28" s="152"/>
      <c r="M28" s="152"/>
      <c r="N28" s="152"/>
      <c r="O28" s="152"/>
      <c r="P28" s="31" t="s">
        <v>709</v>
      </c>
      <c r="Q28" s="29">
        <v>0</v>
      </c>
      <c r="R28" s="29">
        <f ca="1">ROUND(('TUSD BE'!$AM$46+'TUSD BF_350'!$AM$46+'TUSD CVA'!$AM$46)*(1-CUSTOS!$M$31),2)</f>
        <v>470.22</v>
      </c>
      <c r="S28" s="29">
        <f ca="1">ROUND(('TE BE'!$AB$37+'TE BF_350'!$AB$37+'TE CVA'!$AB$37)*(1-CUSTOS!$M$31),2)</f>
        <v>250.04</v>
      </c>
      <c r="T28" s="29">
        <v>0</v>
      </c>
      <c r="U28" s="29">
        <f ca="1">ROUND('TUSD BE'!$AM$46*(1-CUSTOS!$M$31),2)</f>
        <v>900.53</v>
      </c>
      <c r="V28" s="29">
        <f>ROUND('TE BE'!$AB$37*(1-CUSTOS!$M$31),2)</f>
        <v>269.77</v>
      </c>
    </row>
    <row r="29" spans="12:22" ht="11.25" customHeight="1" x14ac:dyDescent="0.25">
      <c r="L29" s="152"/>
      <c r="M29" s="153"/>
      <c r="N29" s="153"/>
      <c r="O29" s="153"/>
      <c r="P29" s="31" t="s">
        <v>702</v>
      </c>
      <c r="Q29" s="29">
        <v>0</v>
      </c>
      <c r="R29" s="29">
        <f ca="1">ROUND(('TUSD BE'!$AM$47+'TUSD BF_350'!$AM$47+'TUSD CVA'!$AM$47)*(1-CUSTOS!$M$31),2)</f>
        <v>261.33999999999997</v>
      </c>
      <c r="S29" s="29">
        <f ca="1">ROUND(('TE BE'!$AB$38+'TE BF_350'!$AB$38+'TE CVA'!$AB$38)*(1-CUSTOS!$M$31),2)</f>
        <v>250.04</v>
      </c>
      <c r="T29" s="29">
        <v>0</v>
      </c>
      <c r="U29" s="29">
        <f ca="1">ROUND('TUSD BE'!$AM$47*(1-CUSTOS!$M$31),2)</f>
        <v>384.32</v>
      </c>
      <c r="V29" s="29">
        <f>ROUND('TE BE'!$AB$38*(1-CUSTOS!$M$31),2)</f>
        <v>269.77</v>
      </c>
    </row>
    <row r="30" spans="12:22" ht="11.25" customHeight="1" x14ac:dyDescent="0.25">
      <c r="L30" s="152"/>
      <c r="M30" s="31" t="s">
        <v>710</v>
      </c>
      <c r="N30" s="31" t="s">
        <v>704</v>
      </c>
      <c r="O30" s="31" t="s">
        <v>704</v>
      </c>
      <c r="P30" s="31" t="s">
        <v>704</v>
      </c>
      <c r="Q30" s="29">
        <v>0</v>
      </c>
      <c r="R30" s="29">
        <f ca="1">ROUND(('TUSD BE'!$AM$49+'TUSD BF_350'!$AM$49+'TUSD CVA'!$AM$49)*(1-CUSTOS!$M$31),2)</f>
        <v>310.49</v>
      </c>
      <c r="S30" s="29">
        <f ca="1">ROUND(('TE BE'!$AB$40+'TE BF_350'!$AB$40+'TE CVA'!$AB$40)*(1-CUSTOS!$M$31),2)</f>
        <v>262.52999999999997</v>
      </c>
      <c r="T30" s="29">
        <v>0</v>
      </c>
      <c r="U30" s="29">
        <f ca="1">ROUND(('TUSD BE'!$AM$49)*(1-CUSTOS!$M$31),2)</f>
        <v>475</v>
      </c>
      <c r="V30" s="29">
        <f>ROUND(('TE BE'!$AB$40)*(1-CUSTOS!$M$31),2)</f>
        <v>285.79000000000002</v>
      </c>
    </row>
    <row r="31" spans="12:22" ht="11.25" customHeight="1" x14ac:dyDescent="0.25">
      <c r="L31" s="153"/>
      <c r="M31" s="31" t="s">
        <v>712</v>
      </c>
      <c r="N31" s="31" t="s">
        <v>704</v>
      </c>
      <c r="O31" s="31" t="s">
        <v>704</v>
      </c>
      <c r="P31" s="31" t="s">
        <v>704</v>
      </c>
      <c r="Q31" s="29">
        <v>0</v>
      </c>
      <c r="R31" s="29">
        <f ca="1">ROUND(('TUSD BE'!$AM$48+'TUSD BF_350'!$AM$48+'TUSD CVA'!$AM$48)*(1-CUSTOS!$M$31),2)</f>
        <v>310.49</v>
      </c>
      <c r="S31" s="29">
        <f ca="1">ROUND(('TE BE'!$AB$39+'TE BF_350'!$AB$39+'TE CVA'!$AB$39)*(1-CUSTOS!$M$31),2)</f>
        <v>262.52999999999997</v>
      </c>
      <c r="T31" s="29">
        <v>0</v>
      </c>
      <c r="U31" s="29">
        <f ca="1">ROUND(('TUSD BE'!$AM$48)*(1-CUSTOS!$M$31),2)</f>
        <v>475</v>
      </c>
      <c r="V31" s="29">
        <f>ROUND(('TE BE'!$AB$39)*(1-CUSTOS!$M$31),2)</f>
        <v>285.79000000000002</v>
      </c>
    </row>
    <row r="32" spans="12:22" ht="11.25" customHeight="1" x14ac:dyDescent="0.25">
      <c r="L32" s="151" t="s">
        <v>44</v>
      </c>
      <c r="M32" s="151" t="s">
        <v>712</v>
      </c>
      <c r="N32" s="151" t="s">
        <v>717</v>
      </c>
      <c r="O32" s="31" t="s">
        <v>718</v>
      </c>
      <c r="P32" s="31" t="s">
        <v>704</v>
      </c>
      <c r="Q32" s="29">
        <v>0</v>
      </c>
      <c r="R32" s="29">
        <f ca="1">ROUND(('TUSD BE'!$AM$50+'TUSD BF_350'!$AM$50+'TUSD CVA'!$AM$50),2)</f>
        <v>170.77</v>
      </c>
      <c r="S32" s="29">
        <f ca="1">ROUND(('TE BE'!$AB$41+'TE BF_350'!$AB$41+'TE CVA'!$AB$41),2)</f>
        <v>144.38999999999999</v>
      </c>
      <c r="T32" s="29">
        <v>0</v>
      </c>
      <c r="U32" s="29">
        <f ca="1">ROUND(('TUSD BE'!$AM$50),2)</f>
        <v>261.25</v>
      </c>
      <c r="V32" s="29">
        <f>ROUND(('TE BE'!$AB$41),2)</f>
        <v>157.18</v>
      </c>
    </row>
    <row r="33" spans="12:22" ht="11.25" customHeight="1" x14ac:dyDescent="0.25">
      <c r="L33" s="153"/>
      <c r="M33" s="153"/>
      <c r="N33" s="153"/>
      <c r="O33" s="31" t="s">
        <v>719</v>
      </c>
      <c r="P33" s="31" t="s">
        <v>704</v>
      </c>
      <c r="Q33" s="29">
        <v>0</v>
      </c>
      <c r="R33" s="29">
        <f ca="1">ROUND(('TUSD BE'!$AM$51+'TUSD BF_350'!$AM$51+'TUSD CVA'!$AM$51),2)</f>
        <v>186.29</v>
      </c>
      <c r="S33" s="29">
        <f ca="1">ROUND(('TE BE'!$AB$42+'TE BF_350'!$AB$42+'TE CVA'!$AB$42),2)</f>
        <v>157.52000000000001</v>
      </c>
      <c r="T33" s="29">
        <v>0</v>
      </c>
      <c r="U33" s="29">
        <f ca="1">ROUND(('TUSD BE'!$AM$51),2)</f>
        <v>285</v>
      </c>
      <c r="V33" s="29">
        <f>ROUND(('TE BE'!$AB$42),2)</f>
        <v>171.47</v>
      </c>
    </row>
    <row r="34" spans="12:22" ht="11.25" customHeight="1" x14ac:dyDescent="0.25">
      <c r="L34" s="151" t="s">
        <v>79</v>
      </c>
      <c r="M34" s="151" t="s">
        <v>720</v>
      </c>
      <c r="N34" s="31" t="s">
        <v>80</v>
      </c>
      <c r="O34" s="31" t="s">
        <v>704</v>
      </c>
      <c r="P34" s="31" t="s">
        <v>704</v>
      </c>
      <c r="Q34" s="29">
        <f ca="1">ROUND(('TUSD BE'!$AM$15+'TUSD BF_350'!$AM$15+'TUSD CVA'!$AM$15),2)</f>
        <v>14.79</v>
      </c>
      <c r="R34" s="29">
        <v>0</v>
      </c>
      <c r="S34" s="29">
        <v>0</v>
      </c>
      <c r="T34" s="29">
        <f ca="1">ROUND(('TUSD BE'!$AM$15),2)</f>
        <v>14.79</v>
      </c>
      <c r="U34" s="29">
        <v>0</v>
      </c>
      <c r="V34" s="29">
        <v>0</v>
      </c>
    </row>
    <row r="35" spans="12:22" ht="11.25" customHeight="1" x14ac:dyDescent="0.25">
      <c r="L35" s="153"/>
      <c r="M35" s="153"/>
      <c r="N35" s="31" t="s">
        <v>81</v>
      </c>
      <c r="O35" s="31" t="s">
        <v>704</v>
      </c>
      <c r="P35" s="31" t="s">
        <v>704</v>
      </c>
      <c r="Q35" s="29">
        <f ca="1">ROUND(('TUSD BE'!$AM$16+'TUSD BF_350'!$AM$16+'TUSD CVA'!$AM$16),2)</f>
        <v>22.58</v>
      </c>
      <c r="R35" s="29">
        <v>0</v>
      </c>
      <c r="S35" s="29">
        <v>0</v>
      </c>
      <c r="T35" s="29">
        <f ca="1">ROUND(('TUSD BE'!$AM$16),2)</f>
        <v>22.58</v>
      </c>
      <c r="U35" s="29">
        <v>0</v>
      </c>
      <c r="V35" s="29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L27:L31"/>
    <mergeCell ref="L32:L33"/>
    <mergeCell ref="L34:L35"/>
    <mergeCell ref="M32:M33"/>
    <mergeCell ref="M34:M35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  <pageSetup orientation="portrait" r:id="rId1"/>
  <ignoredErrors>
    <ignoredError sqref="E6 H6" formula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5E68-F517-4FD0-A303-13BEB0642682}">
  <dimension ref="A1:V35"/>
  <sheetViews>
    <sheetView showGridLines="0" topLeftCell="B1" workbookViewId="0">
      <selection activeCell="S24" sqref="S24"/>
    </sheetView>
  </sheetViews>
  <sheetFormatPr defaultColWidth="9.140625"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128" t="s">
        <v>696</v>
      </c>
      <c r="B1" s="157"/>
      <c r="C1" s="157"/>
      <c r="D1" s="157"/>
      <c r="E1" s="157"/>
      <c r="F1" s="157"/>
      <c r="G1" s="157"/>
      <c r="H1" s="157"/>
      <c r="I1" s="157"/>
      <c r="J1" s="157"/>
      <c r="L1" s="128" t="s">
        <v>706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</row>
    <row r="2" spans="1:22" ht="11.25" customHeight="1" x14ac:dyDescent="0.25">
      <c r="A2" s="149" t="s">
        <v>58</v>
      </c>
      <c r="B2" s="149" t="s">
        <v>59</v>
      </c>
      <c r="C2" s="149" t="s">
        <v>697</v>
      </c>
      <c r="D2" s="149" t="s">
        <v>64</v>
      </c>
      <c r="E2" s="149" t="s">
        <v>698</v>
      </c>
      <c r="F2" s="155"/>
      <c r="G2" s="155"/>
      <c r="H2" s="149" t="s">
        <v>461</v>
      </c>
      <c r="I2" s="155"/>
      <c r="J2" s="155"/>
      <c r="L2" s="149" t="s">
        <v>58</v>
      </c>
      <c r="M2" s="149" t="s">
        <v>59</v>
      </c>
      <c r="N2" s="149" t="s">
        <v>60</v>
      </c>
      <c r="O2" s="149" t="s">
        <v>61</v>
      </c>
      <c r="P2" s="149" t="s">
        <v>64</v>
      </c>
      <c r="Q2" s="149" t="s">
        <v>698</v>
      </c>
      <c r="R2" s="156"/>
      <c r="S2" s="156"/>
      <c r="T2" s="149" t="s">
        <v>461</v>
      </c>
      <c r="U2" s="156"/>
      <c r="V2" s="156"/>
    </row>
    <row r="3" spans="1:22" ht="11.25" customHeight="1" x14ac:dyDescent="0.25">
      <c r="A3" s="155"/>
      <c r="B3" s="155"/>
      <c r="C3" s="155"/>
      <c r="D3" s="155"/>
      <c r="E3" s="149" t="s">
        <v>419</v>
      </c>
      <c r="F3" s="155"/>
      <c r="G3" s="30" t="s">
        <v>447</v>
      </c>
      <c r="H3" s="149" t="s">
        <v>419</v>
      </c>
      <c r="I3" s="155"/>
      <c r="J3" s="30" t="s">
        <v>447</v>
      </c>
      <c r="L3" s="156"/>
      <c r="M3" s="156"/>
      <c r="N3" s="156"/>
      <c r="O3" s="156"/>
      <c r="P3" s="156"/>
      <c r="Q3" s="149" t="s">
        <v>419</v>
      </c>
      <c r="R3" s="156"/>
      <c r="S3" s="30" t="s">
        <v>447</v>
      </c>
      <c r="T3" s="149" t="s">
        <v>419</v>
      </c>
      <c r="U3" s="156"/>
      <c r="V3" s="30" t="s">
        <v>447</v>
      </c>
    </row>
    <row r="4" spans="1:22" ht="11.25" customHeight="1" x14ac:dyDescent="0.25">
      <c r="A4" s="155"/>
      <c r="B4" s="155"/>
      <c r="C4" s="155"/>
      <c r="D4" s="155"/>
      <c r="E4" s="30" t="s">
        <v>699</v>
      </c>
      <c r="F4" s="30" t="s">
        <v>700</v>
      </c>
      <c r="G4" s="30" t="s">
        <v>700</v>
      </c>
      <c r="H4" s="30" t="s">
        <v>699</v>
      </c>
      <c r="I4" s="30" t="s">
        <v>700</v>
      </c>
      <c r="J4" s="30" t="s">
        <v>700</v>
      </c>
      <c r="L4" s="156"/>
      <c r="M4" s="156"/>
      <c r="N4" s="156"/>
      <c r="O4" s="156"/>
      <c r="P4" s="156"/>
      <c r="Q4" s="30" t="s">
        <v>699</v>
      </c>
      <c r="R4" s="30" t="s">
        <v>700</v>
      </c>
      <c r="S4" s="30" t="s">
        <v>700</v>
      </c>
      <c r="T4" s="30" t="s">
        <v>699</v>
      </c>
      <c r="U4" s="30" t="s">
        <v>700</v>
      </c>
      <c r="V4" s="30" t="s">
        <v>700</v>
      </c>
    </row>
    <row r="5" spans="1:22" ht="11.25" customHeight="1" x14ac:dyDescent="0.25">
      <c r="A5" s="154" t="s">
        <v>34</v>
      </c>
      <c r="B5" s="154" t="s">
        <v>73</v>
      </c>
      <c r="C5" s="154" t="s">
        <v>25</v>
      </c>
      <c r="D5" s="31" t="s">
        <v>701</v>
      </c>
      <c r="E5" s="29">
        <f ca="1">ROUND('TUSD BE'!$AM$5+'TUSD BF'!$AM$5+'TUSD CVA'!$AM$5,2)</f>
        <v>48.3</v>
      </c>
      <c r="F5" s="29">
        <f ca="1">ROUND('TUSD BE'!$AM$7+'TUSD BF'!$AM$7+'TUSD CVA'!$AM$7,2)</f>
        <v>110</v>
      </c>
      <c r="G5" s="29">
        <f>ROUND('TE BE'!$AB$5+'TE BF'!$AB$5+'TE CVA'!$AB$5,2)</f>
        <v>469.67</v>
      </c>
      <c r="H5" s="29">
        <f ca="1">ROUND('TUSD BE'!$AM$5,2)</f>
        <v>49.16</v>
      </c>
      <c r="I5" s="29">
        <f ca="1">ROUND('TUSD BE'!$AM$7,2)</f>
        <v>92.28</v>
      </c>
      <c r="J5" s="29">
        <f>ROUND('TE BE'!$AB$5,2)</f>
        <v>461.96</v>
      </c>
      <c r="L5" s="151" t="s">
        <v>22</v>
      </c>
      <c r="M5" s="151" t="s">
        <v>707</v>
      </c>
      <c r="N5" s="151" t="s">
        <v>708</v>
      </c>
      <c r="O5" s="151" t="s">
        <v>708</v>
      </c>
      <c r="P5" s="31" t="s">
        <v>701</v>
      </c>
      <c r="Q5" s="29">
        <v>0</v>
      </c>
      <c r="R5" s="29">
        <f ca="1">ROUND('TUSD BE'!$AM$17+'TUSD BF'!$AM$17+'TUSD CVA'!$AM$17,2)</f>
        <v>1116.19</v>
      </c>
      <c r="S5" s="29">
        <f>ROUND('TE BE'!$AB$8+'TE BF'!$AB$8+'TE CVA'!$AB$8,2)</f>
        <v>469.67</v>
      </c>
      <c r="T5" s="29">
        <v>0</v>
      </c>
      <c r="U5" s="29">
        <f ca="1">ROUND('TUSD BE'!$AM$17,2)</f>
        <v>1102.83</v>
      </c>
      <c r="V5" s="29">
        <f>ROUND('TE BE'!$AB$8,2)</f>
        <v>461.96</v>
      </c>
    </row>
    <row r="6" spans="1:22" ht="11.25" customHeight="1" x14ac:dyDescent="0.25">
      <c r="A6" s="155"/>
      <c r="B6" s="155"/>
      <c r="C6" s="155"/>
      <c r="D6" s="31" t="s">
        <v>702</v>
      </c>
      <c r="E6" s="29">
        <f ca="1">ROUND('TUSD BE'!$AM$6+'TUSD BF'!$AM$6+'TUSD CVA'!$AM$6,2)</f>
        <v>17.7</v>
      </c>
      <c r="F6" s="29">
        <f ca="1">ROUND('TUSD BE'!$AM$7+'TUSD BF'!$AM$7+'TUSD CVA'!$AM$7,2)</f>
        <v>110</v>
      </c>
      <c r="G6" s="29">
        <f>ROUND('TE BE'!$AB$6+'TE BF'!$AB$6+'TE CVA'!$AB$6,2)</f>
        <v>274.24</v>
      </c>
      <c r="H6" s="29">
        <f ca="1">ROUND('TUSD BE'!$AM$6,2)</f>
        <v>18.03</v>
      </c>
      <c r="I6" s="29">
        <f ca="1">ROUND('TUSD BE'!$AM$7,2)</f>
        <v>92.28</v>
      </c>
      <c r="J6" s="29">
        <f>ROUND('TE BE'!$AB$6,2)</f>
        <v>269.77</v>
      </c>
      <c r="L6" s="152"/>
      <c r="M6" s="152"/>
      <c r="N6" s="152"/>
      <c r="O6" s="152"/>
      <c r="P6" s="31" t="s">
        <v>709</v>
      </c>
      <c r="Q6" s="29">
        <v>0</v>
      </c>
      <c r="R6" s="29">
        <f ca="1">ROUND('TUSD BE'!$AM$18+'TUSD BF'!$AM$18+'TUSD CVA'!$AM$18,2)</f>
        <v>728.49</v>
      </c>
      <c r="S6" s="29">
        <f>ROUND('TE BE'!$AB$9+'TE BF'!$AB$9+'TE CVA'!$AB$9,2)</f>
        <v>274.24</v>
      </c>
      <c r="T6" s="29">
        <v>0</v>
      </c>
      <c r="U6" s="29">
        <f ca="1">ROUND('TUSD BE'!$AM$18,2)</f>
        <v>712.18</v>
      </c>
      <c r="V6" s="29">
        <f>ROUND('TE BE'!$AB$9,2)</f>
        <v>269.77</v>
      </c>
    </row>
    <row r="7" spans="1:22" ht="11.25" customHeight="1" x14ac:dyDescent="0.25">
      <c r="A7" s="155"/>
      <c r="B7" s="154" t="s">
        <v>703</v>
      </c>
      <c r="C7" s="154" t="s">
        <v>25</v>
      </c>
      <c r="D7" s="31" t="s">
        <v>701</v>
      </c>
      <c r="E7" s="29">
        <f ca="1">ROUND('TUSD BE'!$AM$5+'TUSD BF'!$AM$5+'TUSD CVA'!$AM$5,2)</f>
        <v>48.3</v>
      </c>
      <c r="F7" s="29">
        <f ca="1">ROUND('TUSD BE'!$AM$8+'TUSD BF'!$AM$8+'TUSD CVA'!$AM$8,2)</f>
        <v>3.21</v>
      </c>
      <c r="G7" s="29">
        <v>0</v>
      </c>
      <c r="H7" s="29">
        <f ca="1">ROUND('TUSD BE'!$AM$5,2)</f>
        <v>49.16</v>
      </c>
      <c r="I7" s="29">
        <f ca="1">ROUND('TUSD BE'!$AM$8,2)</f>
        <v>3.17</v>
      </c>
      <c r="J7" s="29">
        <v>0</v>
      </c>
      <c r="L7" s="152"/>
      <c r="M7" s="153"/>
      <c r="N7" s="153"/>
      <c r="O7" s="153"/>
      <c r="P7" s="31" t="s">
        <v>702</v>
      </c>
      <c r="Q7" s="29">
        <v>0</v>
      </c>
      <c r="R7" s="29">
        <f ca="1">ROUND('TUSD BE'!$AM$19+'TUSD BF'!$AM$19+'TUSD CVA'!$AM$19,2)</f>
        <v>340.79</v>
      </c>
      <c r="S7" s="29">
        <f>ROUND('TE BE'!$AB$10+'TE BF'!$AB$10+'TE CVA'!$AB$10,2)</f>
        <v>274.24</v>
      </c>
      <c r="T7" s="29">
        <v>0</v>
      </c>
      <c r="U7" s="29">
        <f ca="1">ROUND('TUSD BE'!$AM$19,2)</f>
        <v>321.52999999999997</v>
      </c>
      <c r="V7" s="29">
        <f>ROUND('TE BE'!$AB$10,2)</f>
        <v>269.77</v>
      </c>
    </row>
    <row r="8" spans="1:22" ht="11.25" customHeight="1" x14ac:dyDescent="0.25">
      <c r="A8" s="155"/>
      <c r="B8" s="155"/>
      <c r="C8" s="155"/>
      <c r="D8" s="31" t="s">
        <v>702</v>
      </c>
      <c r="E8" s="29">
        <f ca="1">ROUND('TUSD BE'!$AM$6+'TUSD BF'!$AM$6+'TUSD CVA'!$AM$6,2)</f>
        <v>17.7</v>
      </c>
      <c r="F8" s="29">
        <f ca="1">ROUND('TUSD BE'!$AM$8+'TUSD BF'!$AM$8+'TUSD CVA'!$AM$8,2)</f>
        <v>3.21</v>
      </c>
      <c r="G8" s="29">
        <v>0</v>
      </c>
      <c r="H8" s="29">
        <f ca="1">ROUND('TUSD BE'!$AM$6,2)</f>
        <v>18.03</v>
      </c>
      <c r="I8" s="29">
        <f ca="1">ROUND('TUSD BE'!$AM$8,2)</f>
        <v>3.17</v>
      </c>
      <c r="J8" s="29">
        <v>0</v>
      </c>
      <c r="L8" s="152"/>
      <c r="M8" s="31" t="s">
        <v>710</v>
      </c>
      <c r="N8" s="31" t="s">
        <v>708</v>
      </c>
      <c r="O8" s="31" t="s">
        <v>708</v>
      </c>
      <c r="P8" s="31" t="s">
        <v>704</v>
      </c>
      <c r="Q8" s="29">
        <v>0</v>
      </c>
      <c r="R8" s="29">
        <f ca="1">ROUND('TUSD BE'!$AM$25+'TUSD BF'!$AM$25+'TUSD CVA'!$AM$25,2)</f>
        <v>493.1</v>
      </c>
      <c r="S8" s="29">
        <f>ROUND('TE BE'!$AB$16+'TE BF'!$AB$16+'TE CVA'!$AB$16,2)</f>
        <v>290.52999999999997</v>
      </c>
      <c r="T8" s="29">
        <v>0</v>
      </c>
      <c r="U8" s="29">
        <f ca="1">ROUND('TUSD BE'!$AM$25,2)</f>
        <v>475</v>
      </c>
      <c r="V8" s="29">
        <f>ROUND('TE BE'!$AB$16,2)</f>
        <v>285.79000000000002</v>
      </c>
    </row>
    <row r="9" spans="1:22" ht="11.25" customHeight="1" x14ac:dyDescent="0.25">
      <c r="A9" s="155"/>
      <c r="B9" s="154" t="s">
        <v>35</v>
      </c>
      <c r="C9" s="154" t="s">
        <v>25</v>
      </c>
      <c r="D9" s="31" t="s">
        <v>704</v>
      </c>
      <c r="E9" s="29">
        <f ca="1">ROUND('TUSD BE'!$AM$10+'TUSD BF'!$AM$10+'TUSD CVA'!$AM$10,2)</f>
        <v>17.7</v>
      </c>
      <c r="F9" s="29">
        <v>0</v>
      </c>
      <c r="G9" s="29">
        <v>0</v>
      </c>
      <c r="H9" s="29">
        <f ca="1">ROUND('TUSD BE'!$AM$10,2)</f>
        <v>18.03</v>
      </c>
      <c r="I9" s="29">
        <v>0</v>
      </c>
      <c r="J9" s="29">
        <v>0</v>
      </c>
      <c r="L9" s="152"/>
      <c r="M9" s="31" t="s">
        <v>712</v>
      </c>
      <c r="N9" s="31" t="s">
        <v>708</v>
      </c>
      <c r="O9" s="31" t="s">
        <v>708</v>
      </c>
      <c r="P9" s="31" t="s">
        <v>704</v>
      </c>
      <c r="Q9" s="29">
        <v>0</v>
      </c>
      <c r="R9" s="29">
        <f ca="1">ROUND('TUSD BE'!$AM$20+'TUSD BF'!$AM$20+'TUSD CVA'!$AM$20,2)</f>
        <v>493.1</v>
      </c>
      <c r="S9" s="29">
        <f>ROUND('TE BE'!$AB$11+'TE BF'!$AB$11+'TE CVA'!$AB$11,2)</f>
        <v>290.52999999999997</v>
      </c>
      <c r="T9" s="29">
        <v>0</v>
      </c>
      <c r="U9" s="29">
        <f ca="1">ROUND('TUSD BE'!$AM$20,2)</f>
        <v>475</v>
      </c>
      <c r="V9" s="29">
        <f>ROUND('TE BE'!$AB$11,2)</f>
        <v>285.79000000000002</v>
      </c>
    </row>
    <row r="10" spans="1:22" ht="11.25" customHeight="1" x14ac:dyDescent="0.25">
      <c r="A10" s="155"/>
      <c r="B10" s="155"/>
      <c r="C10" s="155"/>
      <c r="D10" s="31" t="s">
        <v>701</v>
      </c>
      <c r="E10" s="29">
        <v>0</v>
      </c>
      <c r="F10" s="29">
        <f ca="1">ROUND('TUSD BE'!$AM$11+'TUSD BF'!$AM$11+'TUSD CVA'!$AM$11,2)</f>
        <v>1283.8499999999999</v>
      </c>
      <c r="G10" s="29">
        <f>ROUND('TE BE'!$AB$5+'TE BF'!$AB$5+'TE CVA'!$AB$5,2)</f>
        <v>469.67</v>
      </c>
      <c r="H10" s="29">
        <v>0</v>
      </c>
      <c r="I10" s="29">
        <f ca="1">ROUND('TUSD BE'!$AM$11,2)</f>
        <v>1286.74</v>
      </c>
      <c r="J10" s="29">
        <f>ROUND('TE BE'!$AB$5,2)</f>
        <v>461.96</v>
      </c>
      <c r="L10" s="152"/>
      <c r="M10" s="31" t="s">
        <v>710</v>
      </c>
      <c r="N10" s="31" t="s">
        <v>708</v>
      </c>
      <c r="O10" s="31" t="s">
        <v>711</v>
      </c>
      <c r="P10" s="31" t="s">
        <v>704</v>
      </c>
      <c r="Q10" s="29">
        <v>0</v>
      </c>
      <c r="R10" s="29">
        <f ca="1">ROUND('TUSD BE'!$AM$26+'TUSD BF'!$AM$26+'TUSD CVA'!$AM$26,2)</f>
        <v>369.24</v>
      </c>
      <c r="S10" s="29">
        <f>ROUND('TE BE'!$AB$17+'TE BF'!$AB$17+'TE CVA'!$AB$17,2)</f>
        <v>290.52999999999997</v>
      </c>
      <c r="T10" s="29">
        <v>0</v>
      </c>
      <c r="U10" s="29">
        <f ca="1">ROUND('TUSD BE'!$AM$26,2)</f>
        <v>371.56</v>
      </c>
      <c r="V10" s="29">
        <f>ROUND('TE BE'!$AB$17,2)</f>
        <v>285.79000000000002</v>
      </c>
    </row>
    <row r="11" spans="1:22" ht="11.25" customHeight="1" x14ac:dyDescent="0.25">
      <c r="A11" s="155"/>
      <c r="B11" s="155"/>
      <c r="C11" s="155"/>
      <c r="D11" s="31" t="s">
        <v>702</v>
      </c>
      <c r="E11" s="29">
        <v>0</v>
      </c>
      <c r="F11" s="29">
        <f ca="1">ROUND('TUSD BE'!$AM$12+'TUSD BF'!$AM$12+'TUSD CVA'!$AM$12,2)</f>
        <v>110</v>
      </c>
      <c r="G11" s="29">
        <f>ROUND('TE BE'!$AB$6+'TE BF'!$AB$6+'TE CVA'!$AB$6,2)</f>
        <v>274.24</v>
      </c>
      <c r="H11" s="29">
        <v>0</v>
      </c>
      <c r="I11" s="29">
        <f ca="1">ROUND('TUSD BE'!$AM$12,2)</f>
        <v>92.28</v>
      </c>
      <c r="J11" s="29">
        <f>ROUND('TE BE'!$AB$6,2)</f>
        <v>269.77</v>
      </c>
      <c r="L11" s="153"/>
      <c r="M11" s="31" t="s">
        <v>712</v>
      </c>
      <c r="N11" s="31" t="s">
        <v>708</v>
      </c>
      <c r="O11" s="31" t="s">
        <v>711</v>
      </c>
      <c r="P11" s="31" t="s">
        <v>704</v>
      </c>
      <c r="Q11" s="29">
        <v>0</v>
      </c>
      <c r="R11" s="29">
        <f ca="1">ROUND('TUSD BE'!$AM$21+'TUSD BF'!$AM$21+'TUSD CVA'!$AM$21,2)</f>
        <v>369.24</v>
      </c>
      <c r="S11" s="29">
        <f>ROUND('TE BE'!$AB$12+'TE BF'!$AB$12+'TE CVA'!$AB$12,2)</f>
        <v>290.52999999999997</v>
      </c>
      <c r="T11" s="29">
        <v>0</v>
      </c>
      <c r="U11" s="29">
        <f ca="1">ROUND('TUSD BE'!$AM$21,2)</f>
        <v>371.56</v>
      </c>
      <c r="V11" s="29">
        <f>ROUND('TE BE'!$AB$12,2)</f>
        <v>285.79000000000002</v>
      </c>
    </row>
    <row r="12" spans="1:22" ht="11.25" customHeight="1" x14ac:dyDescent="0.25">
      <c r="A12" s="155"/>
      <c r="B12" s="154" t="s">
        <v>705</v>
      </c>
      <c r="C12" s="154" t="s">
        <v>25</v>
      </c>
      <c r="D12" s="31" t="s">
        <v>704</v>
      </c>
      <c r="E12" s="29">
        <f ca="1">ROUND('TUSD BE'!$AM$10+'TUSD BF'!$AM$10+'TUSD CVA'!$AM$10,2)</f>
        <v>17.7</v>
      </c>
      <c r="F12" s="29">
        <v>0</v>
      </c>
      <c r="G12" s="29">
        <v>0</v>
      </c>
      <c r="H12" s="29">
        <f ca="1">ROUND('TUSD BE'!$AM$10,2)</f>
        <v>18.03</v>
      </c>
      <c r="I12" s="29">
        <v>0</v>
      </c>
      <c r="J12" s="29">
        <v>0</v>
      </c>
      <c r="L12" s="151" t="s">
        <v>41</v>
      </c>
      <c r="M12" s="151" t="s">
        <v>707</v>
      </c>
      <c r="N12" s="151" t="s">
        <v>713</v>
      </c>
      <c r="O12" s="151" t="s">
        <v>714</v>
      </c>
      <c r="P12" s="31" t="s">
        <v>701</v>
      </c>
      <c r="Q12" s="29">
        <v>0</v>
      </c>
      <c r="R12" s="29">
        <f ca="1">ROUND(('TUSD BE'!$AM$30+'TUSD BF'!$AM$30+'TUSD CVA'!$AM$30)*(1-CUSTOS!$M$38),2)</f>
        <v>138.12</v>
      </c>
      <c r="S12" s="29">
        <f>ROUND(('TE BE'!$AB$21+'TE BF'!$AB$21+'TE CVA'!$AB$21)*(1-CUSTOS!$M$38),2)</f>
        <v>441.49</v>
      </c>
      <c r="T12" s="29">
        <v>0</v>
      </c>
      <c r="U12" s="29">
        <f ca="1">ROUND('TUSD BE'!$AM$30*(1-CUSTOS!$M$38),2)</f>
        <v>118.64</v>
      </c>
      <c r="V12" s="29">
        <f>ROUND('TE BE'!$AB$21*(1-CUSTOS!$M$38),2)</f>
        <v>434.25</v>
      </c>
    </row>
    <row r="13" spans="1:22" ht="11.25" customHeight="1" x14ac:dyDescent="0.25">
      <c r="A13" s="155"/>
      <c r="B13" s="155"/>
      <c r="C13" s="155"/>
      <c r="D13" s="31" t="s">
        <v>701</v>
      </c>
      <c r="E13" s="29">
        <v>0</v>
      </c>
      <c r="F13" s="29">
        <f ca="1">ROUND('TUSD BE'!$AM$13+'TUSD BF'!$AM$13+'TUSD CVA'!$AM$13,2)</f>
        <v>1177.06</v>
      </c>
      <c r="G13" s="29">
        <v>0</v>
      </c>
      <c r="H13" s="29">
        <v>0</v>
      </c>
      <c r="I13" s="29">
        <f ca="1">ROUND('TUSD BE'!$AM$13,2)</f>
        <v>1197.6300000000001</v>
      </c>
      <c r="J13" s="29">
        <v>0</v>
      </c>
      <c r="L13" s="152"/>
      <c r="M13" s="152"/>
      <c r="N13" s="152"/>
      <c r="O13" s="152"/>
      <c r="P13" s="31" t="s">
        <v>709</v>
      </c>
      <c r="Q13" s="29">
        <v>0</v>
      </c>
      <c r="R13" s="29">
        <f ca="1">ROUND(('TUSD BE'!$AM$31+'TUSD BF'!$AM$31+'TUSD CVA'!$AM$31)*(1-CUSTOS!$M$38),2)</f>
        <v>138.12</v>
      </c>
      <c r="S13" s="29">
        <f>ROUND(('TE BE'!$AB$22+'TE BF'!$AB$22+'TE CVA'!$AB$22)*(1-CUSTOS!$M$38),2)</f>
        <v>257.79000000000002</v>
      </c>
      <c r="T13" s="29">
        <v>0</v>
      </c>
      <c r="U13" s="29">
        <f ca="1">ROUND('TUSD BE'!$AM$31*(1-CUSTOS!$M$38),2)</f>
        <v>118.64</v>
      </c>
      <c r="V13" s="29">
        <f>ROUND('TE BE'!$AB$22*(1-CUSTOS!$M$38),2)</f>
        <v>253.58</v>
      </c>
    </row>
    <row r="14" spans="1:22" ht="11.25" customHeight="1" x14ac:dyDescent="0.25">
      <c r="A14" s="155"/>
      <c r="B14" s="155"/>
      <c r="C14" s="155"/>
      <c r="D14" s="31" t="s">
        <v>702</v>
      </c>
      <c r="E14" s="29">
        <v>0</v>
      </c>
      <c r="F14" s="29">
        <f ca="1">ROUND('TUSD BE'!$AM$14+'TUSD BF'!$AM$14+'TUSD CVA'!$AM$14,2)</f>
        <v>3.21</v>
      </c>
      <c r="G14" s="29">
        <v>0</v>
      </c>
      <c r="H14" s="29">
        <v>0</v>
      </c>
      <c r="I14" s="29">
        <f ca="1">ROUND('TUSD BE'!$AM$14,2)</f>
        <v>3.17</v>
      </c>
      <c r="J14" s="29">
        <v>0</v>
      </c>
      <c r="L14" s="152"/>
      <c r="M14" s="153"/>
      <c r="N14" s="153"/>
      <c r="O14" s="153"/>
      <c r="P14" s="31" t="s">
        <v>702</v>
      </c>
      <c r="Q14" s="29">
        <v>0</v>
      </c>
      <c r="R14" s="29">
        <f ca="1">ROUND(('TUSD BE'!$AM$32+'TUSD BF'!$AM$32+'TUSD CVA'!$AM$32)*(1-CUSTOS!$M$38),2)</f>
        <v>138.12</v>
      </c>
      <c r="S14" s="29">
        <f>ROUND(('TE BE'!$AB$23+'TE BF'!$AB$23+'TE CVA'!$AB$23)*(1-CUSTOS!$M$38),2)</f>
        <v>257.79000000000002</v>
      </c>
      <c r="T14" s="29">
        <v>0</v>
      </c>
      <c r="U14" s="29">
        <f ca="1">ROUND('TUSD BE'!$AM$32*(1-CUSTOS!$M$38),2)</f>
        <v>118.64</v>
      </c>
      <c r="V14" s="29">
        <f>ROUND('TE BE'!$AB$23*(1-CUSTOS!$M$38),2)</f>
        <v>253.58</v>
      </c>
    </row>
    <row r="15" spans="1:22" ht="11.25" customHeight="1" x14ac:dyDescent="0.25">
      <c r="A15" s="155"/>
      <c r="B15" s="31" t="s">
        <v>78</v>
      </c>
      <c r="C15" s="31" t="s">
        <v>25</v>
      </c>
      <c r="D15" s="31" t="s">
        <v>704</v>
      </c>
      <c r="E15" s="29">
        <f ca="1">ROUND('TUSD BE'!$AM$9+'TUSD BF'!$AM$9+'TUSD CVA'!$AM$9,2)</f>
        <v>6.83</v>
      </c>
      <c r="F15" s="29">
        <v>0</v>
      </c>
      <c r="G15" s="29">
        <v>0</v>
      </c>
      <c r="H15" s="29">
        <f ca="1">ROUND('TUSD BE'!$AM$9,2)</f>
        <v>6.83</v>
      </c>
      <c r="I15" s="29">
        <v>0</v>
      </c>
      <c r="J15" s="29">
        <v>0</v>
      </c>
      <c r="L15" s="152"/>
      <c r="M15" s="31" t="s">
        <v>710</v>
      </c>
      <c r="N15" s="31" t="s">
        <v>713</v>
      </c>
      <c r="O15" s="31" t="s">
        <v>714</v>
      </c>
      <c r="P15" s="31" t="s">
        <v>704</v>
      </c>
      <c r="Q15" s="29">
        <v>0</v>
      </c>
      <c r="R15" s="29">
        <f ca="1">ROUND(('TUSD BE'!$AM$42+'TUSD BF'!$AM$42+'TUSD CVA'!$AM$42)*(1-CUSTOS!$M$38),2)</f>
        <v>463.51</v>
      </c>
      <c r="S15" s="29">
        <f>ROUND(('TE BE'!$AB$33+'TE BF'!$AB$33+'TE CVA'!$AB$33)*(1-CUSTOS!$M$38),2)</f>
        <v>273.10000000000002</v>
      </c>
      <c r="T15" s="29">
        <v>0</v>
      </c>
      <c r="U15" s="29">
        <f ca="1">ROUND(('TUSD BE'!$AM$42)*(1-CUSTOS!$M$38),2)</f>
        <v>446.5</v>
      </c>
      <c r="V15" s="29">
        <f>ROUND(('TE BE'!$AB$33)*(1-CUSTOS!$M$38),2)</f>
        <v>268.64</v>
      </c>
    </row>
    <row r="16" spans="1:22" ht="11.25" customHeight="1" x14ac:dyDescent="0.25">
      <c r="L16" s="152"/>
      <c r="M16" s="31" t="s">
        <v>712</v>
      </c>
      <c r="N16" s="31" t="s">
        <v>713</v>
      </c>
      <c r="O16" s="31" t="s">
        <v>714</v>
      </c>
      <c r="P16" s="31" t="s">
        <v>704</v>
      </c>
      <c r="Q16" s="29">
        <v>0</v>
      </c>
      <c r="R16" s="29">
        <f ca="1">ROUND(('TUSD BE'!$AM$33+'TUSD BF'!$AM$33+'TUSD CVA'!$AM$33)*(1-CUSTOS!$M$38),2)</f>
        <v>463.51</v>
      </c>
      <c r="S16" s="29">
        <f>ROUND(('TE BE'!$AB$24+'TE BF'!$AB$24+'TE CVA'!$AB$24)*(1-CUSTOS!$M$38),2)</f>
        <v>273.10000000000002</v>
      </c>
      <c r="T16" s="29">
        <v>0</v>
      </c>
      <c r="U16" s="29">
        <f ca="1">ROUND(('TUSD BE'!$AM$33)*(1-CUSTOS!$M$38),2)</f>
        <v>446.5</v>
      </c>
      <c r="V16" s="29">
        <f>ROUND(('TE BE'!$AB$24)*(1-CUSTOS!$M$38),2)</f>
        <v>268.64</v>
      </c>
    </row>
    <row r="17" spans="12:22" ht="11.25" customHeight="1" x14ac:dyDescent="0.25">
      <c r="L17" s="152"/>
      <c r="M17" s="151" t="s">
        <v>707</v>
      </c>
      <c r="N17" s="151" t="s">
        <v>713</v>
      </c>
      <c r="O17" s="151" t="s">
        <v>715</v>
      </c>
      <c r="P17" s="31" t="s">
        <v>701</v>
      </c>
      <c r="Q17" s="29">
        <v>0</v>
      </c>
      <c r="R17" s="29">
        <f ca="1">ROUND(('TUSD BE'!$AM$34+'TUSD BF'!$AM$34+'TUSD CVA'!$AM$34)*(1-CUSTOS!$M$39),2)</f>
        <v>138.12</v>
      </c>
      <c r="S17" s="29">
        <f>ROUND(('TE BE'!$AB$25+'TE BF'!$AB$25+'TE CVA'!$AB$25)*(1-CUSTOS!$M$39),2)</f>
        <v>441.49</v>
      </c>
      <c r="T17" s="29">
        <v>0</v>
      </c>
      <c r="U17" s="29">
        <f ca="1">ROUND('TUSD BE'!$AM$34*(1-CUSTOS!$M$39),2)</f>
        <v>118.64</v>
      </c>
      <c r="V17" s="29">
        <f>ROUND('TE BE'!$AB$25*(1-CUSTOS!$M$39),2)</f>
        <v>434.25</v>
      </c>
    </row>
    <row r="18" spans="12:22" ht="11.25" customHeight="1" x14ac:dyDescent="0.25">
      <c r="L18" s="152"/>
      <c r="M18" s="152"/>
      <c r="N18" s="152"/>
      <c r="O18" s="152"/>
      <c r="P18" s="31" t="s">
        <v>709</v>
      </c>
      <c r="Q18" s="29">
        <v>0</v>
      </c>
      <c r="R18" s="29">
        <f ca="1">ROUND(('TUSD BE'!$AM$35+'TUSD BF'!$AM$35+'TUSD CVA'!$AM$35)*(1-CUSTOS!$M$39),2)</f>
        <v>138.12</v>
      </c>
      <c r="S18" s="29">
        <f>ROUND(('TE BE'!$AB$26+'TE BF'!$AB$26+'TE CVA'!$AB$26)*(1-CUSTOS!$M$39),2)</f>
        <v>257.79000000000002</v>
      </c>
      <c r="T18" s="29">
        <v>0</v>
      </c>
      <c r="U18" s="29">
        <f ca="1">ROUND('TUSD BE'!$AM$35*(1-CUSTOS!$M$39),2)</f>
        <v>118.64</v>
      </c>
      <c r="V18" s="29">
        <f>ROUND('TE BE'!$AB$26*(1-CUSTOS!$M$39),2)</f>
        <v>253.58</v>
      </c>
    </row>
    <row r="19" spans="12:22" ht="11.25" customHeight="1" x14ac:dyDescent="0.25">
      <c r="L19" s="152"/>
      <c r="M19" s="153"/>
      <c r="N19" s="153"/>
      <c r="O19" s="153"/>
      <c r="P19" s="31" t="s">
        <v>702</v>
      </c>
      <c r="Q19" s="29">
        <v>0</v>
      </c>
      <c r="R19" s="29">
        <f ca="1">ROUND(('TUSD BE'!$AM$36+'TUSD BF'!$AM$36+'TUSD CVA'!$AM$36)*(1-CUSTOS!$M$39),2)</f>
        <v>138.12</v>
      </c>
      <c r="S19" s="29">
        <f>ROUND(('TE BE'!$AB$27+'TE BF'!$AB$27+'TE CVA'!$AB$27)*(1-CUSTOS!$M$39),2)</f>
        <v>257.79000000000002</v>
      </c>
      <c r="T19" s="29">
        <v>0</v>
      </c>
      <c r="U19" s="29">
        <f ca="1">ROUND('TUSD BE'!$AM$36*(1-CUSTOS!$M$39),2)</f>
        <v>118.64</v>
      </c>
      <c r="V19" s="29">
        <f>ROUND('TE BE'!$AB$27*(1-CUSTOS!$M$39),2)</f>
        <v>253.58</v>
      </c>
    </row>
    <row r="20" spans="12:22" ht="11.25" customHeight="1" x14ac:dyDescent="0.25">
      <c r="L20" s="152"/>
      <c r="M20" s="31" t="s">
        <v>710</v>
      </c>
      <c r="N20" s="31" t="s">
        <v>713</v>
      </c>
      <c r="O20" s="31" t="s">
        <v>715</v>
      </c>
      <c r="P20" s="31" t="s">
        <v>704</v>
      </c>
      <c r="Q20" s="29">
        <v>0</v>
      </c>
      <c r="R20" s="29">
        <f ca="1">ROUND(('TUSD BE'!$AM$42+'TUSD BF'!$AM$42+'TUSD CVA'!$AM$42)*(1-CUSTOS!$M$39),2)</f>
        <v>463.51</v>
      </c>
      <c r="S20" s="29">
        <f>ROUND(('TE BE'!$AB$33+'TE BF'!$AB$33+'TE CVA'!$AB$33)*(1-CUSTOS!$M$39),2)</f>
        <v>273.10000000000002</v>
      </c>
      <c r="T20" s="29">
        <v>0</v>
      </c>
      <c r="U20" s="29">
        <f ca="1">ROUND(('TUSD BE'!$AM$42)*(1-CUSTOS!$M$39),2)</f>
        <v>446.5</v>
      </c>
      <c r="V20" s="29">
        <f>ROUND(('TE BE'!$AB$33)*(1-CUSTOS!$M$39),2)</f>
        <v>268.64</v>
      </c>
    </row>
    <row r="21" spans="12:22" ht="11.25" customHeight="1" x14ac:dyDescent="0.25">
      <c r="L21" s="152"/>
      <c r="M21" s="31" t="s">
        <v>712</v>
      </c>
      <c r="N21" s="31" t="s">
        <v>713</v>
      </c>
      <c r="O21" s="31" t="s">
        <v>715</v>
      </c>
      <c r="P21" s="31" t="s">
        <v>704</v>
      </c>
      <c r="Q21" s="29">
        <v>0</v>
      </c>
      <c r="R21" s="29">
        <f ca="1">ROUND(('TUSD BE'!$AM$33+'TUSD BF'!$AM$33+'TUSD CVA'!$AM$33)*(1-CUSTOS!$M$39),2)</f>
        <v>463.51</v>
      </c>
      <c r="S21" s="29">
        <f>ROUND(('TE BE'!$AB$24+'TE BF'!$AB$24+'TE CVA'!$AB$24)*(1-CUSTOS!$M$39),2)</f>
        <v>273.10000000000002</v>
      </c>
      <c r="T21" s="29">
        <v>0</v>
      </c>
      <c r="U21" s="29">
        <f ca="1">ROUND(('TUSD BE'!$AM$33)*(1-CUSTOS!$M$39),2)</f>
        <v>446.5</v>
      </c>
      <c r="V21" s="29">
        <f>ROUND(('TE BE'!$AB$24)*(1-CUSTOS!$M$39),2)</f>
        <v>268.64</v>
      </c>
    </row>
    <row r="22" spans="12:22" ht="11.25" customHeight="1" x14ac:dyDescent="0.25">
      <c r="L22" s="152"/>
      <c r="M22" s="151" t="s">
        <v>707</v>
      </c>
      <c r="N22" s="151" t="s">
        <v>713</v>
      </c>
      <c r="O22" s="151" t="s">
        <v>716</v>
      </c>
      <c r="P22" s="31" t="s">
        <v>701</v>
      </c>
      <c r="Q22" s="29">
        <v>0</v>
      </c>
      <c r="R22" s="29">
        <f ca="1">ROUND(('TUSD BE'!$AM$38+'TUSD BF'!$AM$38+'TUSD CVA'!$AM$38)*(1-CUSTOS!$M$40),2)</f>
        <v>135.19</v>
      </c>
      <c r="S22" s="29">
        <f>ROUND(('TE BE'!$AB$29+'TE BF'!$AB$29+'TE CVA'!$AB$29)*(1-CUSTOS!$M$40),2)</f>
        <v>432.09</v>
      </c>
      <c r="T22" s="29">
        <v>0</v>
      </c>
      <c r="U22" s="29">
        <f ca="1">ROUND('TUSD BE'!$AM$38*(1-CUSTOS!$M$40),2)</f>
        <v>116.11</v>
      </c>
      <c r="V22" s="29">
        <f>ROUND('TE BE'!$AB$29*(1-CUSTOS!$M$40),2)</f>
        <v>425.01</v>
      </c>
    </row>
    <row r="23" spans="12:22" ht="11.25" customHeight="1" x14ac:dyDescent="0.25">
      <c r="L23" s="152"/>
      <c r="M23" s="152"/>
      <c r="N23" s="152"/>
      <c r="O23" s="152"/>
      <c r="P23" s="31" t="s">
        <v>709</v>
      </c>
      <c r="Q23" s="29">
        <v>0</v>
      </c>
      <c r="R23" s="29">
        <f ca="1">ROUND(('TUSD BE'!$AM$39+'TUSD BF'!$AM$39+'TUSD CVA'!$AM$39)*(1-CUSTOS!$M$40),2)</f>
        <v>135.19</v>
      </c>
      <c r="S23" s="29">
        <f>ROUND(('TE BE'!$AB$30+'TE BF'!$AB$30+'TE CVA'!$AB$30)*(1-CUSTOS!$M$40),2)</f>
        <v>252.31</v>
      </c>
      <c r="T23" s="29">
        <v>0</v>
      </c>
      <c r="U23" s="29">
        <f ca="1">ROUND('TUSD BE'!$AM$39*(1-CUSTOS!$M$40),2)</f>
        <v>116.11</v>
      </c>
      <c r="V23" s="29">
        <f>ROUND('TE BE'!$AB$30*(1-CUSTOS!$M$40),2)</f>
        <v>248.19</v>
      </c>
    </row>
    <row r="24" spans="12:22" ht="11.25" customHeight="1" x14ac:dyDescent="0.25">
      <c r="L24" s="152"/>
      <c r="M24" s="153"/>
      <c r="N24" s="153"/>
      <c r="O24" s="153"/>
      <c r="P24" s="31" t="s">
        <v>702</v>
      </c>
      <c r="Q24" s="29">
        <v>0</v>
      </c>
      <c r="R24" s="29">
        <f ca="1">ROUND(('TUSD BE'!$AM$40+'TUSD BF'!$AM$40+'TUSD CVA'!$AM$40)*(1-CUSTOS!$M$40),2)</f>
        <v>135.19</v>
      </c>
      <c r="S24" s="29">
        <f>ROUND(('TE BE'!$AB$31+'TE BF'!$AB$31+'TE CVA'!$AB$31)*(1-CUSTOS!$M$40),2)</f>
        <v>252.31</v>
      </c>
      <c r="T24" s="29">
        <v>0</v>
      </c>
      <c r="U24" s="29">
        <f ca="1">ROUND('TUSD BE'!$AM$40*(1-CUSTOS!$M$40),2)</f>
        <v>116.11</v>
      </c>
      <c r="V24" s="29">
        <f>ROUND('TE BE'!$AB$31*(1-CUSTOS!$M$40),2)</f>
        <v>248.19</v>
      </c>
    </row>
    <row r="25" spans="12:22" ht="11.25" customHeight="1" x14ac:dyDescent="0.25">
      <c r="L25" s="152"/>
      <c r="M25" s="31" t="s">
        <v>710</v>
      </c>
      <c r="N25" s="31" t="s">
        <v>713</v>
      </c>
      <c r="O25" s="31" t="s">
        <v>716</v>
      </c>
      <c r="P25" s="31" t="s">
        <v>704</v>
      </c>
      <c r="Q25" s="29">
        <v>0</v>
      </c>
      <c r="R25" s="29">
        <f ca="1">ROUND(('TUSD BE'!$AM$42+'TUSD BF'!$AM$42+'TUSD CVA'!$AM$42)*(1-CUSTOS!$M$40),2)</f>
        <v>453.65</v>
      </c>
      <c r="S25" s="29">
        <f>ROUND(('TE BE'!$AB$33+'TE BF'!$AB$33+'TE CVA'!$AB$33)*(1-CUSTOS!$M$40),2)</f>
        <v>267.29000000000002</v>
      </c>
      <c r="T25" s="29">
        <v>0</v>
      </c>
      <c r="U25" s="29">
        <f ca="1">ROUND(('TUSD BE'!$AM$42)*(1-CUSTOS!$M$40),2)</f>
        <v>437</v>
      </c>
      <c r="V25" s="29">
        <f>ROUND(('TE BE'!$AB$33)*(1-CUSTOS!$M$40),2)</f>
        <v>262.92</v>
      </c>
    </row>
    <row r="26" spans="12:22" ht="11.25" customHeight="1" x14ac:dyDescent="0.25">
      <c r="L26" s="153"/>
      <c r="M26" s="31" t="s">
        <v>712</v>
      </c>
      <c r="N26" s="31" t="s">
        <v>713</v>
      </c>
      <c r="O26" s="31" t="s">
        <v>716</v>
      </c>
      <c r="P26" s="31" t="s">
        <v>704</v>
      </c>
      <c r="Q26" s="29">
        <v>0</v>
      </c>
      <c r="R26" s="29">
        <f ca="1">ROUND(('TUSD BE'!$AM$33+'TUSD BF'!$AM$33+'TUSD CVA'!$AM$33)*(1-CUSTOS!$M$40),2)</f>
        <v>453.65</v>
      </c>
      <c r="S26" s="29">
        <f>ROUND(('TE BE'!$AB$24+'TE BF'!$AB$24+'TE CVA'!$AB$24)*(1-CUSTOS!$M$40),2)</f>
        <v>267.29000000000002</v>
      </c>
      <c r="T26" s="29">
        <v>0</v>
      </c>
      <c r="U26" s="29">
        <f ca="1">ROUND(('TUSD BE'!$AM$33)*(1-CUSTOS!$M$40),2)</f>
        <v>437</v>
      </c>
      <c r="V26" s="29">
        <f>ROUND(('TE BE'!$AB$24)*(1-CUSTOS!$M$40),2)</f>
        <v>262.92</v>
      </c>
    </row>
    <row r="27" spans="12:22" ht="11.25" customHeight="1" x14ac:dyDescent="0.25">
      <c r="L27" s="151" t="s">
        <v>32</v>
      </c>
      <c r="M27" s="151" t="s">
        <v>707</v>
      </c>
      <c r="N27" s="151" t="s">
        <v>704</v>
      </c>
      <c r="O27" s="151" t="s">
        <v>704</v>
      </c>
      <c r="P27" s="31" t="s">
        <v>701</v>
      </c>
      <c r="Q27" s="29">
        <v>0</v>
      </c>
      <c r="R27" s="29">
        <f ca="1">ROUND(('TUSD BE'!$AM$45+'TUSD BF'!$AM$45+'TUSD CVA'!$AM$45)*(1-CUSTOS!$M$31),2)</f>
        <v>1427.73</v>
      </c>
      <c r="S27" s="29">
        <f>ROUND(('TE BE'!$AB$36+'TE BF'!$AB$36+'TE CVA'!$AB$36)*(1-CUSTOS!$M$31),2)</f>
        <v>469.67</v>
      </c>
      <c r="T27" s="29">
        <v>0</v>
      </c>
      <c r="U27" s="29">
        <f ca="1">ROUND('TUSD BE'!$AM$45*(1-CUSTOS!$M$31),2)</f>
        <v>1416.75</v>
      </c>
      <c r="V27" s="29">
        <f>ROUND('TE BE'!$AB$36*(1-CUSTOS!$M$31),2)</f>
        <v>461.96</v>
      </c>
    </row>
    <row r="28" spans="12:22" ht="11.25" customHeight="1" x14ac:dyDescent="0.25">
      <c r="L28" s="152"/>
      <c r="M28" s="152"/>
      <c r="N28" s="152"/>
      <c r="O28" s="152"/>
      <c r="P28" s="31" t="s">
        <v>709</v>
      </c>
      <c r="Q28" s="29">
        <v>0</v>
      </c>
      <c r="R28" s="29">
        <f ca="1">ROUND(('TUSD BE'!$AM$46+'TUSD BF'!$AM$46+'TUSD CVA'!$AM$46)*(1-CUSTOS!$M$31),2)</f>
        <v>915.42</v>
      </c>
      <c r="S28" s="29">
        <f>ROUND(('TE BE'!$AB$37+'TE BF'!$AB$37+'TE CVA'!$AB$37)*(1-CUSTOS!$M$31),2)</f>
        <v>274.24</v>
      </c>
      <c r="T28" s="29">
        <v>0</v>
      </c>
      <c r="U28" s="29">
        <f ca="1">ROUND('TUSD BE'!$AM$46*(1-CUSTOS!$M$31),2)</f>
        <v>900.53</v>
      </c>
      <c r="V28" s="29">
        <f>ROUND('TE BE'!$AB$37*(1-CUSTOS!$M$31),2)</f>
        <v>269.77</v>
      </c>
    </row>
    <row r="29" spans="12:22" ht="11.25" customHeight="1" x14ac:dyDescent="0.25">
      <c r="L29" s="152"/>
      <c r="M29" s="153"/>
      <c r="N29" s="153"/>
      <c r="O29" s="153"/>
      <c r="P29" s="31" t="s">
        <v>702</v>
      </c>
      <c r="Q29" s="29">
        <v>0</v>
      </c>
      <c r="R29" s="29">
        <f ca="1">ROUND(('TUSD BE'!$AM$47+'TUSD BF'!$AM$47+'TUSD CVA'!$AM$47)*(1-CUSTOS!$M$31),2)</f>
        <v>403.1</v>
      </c>
      <c r="S29" s="29">
        <f>ROUND(('TE BE'!$AB$38+'TE BF'!$AB$38+'TE CVA'!$AB$38)*(1-CUSTOS!$M$31),2)</f>
        <v>274.24</v>
      </c>
      <c r="T29" s="29">
        <v>0</v>
      </c>
      <c r="U29" s="29">
        <f ca="1">ROUND('TUSD BE'!$AM$47*(1-CUSTOS!$M$31),2)</f>
        <v>384.32</v>
      </c>
      <c r="V29" s="29">
        <f>ROUND('TE BE'!$AB$38*(1-CUSTOS!$M$31),2)</f>
        <v>269.77</v>
      </c>
    </row>
    <row r="30" spans="12:22" ht="11.25" customHeight="1" x14ac:dyDescent="0.25">
      <c r="L30" s="152"/>
      <c r="M30" s="31" t="s">
        <v>710</v>
      </c>
      <c r="N30" s="31" t="s">
        <v>704</v>
      </c>
      <c r="O30" s="31" t="s">
        <v>704</v>
      </c>
      <c r="P30" s="31" t="s">
        <v>704</v>
      </c>
      <c r="Q30" s="29">
        <v>0</v>
      </c>
      <c r="R30" s="29">
        <f ca="1">ROUND(('TUSD BE'!$AM$49+'TUSD BF'!$AM$49+'TUSD CVA'!$AM$49)*(1-CUSTOS!$M$31),2)</f>
        <v>493.1</v>
      </c>
      <c r="S30" s="29">
        <f>ROUND(('TE BE'!$AB$40+'TE BF'!$AB$40+'TE CVA'!$AB$40)*(1-CUSTOS!$M$31),2)</f>
        <v>290.52999999999997</v>
      </c>
      <c r="T30" s="29">
        <v>0</v>
      </c>
      <c r="U30" s="29">
        <f ca="1">ROUND(('TUSD BE'!$AM$49)*(1-CUSTOS!$M$31),2)</f>
        <v>475</v>
      </c>
      <c r="V30" s="29">
        <f>ROUND(('TE BE'!$AB$40)*(1-CUSTOS!$M$31),2)</f>
        <v>285.79000000000002</v>
      </c>
    </row>
    <row r="31" spans="12:22" ht="11.25" customHeight="1" x14ac:dyDescent="0.25">
      <c r="L31" s="153"/>
      <c r="M31" s="31" t="s">
        <v>712</v>
      </c>
      <c r="N31" s="31" t="s">
        <v>704</v>
      </c>
      <c r="O31" s="31" t="s">
        <v>704</v>
      </c>
      <c r="P31" s="31" t="s">
        <v>704</v>
      </c>
      <c r="Q31" s="29">
        <v>0</v>
      </c>
      <c r="R31" s="29">
        <f ca="1">ROUND(('TUSD BE'!$AM$48+'TUSD BF'!$AM$48+'TUSD CVA'!$AM$48)*(1-CUSTOS!$M$31),2)</f>
        <v>493.1</v>
      </c>
      <c r="S31" s="29">
        <f>ROUND(('TE BE'!$AB$39+'TE BF'!$AB$39+'TE CVA'!$AB$39)*(1-CUSTOS!$M$31),2)</f>
        <v>290.52999999999997</v>
      </c>
      <c r="T31" s="29">
        <v>0</v>
      </c>
      <c r="U31" s="29">
        <f ca="1">ROUND(('TUSD BE'!$AM$48)*(1-CUSTOS!$M$31),2)</f>
        <v>475</v>
      </c>
      <c r="V31" s="29">
        <f>ROUND(('TE BE'!$AB$39)*(1-CUSTOS!$M$31),2)</f>
        <v>285.79000000000002</v>
      </c>
    </row>
    <row r="32" spans="12:22" ht="11.25" customHeight="1" x14ac:dyDescent="0.25">
      <c r="L32" s="151" t="s">
        <v>44</v>
      </c>
      <c r="M32" s="151" t="s">
        <v>712</v>
      </c>
      <c r="N32" s="151" t="s">
        <v>717</v>
      </c>
      <c r="O32" s="31" t="s">
        <v>718</v>
      </c>
      <c r="P32" s="31" t="s">
        <v>704</v>
      </c>
      <c r="Q32" s="29">
        <v>0</v>
      </c>
      <c r="R32" s="29">
        <f ca="1">ROUND(('TUSD BE'!$AM$50+'TUSD BF'!$AM$50+'TUSD CVA'!$AM$50),2)</f>
        <v>271.20999999999998</v>
      </c>
      <c r="S32" s="29">
        <f>ROUND(('TE BE'!$AB$41+'TE BF'!$AB$41+'TE CVA'!$AB$41),2)</f>
        <v>159.79</v>
      </c>
      <c r="T32" s="29">
        <v>0</v>
      </c>
      <c r="U32" s="29">
        <f ca="1">ROUND(('TUSD BE'!$AM$50),2)</f>
        <v>261.25</v>
      </c>
      <c r="V32" s="29">
        <f>ROUND(('TE BE'!$AB$41),2)</f>
        <v>157.18</v>
      </c>
    </row>
    <row r="33" spans="12:22" ht="11.25" customHeight="1" x14ac:dyDescent="0.25">
      <c r="L33" s="153"/>
      <c r="M33" s="153"/>
      <c r="N33" s="153"/>
      <c r="O33" s="31" t="s">
        <v>719</v>
      </c>
      <c r="P33" s="31" t="s">
        <v>704</v>
      </c>
      <c r="Q33" s="29">
        <v>0</v>
      </c>
      <c r="R33" s="29">
        <f ca="1">ROUND(('TUSD BE'!$AM$51+'TUSD BF'!$AM$51+'TUSD CVA'!$AM$51),2)</f>
        <v>295.86</v>
      </c>
      <c r="S33" s="29">
        <f>ROUND(('TE BE'!$AB$42+'TE BF'!$AB$42+'TE CVA'!$AB$42),2)</f>
        <v>174.32</v>
      </c>
      <c r="T33" s="29">
        <v>0</v>
      </c>
      <c r="U33" s="29">
        <f ca="1">ROUND(('TUSD BE'!$AM$51),2)</f>
        <v>285</v>
      </c>
      <c r="V33" s="29">
        <f>ROUND(('TE BE'!$AB$42),2)</f>
        <v>171.47</v>
      </c>
    </row>
    <row r="34" spans="12:22" ht="11.25" customHeight="1" x14ac:dyDescent="0.25">
      <c r="L34" s="151" t="s">
        <v>79</v>
      </c>
      <c r="M34" s="151" t="s">
        <v>720</v>
      </c>
      <c r="N34" s="31" t="s">
        <v>80</v>
      </c>
      <c r="O34" s="31" t="s">
        <v>704</v>
      </c>
      <c r="P34" s="31" t="s">
        <v>704</v>
      </c>
      <c r="Q34" s="29">
        <f ca="1">ROUND(('TUSD BE'!$AM$15+'TUSD BF'!$AM$15+'TUSD CVA'!$AM$15),2)</f>
        <v>14.79</v>
      </c>
      <c r="R34" s="29">
        <v>0</v>
      </c>
      <c r="S34" s="29">
        <v>0</v>
      </c>
      <c r="T34" s="29">
        <f ca="1">ROUND(('TUSD BE'!$AM$15),2)</f>
        <v>14.79</v>
      </c>
      <c r="U34" s="29">
        <v>0</v>
      </c>
      <c r="V34" s="29">
        <v>0</v>
      </c>
    </row>
    <row r="35" spans="12:22" ht="11.25" customHeight="1" x14ac:dyDescent="0.25">
      <c r="L35" s="153"/>
      <c r="M35" s="153"/>
      <c r="N35" s="31" t="s">
        <v>81</v>
      </c>
      <c r="O35" s="31" t="s">
        <v>704</v>
      </c>
      <c r="P35" s="31" t="s">
        <v>704</v>
      </c>
      <c r="Q35" s="29">
        <f ca="1">ROUND(('TUSD BE'!$AM$16+'TUSD BF'!$AM$16+'TUSD CVA'!$AM$16),2)</f>
        <v>22.58</v>
      </c>
      <c r="R35" s="29">
        <v>0</v>
      </c>
      <c r="S35" s="29">
        <v>0</v>
      </c>
      <c r="T35" s="29">
        <f ca="1">ROUND(('TUSD BE'!$AM$16),2)</f>
        <v>22.58</v>
      </c>
      <c r="U35" s="29">
        <v>0</v>
      </c>
      <c r="V35" s="29">
        <v>0</v>
      </c>
    </row>
  </sheetData>
  <mergeCells count="51">
    <mergeCell ref="L34:L35"/>
    <mergeCell ref="M34:M35"/>
    <mergeCell ref="L27:L31"/>
    <mergeCell ref="M27:M29"/>
    <mergeCell ref="N27:N29"/>
    <mergeCell ref="B9:B11"/>
    <mergeCell ref="C9:C11"/>
    <mergeCell ref="N5:N7"/>
    <mergeCell ref="O27:O29"/>
    <mergeCell ref="L32:L33"/>
    <mergeCell ref="M32:M33"/>
    <mergeCell ref="N32:N33"/>
    <mergeCell ref="O12:O14"/>
    <mergeCell ref="M17:M19"/>
    <mergeCell ref="N17:N19"/>
    <mergeCell ref="O17:O19"/>
    <mergeCell ref="M22:M24"/>
    <mergeCell ref="N22:N24"/>
    <mergeCell ref="O22:O24"/>
    <mergeCell ref="P2:P4"/>
    <mergeCell ref="Q2:S2"/>
    <mergeCell ref="T2:V2"/>
    <mergeCell ref="A5:A15"/>
    <mergeCell ref="B5:B6"/>
    <mergeCell ref="C5:C6"/>
    <mergeCell ref="L5:L11"/>
    <mergeCell ref="M5:M7"/>
    <mergeCell ref="B12:B14"/>
    <mergeCell ref="C12:C14"/>
    <mergeCell ref="L12:L26"/>
    <mergeCell ref="M12:M14"/>
    <mergeCell ref="N12:N14"/>
    <mergeCell ref="O5:O7"/>
    <mergeCell ref="B7:B8"/>
    <mergeCell ref="C7:C8"/>
    <mergeCell ref="E3:F3"/>
    <mergeCell ref="H3:I3"/>
    <mergeCell ref="Q3:R3"/>
    <mergeCell ref="T3:U3"/>
    <mergeCell ref="A1:J1"/>
    <mergeCell ref="L1:V1"/>
    <mergeCell ref="A2:A4"/>
    <mergeCell ref="B2:B4"/>
    <mergeCell ref="C2:C4"/>
    <mergeCell ref="D2:D4"/>
    <mergeCell ref="E2:G2"/>
    <mergeCell ref="H2:J2"/>
    <mergeCell ref="L2:L4"/>
    <mergeCell ref="M2:M4"/>
    <mergeCell ref="N2:N4"/>
    <mergeCell ref="O2:O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29A8-B726-4D87-94D1-377DCB7AEA93}">
  <sheetPr codeName="Planilha22"/>
  <dimension ref="A1:AN379"/>
  <sheetViews>
    <sheetView showGridLines="0" topLeftCell="W1" workbookViewId="0">
      <selection activeCell="R19" sqref="R19"/>
    </sheetView>
  </sheetViews>
  <sheetFormatPr defaultColWidth="9.140625"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3" t="s">
        <v>8</v>
      </c>
      <c r="J1" s="30" t="s">
        <v>667</v>
      </c>
      <c r="K1" s="30" t="s">
        <v>668</v>
      </c>
      <c r="L1" s="30" t="s">
        <v>669</v>
      </c>
      <c r="M1" s="30" t="s">
        <v>670</v>
      </c>
      <c r="N1" s="30" t="s">
        <v>671</v>
      </c>
      <c r="O1" s="30" t="s">
        <v>672</v>
      </c>
      <c r="P1" s="7"/>
      <c r="Q1" s="149" t="s">
        <v>673</v>
      </c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L1" s="34" t="s">
        <v>694</v>
      </c>
      <c r="AM1" s="34" t="s">
        <v>55</v>
      </c>
      <c r="AN1" s="34" t="s">
        <v>695</v>
      </c>
    </row>
    <row r="2" spans="1:40" ht="11.25" customHeight="1" x14ac:dyDescent="0.2">
      <c r="A2" s="35" t="s">
        <v>21</v>
      </c>
      <c r="B2" s="35" t="s">
        <v>34</v>
      </c>
      <c r="C2" s="35" t="s">
        <v>35</v>
      </c>
      <c r="D2" s="35" t="s">
        <v>40</v>
      </c>
      <c r="E2" s="35" t="s">
        <v>25</v>
      </c>
      <c r="F2" s="35" t="s">
        <v>25</v>
      </c>
      <c r="G2" s="35" t="s">
        <v>25</v>
      </c>
      <c r="H2" s="35" t="s">
        <v>37</v>
      </c>
      <c r="I2" s="54">
        <v>44409</v>
      </c>
      <c r="J2" s="55">
        <f>EFEITO!$J$2*EFEITO!$Y$2</f>
        <v>0</v>
      </c>
      <c r="K2" s="55">
        <f ca="1">EFEITO!$L$2*EFEITO!$Z$2</f>
        <v>4637.2545286591758</v>
      </c>
      <c r="L2" s="55">
        <f>EFEITO!$N$2*EFEITO!$AA$2</f>
        <v>11561.065516874274</v>
      </c>
      <c r="M2" s="55">
        <f>$J$2-EFEITO!$K$2*EFEITO!$Y$2</f>
        <v>0</v>
      </c>
      <c r="N2" s="55">
        <f ca="1">$K$2-EFEITO!$M$2*EFEITO!$Z$2</f>
        <v>0</v>
      </c>
      <c r="O2" s="55">
        <f>$L$2-EFEITO!$O$2*EFEITO!$AA$2</f>
        <v>0</v>
      </c>
      <c r="P2" s="39"/>
      <c r="Q2" s="28" t="s">
        <v>58</v>
      </c>
      <c r="R2" s="28" t="s">
        <v>675</v>
      </c>
      <c r="S2" s="28" t="s">
        <v>676</v>
      </c>
      <c r="T2" s="28" t="s">
        <v>677</v>
      </c>
      <c r="U2" s="28" t="s">
        <v>678</v>
      </c>
      <c r="V2" s="28" t="s">
        <v>679</v>
      </c>
      <c r="W2" s="28" t="s">
        <v>680</v>
      </c>
      <c r="X2" s="56" t="s">
        <v>681</v>
      </c>
      <c r="Y2" s="56" t="s">
        <v>682</v>
      </c>
      <c r="Z2" s="56" t="s">
        <v>683</v>
      </c>
      <c r="AA2" s="56" t="s">
        <v>684</v>
      </c>
      <c r="AB2" s="56" t="s">
        <v>685</v>
      </c>
      <c r="AC2" s="56" t="s">
        <v>686</v>
      </c>
      <c r="AD2" s="56" t="s">
        <v>687</v>
      </c>
      <c r="AE2" s="56" t="s">
        <v>688</v>
      </c>
      <c r="AF2" s="56" t="s">
        <v>689</v>
      </c>
      <c r="AG2" s="56" t="s">
        <v>690</v>
      </c>
      <c r="AH2" s="56" t="s">
        <v>691</v>
      </c>
      <c r="AI2" s="56" t="s">
        <v>692</v>
      </c>
      <c r="AJ2" s="56" t="s">
        <v>693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34</v>
      </c>
      <c r="C3" s="35" t="s">
        <v>35</v>
      </c>
      <c r="D3" s="35" t="s">
        <v>40</v>
      </c>
      <c r="E3" s="35" t="s">
        <v>25</v>
      </c>
      <c r="F3" s="35" t="s">
        <v>25</v>
      </c>
      <c r="G3" s="35" t="s">
        <v>25</v>
      </c>
      <c r="H3" s="35" t="s">
        <v>37</v>
      </c>
      <c r="I3" s="54">
        <v>44440</v>
      </c>
      <c r="J3" s="55">
        <f>EFEITO!$J$3*EFEITO!$Y$3</f>
        <v>0</v>
      </c>
      <c r="K3" s="55">
        <f ca="1">EFEITO!$L$3*EFEITO!$Z$3</f>
        <v>4628.1243425438252</v>
      </c>
      <c r="L3" s="55">
        <f>EFEITO!$N$3*EFEITO!$AA$3</f>
        <v>11538.303195071909</v>
      </c>
      <c r="M3" s="55">
        <f>$J$3-EFEITO!$K$3*EFEITO!$Y$3</f>
        <v>0</v>
      </c>
      <c r="N3" s="55">
        <f ca="1">$K$3-EFEITO!$M$3*EFEITO!$Z$3</f>
        <v>0</v>
      </c>
      <c r="O3" s="55">
        <f>$L$3-EFEITO!$O$3*EFEITO!$AA$3</f>
        <v>0</v>
      </c>
      <c r="P3" s="39"/>
      <c r="Q3" s="55" t="s">
        <v>674</v>
      </c>
      <c r="R3" s="55">
        <f>SUMIF($B$2:$B$379,$Q$3,$J$2:$J$379)</f>
        <v>0</v>
      </c>
      <c r="S3" s="55">
        <f>SUMIF($B$2:$B$379,$Q$3,$K$2:$K$379)</f>
        <v>0</v>
      </c>
      <c r="T3" s="55">
        <f>SUMIF($B$2:$B$379,$Q$3,$L$2:$L$379)</f>
        <v>0</v>
      </c>
      <c r="U3" s="55">
        <f>SUMIF($B$2:$B$379,$Q$3,$M$2:$M$379)</f>
        <v>0</v>
      </c>
      <c r="V3" s="55">
        <f>SUMIF($B$2:$B$379,$Q$3,$N$2:$N$379)</f>
        <v>0</v>
      </c>
      <c r="W3" s="55">
        <f>SUMIF($B$2:$B$379,$Q$3,$O$2:$O$379)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SUMIF(EFEITO!$B$2:$B$379,$Q$3,EFEITO!$AE$2:$AE$379)</f>
        <v>0</v>
      </c>
      <c r="AB3" s="36">
        <f>SUMIF(EFEITO!$B$2:$B$379,$Q$3,EFEITO!$AF$2:$AF$379)</f>
        <v>0</v>
      </c>
      <c r="AC3" s="36">
        <f>SUMIF(EFEITO!$B$2:$B$379,$Q$3,EFEITO!$AG$2:$AH$379)</f>
        <v>0</v>
      </c>
      <c r="AD3" s="36">
        <f>SUMIF(SUBSIDIO!$B$2:$B$379,$Q$3,SUBSIDIO!$AD$2:$AD$379)</f>
        <v>0</v>
      </c>
      <c r="AE3" s="36">
        <f>SUMIF(SUBSIDIO!$B$2:$B$379,$Q$3,SUBSIDIO!$AE$2:$AE$379)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34</v>
      </c>
      <c r="C4" s="35" t="s">
        <v>35</v>
      </c>
      <c r="D4" s="35" t="s">
        <v>40</v>
      </c>
      <c r="E4" s="35" t="s">
        <v>25</v>
      </c>
      <c r="F4" s="35" t="s">
        <v>25</v>
      </c>
      <c r="G4" s="35" t="s">
        <v>25</v>
      </c>
      <c r="H4" s="35" t="s">
        <v>37</v>
      </c>
      <c r="I4" s="54">
        <v>44470</v>
      </c>
      <c r="J4" s="55">
        <f>EFEITO!$J$4*EFEITO!$Y$4</f>
        <v>0</v>
      </c>
      <c r="K4" s="55">
        <f ca="1">EFEITO!$L$4*EFEITO!$Z$4</f>
        <v>4626.0342999391069</v>
      </c>
      <c r="L4" s="55">
        <f>EFEITO!$N$4*EFEITO!$AA$4</f>
        <v>11533.092543093053</v>
      </c>
      <c r="M4" s="55">
        <f>$J$4-EFEITO!$K$4*EFEITO!$Y$4</f>
        <v>0</v>
      </c>
      <c r="N4" s="55">
        <f ca="1">$K$4-EFEITO!$M$4*EFEITO!$Z$4</f>
        <v>0</v>
      </c>
      <c r="O4" s="55">
        <f>$L$4-EFEITO!$O$4*EFEITO!$AA$4</f>
        <v>0</v>
      </c>
      <c r="P4" s="39"/>
      <c r="Q4" s="55" t="s">
        <v>552</v>
      </c>
      <c r="R4" s="55">
        <f>SUMIF($B$2:$B$379,$Q$4,$J$2:$J$379)</f>
        <v>0</v>
      </c>
      <c r="S4" s="55">
        <f>SUMIF($B$2:$B$379,$Q$4,$K$2:$K$379)</f>
        <v>0</v>
      </c>
      <c r="T4" s="55">
        <f>SUMIF($B$2:$B$379,$Q$4,$L$2:$L$379)</f>
        <v>0</v>
      </c>
      <c r="U4" s="55">
        <f>SUMIF($B$2:$B$379,$Q$4,$M$2:$M$379)</f>
        <v>0</v>
      </c>
      <c r="V4" s="55">
        <f>SUMIF($B$2:$B$379,$Q$4,$N$2:$N$379)</f>
        <v>0</v>
      </c>
      <c r="W4" s="55">
        <f>SUMIF($B$2:$B$379,$Q$4,$O$2:$O$379)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SUMIF(EFEITO!$B$2:$B$379,$Q$4,EFEITO!$AE$2:$AE$379)</f>
        <v>0</v>
      </c>
      <c r="AB4" s="36">
        <f>SUMIF(EFEITO!$B$2:$B$379,$Q$4,EFEITO!$AF$2:$AF$379)</f>
        <v>0</v>
      </c>
      <c r="AC4" s="36">
        <f>SUMIF(EFEITO!$B$2:$B$379,$Q$4,EFEITO!$AG$2:$AH$379)</f>
        <v>0</v>
      </c>
      <c r="AD4" s="36">
        <f>SUMIF(SUBSIDIO!$B$2:$B$379,$Q$4,SUBSIDIO!$AD$2:$AD$379)</f>
        <v>0</v>
      </c>
      <c r="AE4" s="36">
        <f>SUMIF(SUBSIDIO!$B$2:$B$379,$Q$4,SUBSIDIO!$AE$2:$AE$379)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34</v>
      </c>
      <c r="C5" s="35" t="s">
        <v>35</v>
      </c>
      <c r="D5" s="35" t="s">
        <v>40</v>
      </c>
      <c r="E5" s="35" t="s">
        <v>25</v>
      </c>
      <c r="F5" s="35" t="s">
        <v>25</v>
      </c>
      <c r="G5" s="35" t="s">
        <v>25</v>
      </c>
      <c r="H5" s="35" t="s">
        <v>37</v>
      </c>
      <c r="I5" s="54">
        <v>44501</v>
      </c>
      <c r="J5" s="55">
        <f>EFEITO!$J$5*EFEITO!$Y$5</f>
        <v>0</v>
      </c>
      <c r="K5" s="55">
        <f ca="1">EFEITO!$L$5*EFEITO!$Z$5</f>
        <v>4760.3470378528755</v>
      </c>
      <c r="L5" s="55">
        <f>EFEITO!$N$5*EFEITO!$AA$5</f>
        <v>11867.945493944733</v>
      </c>
      <c r="M5" s="55">
        <f>$J$5-EFEITO!$K$5*EFEITO!$Y$5</f>
        <v>0</v>
      </c>
      <c r="N5" s="55">
        <f ca="1">$K$5-EFEITO!$M$5*EFEITO!$Z$5</f>
        <v>0</v>
      </c>
      <c r="O5" s="55">
        <f>$L$5-EFEITO!$O$5*EFEITO!$AA$5</f>
        <v>0</v>
      </c>
      <c r="P5" s="39"/>
      <c r="Q5" s="55" t="s">
        <v>553</v>
      </c>
      <c r="R5" s="55">
        <f>SUMIF($B$2:$B$379,$Q$5,$J$2:$J$379)</f>
        <v>0</v>
      </c>
      <c r="S5" s="55">
        <f>SUMIF($B$2:$B$379,$Q$5,$K$2:$K$379)</f>
        <v>0</v>
      </c>
      <c r="T5" s="55">
        <f>SUMIF($B$2:$B$379,$Q$5,$L$2:$L$379)</f>
        <v>0</v>
      </c>
      <c r="U5" s="55">
        <f>SUMIF($B$2:$B$379,$Q$5,$M$2:$M$379)</f>
        <v>0</v>
      </c>
      <c r="V5" s="55">
        <f>SUMIF($B$2:$B$379,$Q$5,$N$2:$N$379)</f>
        <v>0</v>
      </c>
      <c r="W5" s="55">
        <f>SUMIF($B$2:$B$379,$Q$5,$O$2:$O$379)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SUMIF(EFEITO!$B$2:$B$379,$Q$5,EFEITO!$AE$2:$AE$379)</f>
        <v>0</v>
      </c>
      <c r="AB5" s="36">
        <f>SUMIF(EFEITO!$B$2:$B$379,$Q$5,EFEITO!$AF$2:$AF$379)</f>
        <v>0</v>
      </c>
      <c r="AC5" s="36">
        <f>SUMIF(EFEITO!$B$2:$B$379,$Q$5,EFEITO!$AG$2:$AH$379)</f>
        <v>0</v>
      </c>
      <c r="AD5" s="36">
        <f>SUMIF(SUBSIDIO!$B$2:$B$379,$Q$5,SUBSIDIO!$AD$2:$AD$379)</f>
        <v>0</v>
      </c>
      <c r="AE5" s="36">
        <f>SUMIF(SUBSIDIO!$B$2:$B$379,$Q$5,SUBSIDIO!$AE$2:$AE$379)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34</v>
      </c>
      <c r="C6" s="35" t="s">
        <v>35</v>
      </c>
      <c r="D6" s="35" t="s">
        <v>40</v>
      </c>
      <c r="E6" s="35" t="s">
        <v>25</v>
      </c>
      <c r="F6" s="35" t="s">
        <v>25</v>
      </c>
      <c r="G6" s="35" t="s">
        <v>25</v>
      </c>
      <c r="H6" s="35" t="s">
        <v>37</v>
      </c>
      <c r="I6" s="54">
        <v>44531</v>
      </c>
      <c r="J6" s="55">
        <f>EFEITO!$J$6*EFEITO!$Y$6</f>
        <v>0</v>
      </c>
      <c r="K6" s="55">
        <f ca="1">EFEITO!$L$6*EFEITO!$Z$6</f>
        <v>2000.8307861699816</v>
      </c>
      <c r="L6" s="55">
        <f>EFEITO!$N$6*EFEITO!$AA$6</f>
        <v>4988.2394128101851</v>
      </c>
      <c r="M6" s="55">
        <f>$J$6-EFEITO!$K$6*EFEITO!$Y$6</f>
        <v>0</v>
      </c>
      <c r="N6" s="55">
        <f ca="1">$K$6-EFEITO!$M$6*EFEITO!$Z$6</f>
        <v>0</v>
      </c>
      <c r="O6" s="55">
        <f>$L$6-EFEITO!$O$6*EFEITO!$AA$6</f>
        <v>0</v>
      </c>
      <c r="P6" s="39"/>
      <c r="Q6" s="55" t="s">
        <v>554</v>
      </c>
      <c r="R6" s="55">
        <f>SUMIF($B$2:$B$379,$Q$6,$J$2:$J$379)</f>
        <v>0</v>
      </c>
      <c r="S6" s="55">
        <f>SUMIF($B$2:$B$379,$Q$6,$K$2:$K$379)</f>
        <v>0</v>
      </c>
      <c r="T6" s="55">
        <f>SUMIF($B$2:$B$379,$Q$6,$L$2:$L$379)</f>
        <v>0</v>
      </c>
      <c r="U6" s="55">
        <f>SUMIF($B$2:$B$379,$Q$6,$M$2:$M$379)</f>
        <v>0</v>
      </c>
      <c r="V6" s="55">
        <f>SUMIF($B$2:$B$379,$Q$6,$N$2:$N$379)</f>
        <v>0</v>
      </c>
      <c r="W6" s="55">
        <f>SUMIF($B$2:$B$379,$Q$6,$O$2:$O$379)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SUMIF(EFEITO!$B$2:$B$379,$Q$6,EFEITO!$AE$2:$AE$379)</f>
        <v>0</v>
      </c>
      <c r="AB6" s="36">
        <f>SUMIF(EFEITO!$B$2:$B$379,$Q$6,EFEITO!$AF$2:$AF$379)</f>
        <v>0</v>
      </c>
      <c r="AC6" s="36">
        <f>SUMIF(EFEITO!$B$2:$B$379,$Q$6,EFEITO!$AG$2:$AH$379)</f>
        <v>0</v>
      </c>
      <c r="AD6" s="36">
        <f>SUMIF(SUBSIDIO!$B$2:$B$379,$Q$6,SUBSIDIO!$AD$2:$AD$379)</f>
        <v>0</v>
      </c>
      <c r="AE6" s="36">
        <f>SUMIF(SUBSIDIO!$B$2:$B$379,$Q$6,SUBSIDIO!$AE$2:$AE$379)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34</v>
      </c>
      <c r="C7" s="35" t="s">
        <v>35</v>
      </c>
      <c r="D7" s="35" t="s">
        <v>40</v>
      </c>
      <c r="E7" s="35" t="s">
        <v>25</v>
      </c>
      <c r="F7" s="35" t="s">
        <v>25</v>
      </c>
      <c r="G7" s="35" t="s">
        <v>25</v>
      </c>
      <c r="H7" s="35" t="s">
        <v>37</v>
      </c>
      <c r="I7" s="54">
        <v>44562</v>
      </c>
      <c r="J7" s="55">
        <f>EFEITO!$J$7*EFEITO!$Y$7</f>
        <v>0</v>
      </c>
      <c r="K7" s="55">
        <f ca="1">EFEITO!$L$7*EFEITO!$Z$7</f>
        <v>1993.7906426593499</v>
      </c>
      <c r="L7" s="55">
        <f>EFEITO!$N$7*EFEITO!$AA$7</f>
        <v>4970.6877429866736</v>
      </c>
      <c r="M7" s="55">
        <f>$J$7-EFEITO!$K$7*EFEITO!$Y$7</f>
        <v>0</v>
      </c>
      <c r="N7" s="55">
        <f ca="1">$K$7-EFEITO!$M$7*EFEITO!$Z$7</f>
        <v>0</v>
      </c>
      <c r="O7" s="55">
        <f>$L$7-EFEITO!$O$7*EFEITO!$AA$7</f>
        <v>0</v>
      </c>
      <c r="P7" s="39"/>
      <c r="Q7" s="55" t="s">
        <v>34</v>
      </c>
      <c r="R7" s="55">
        <f ca="1">SUMIF($B$2:$B$379,$Q$7,$J$2:$J$379)</f>
        <v>557923.78945539996</v>
      </c>
      <c r="S7" s="55">
        <f ca="1">SUMIF($B$2:$B$379,$Q$7,$K$2:$K$379)</f>
        <v>1712052.9811803626</v>
      </c>
      <c r="T7" s="55">
        <f>SUMIF($B$2:$B$379,$Q$7,$L$2:$L$379)</f>
        <v>648950.32783715788</v>
      </c>
      <c r="U7" s="55">
        <f ca="1">SUMIF($B$2:$B$379,$Q$7,$M$2:$M$379)</f>
        <v>151384.14220985438</v>
      </c>
      <c r="V7" s="55">
        <f ca="1">SUMIF($B$2:$B$379,$Q$7,$N$2:$N$379)</f>
        <v>327750.40122956538</v>
      </c>
      <c r="W7" s="55">
        <f>SUMIF($B$2:$B$379,$Q$7,$O$2:$O$379)</f>
        <v>0</v>
      </c>
      <c r="X7" s="36">
        <f ca="1">$R$7-$U$7</f>
        <v>406539.64724554558</v>
      </c>
      <c r="Y7" s="36">
        <f ca="1">$S$7-$V$7</f>
        <v>1384302.5799507974</v>
      </c>
      <c r="Z7" s="36">
        <f>$T$7-$W$7</f>
        <v>648950.32783715788</v>
      </c>
      <c r="AA7" s="36">
        <f ca="1">SUMIF(EFEITO!$B$2:$B$379,$Q$7,EFEITO!$AE$2:$AE$379)</f>
        <v>406539.64724554564</v>
      </c>
      <c r="AB7" s="36">
        <f ca="1">SUMIF(EFEITO!$B$2:$B$379,$Q$7,EFEITO!$AF$2:$AF$379)</f>
        <v>1384302.5799507969</v>
      </c>
      <c r="AC7" s="36">
        <f>SUMIF(EFEITO!$B$2:$B$379,$Q$7,EFEITO!$AG$2:$AH$379)</f>
        <v>648950.32783715788</v>
      </c>
      <c r="AD7" s="36">
        <f ca="1">SUMIF(SUBSIDIO!$B$2:$B$379,$Q$7,SUBSIDIO!$AD$2:$AD$379)</f>
        <v>151384.14220985438</v>
      </c>
      <c r="AE7" s="36">
        <f ca="1">SUMIF(SUBSIDIO!$B$2:$B$379,$Q$7,SUBSIDIO!$AE$2:$AE$379)</f>
        <v>327750.40122956538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34</v>
      </c>
      <c r="C8" s="35" t="s">
        <v>35</v>
      </c>
      <c r="D8" s="35" t="s">
        <v>40</v>
      </c>
      <c r="E8" s="35" t="s">
        <v>25</v>
      </c>
      <c r="F8" s="35" t="s">
        <v>25</v>
      </c>
      <c r="G8" s="35" t="s">
        <v>25</v>
      </c>
      <c r="H8" s="35" t="s">
        <v>37</v>
      </c>
      <c r="I8" s="54">
        <v>44593</v>
      </c>
      <c r="J8" s="55">
        <f>EFEITO!$J$8*EFEITO!$Y$8</f>
        <v>0</v>
      </c>
      <c r="K8" s="55">
        <f ca="1">EFEITO!$L$8*EFEITO!$Z$8</f>
        <v>2127.0033581495827</v>
      </c>
      <c r="L8" s="55">
        <f>EFEITO!$N$8*EFEITO!$AA$8</f>
        <v>5302.7982454284311</v>
      </c>
      <c r="M8" s="55">
        <f>$J$8-EFEITO!$K$8*EFEITO!$Y$8</f>
        <v>0</v>
      </c>
      <c r="N8" s="55">
        <f ca="1">$K$8-EFEITO!$M$8*EFEITO!$Z$8</f>
        <v>0</v>
      </c>
      <c r="O8" s="55">
        <f>$L$8-EFEITO!$O$8*EFEITO!$AA$8</f>
        <v>0</v>
      </c>
      <c r="P8" s="39"/>
      <c r="Q8" s="55" t="s">
        <v>555</v>
      </c>
      <c r="R8" s="55">
        <f>SUMIF($B$2:$B$379,$Q$8,$J$2:$J$379)</f>
        <v>0</v>
      </c>
      <c r="S8" s="55">
        <f>SUMIF($B$2:$B$379,$Q$8,$K$2:$K$379)</f>
        <v>0</v>
      </c>
      <c r="T8" s="55">
        <f>SUMIF($B$2:$B$379,$Q$8,$L$2:$L$379)</f>
        <v>0</v>
      </c>
      <c r="U8" s="55">
        <f>SUMIF($B$2:$B$379,$Q$8,$M$2:$M$379)</f>
        <v>0</v>
      </c>
      <c r="V8" s="55">
        <f>SUMIF($B$2:$B$379,$Q$8,$N$2:$N$379)</f>
        <v>0</v>
      </c>
      <c r="W8" s="55">
        <f>SUMIF($B$2:$B$379,$Q$8,$O$2:$O$379)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SUMIF(EFEITO!$B$2:$B$379,$Q$8,EFEITO!$AE$2:$AE$379)</f>
        <v>0</v>
      </c>
      <c r="AB8" s="36">
        <f>SUMIF(EFEITO!$B$2:$B$379,$Q$8,EFEITO!$AF$2:$AF$379)</f>
        <v>0</v>
      </c>
      <c r="AC8" s="36">
        <f>SUMIF(EFEITO!$B$2:$B$379,$Q$8,EFEITO!$AG$2:$AH$379)</f>
        <v>0</v>
      </c>
      <c r="AD8" s="36">
        <f>SUMIF(SUBSIDIO!$B$2:$B$379,$Q$8,SUBSIDIO!$AD$2:$AD$379)</f>
        <v>0</v>
      </c>
      <c r="AE8" s="36">
        <f>SUMIF(SUBSIDIO!$B$2:$B$379,$Q$8,SUBSIDIO!$AE$2:$AE$379)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34</v>
      </c>
      <c r="C9" s="35" t="s">
        <v>35</v>
      </c>
      <c r="D9" s="35" t="s">
        <v>40</v>
      </c>
      <c r="E9" s="35" t="s">
        <v>25</v>
      </c>
      <c r="F9" s="35" t="s">
        <v>25</v>
      </c>
      <c r="G9" s="35" t="s">
        <v>25</v>
      </c>
      <c r="H9" s="35" t="s">
        <v>37</v>
      </c>
      <c r="I9" s="54">
        <v>44621</v>
      </c>
      <c r="J9" s="55">
        <f>EFEITO!$J$9*EFEITO!$Y$9</f>
        <v>0</v>
      </c>
      <c r="K9" s="55">
        <f ca="1">EFEITO!$L$9*EFEITO!$Z$9</f>
        <v>2499.5809530012916</v>
      </c>
      <c r="L9" s="55">
        <f>EFEITO!$N$9*EFEITO!$AA$9</f>
        <v>6231.6655218695823</v>
      </c>
      <c r="M9" s="55">
        <f>$J$9-EFEITO!$K$9*EFEITO!$Y$9</f>
        <v>0</v>
      </c>
      <c r="N9" s="55">
        <f ca="1">$K$9-EFEITO!$M$9*EFEITO!$Z$9</f>
        <v>0</v>
      </c>
      <c r="O9" s="55">
        <f>$L$9-EFEITO!$O$9*EFEITO!$AA$9</f>
        <v>0</v>
      </c>
      <c r="P9" s="39"/>
      <c r="Q9" s="55" t="s">
        <v>22</v>
      </c>
      <c r="R9" s="55">
        <f>SUMIF($B$2:$B$379,$Q$9,$J$2:$J$379)</f>
        <v>0</v>
      </c>
      <c r="S9" s="55">
        <f ca="1">SUMIF($B$2:$B$379,$Q$9,$K$2:$K$379)</f>
        <v>3590798.2161366413</v>
      </c>
      <c r="T9" s="55">
        <f>SUMIF($B$2:$B$379,$Q$9,$L$2:$L$379)</f>
        <v>2175308.6457850919</v>
      </c>
      <c r="U9" s="55">
        <f>SUMIF($B$2:$B$379,$Q$9,$M$2:$M$379)</f>
        <v>0</v>
      </c>
      <c r="V9" s="55">
        <f ca="1">SUMIF($B$2:$B$379,$Q$9,$N$2:$N$379)</f>
        <v>82523.133521761207</v>
      </c>
      <c r="W9" s="55">
        <f>SUMIF($B$2:$B$379,$Q$9,$O$2:$O$379)</f>
        <v>64931.274400910843</v>
      </c>
      <c r="X9" s="36">
        <f>$R$9-$U$9</f>
        <v>0</v>
      </c>
      <c r="Y9" s="36">
        <f ca="1">$S$9-$V$9</f>
        <v>3508275.0826148801</v>
      </c>
      <c r="Z9" s="36">
        <f>$T$9-$W$9</f>
        <v>2110377.3713841811</v>
      </c>
      <c r="AA9" s="36">
        <f>SUMIF(EFEITO!$B$2:$B$379,$Q$9,EFEITO!$AE$2:$AE$379)</f>
        <v>0</v>
      </c>
      <c r="AB9" s="36">
        <f ca="1">SUMIF(EFEITO!$B$2:$B$379,$Q$9,EFEITO!$AF$2:$AF$379)</f>
        <v>3508275.0826148819</v>
      </c>
      <c r="AC9" s="36">
        <f>SUMIF(EFEITO!$B$2:$B$379,$Q$9,EFEITO!$AG$2:$AH$379)</f>
        <v>2110377.3713841806</v>
      </c>
      <c r="AD9" s="36">
        <f>SUMIF(SUBSIDIO!$B$2:$B$379,$Q$9,SUBSIDIO!$AD$2:$AD$379)</f>
        <v>0</v>
      </c>
      <c r="AE9" s="36">
        <f ca="1">SUMIF(SUBSIDIO!$B$2:$B$379,$Q$9,SUBSIDIO!$AE$2:$AE$379)</f>
        <v>147454.40792267205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34</v>
      </c>
      <c r="C10" s="35" t="s">
        <v>35</v>
      </c>
      <c r="D10" s="35" t="s">
        <v>40</v>
      </c>
      <c r="E10" s="35" t="s">
        <v>25</v>
      </c>
      <c r="F10" s="35" t="s">
        <v>25</v>
      </c>
      <c r="G10" s="35" t="s">
        <v>25</v>
      </c>
      <c r="H10" s="35" t="s">
        <v>37</v>
      </c>
      <c r="I10" s="54">
        <v>44652</v>
      </c>
      <c r="J10" s="55">
        <f>EFEITO!$J$10*EFEITO!$Y$10</f>
        <v>0</v>
      </c>
      <c r="K10" s="55">
        <f ca="1">EFEITO!$L$10*EFEITO!$Z$10</f>
        <v>2113.1430756130271</v>
      </c>
      <c r="L10" s="55">
        <f>EFEITO!$N$10*EFEITO!$AA$10</f>
        <v>5268.2433954633934</v>
      </c>
      <c r="M10" s="55">
        <f>$J$10-EFEITO!$K$10*EFEITO!$Y$10</f>
        <v>0</v>
      </c>
      <c r="N10" s="55">
        <f ca="1">$K$10-EFEITO!$M$10*EFEITO!$Z$10</f>
        <v>0</v>
      </c>
      <c r="O10" s="55">
        <f>$L$10-EFEITO!$O$10*EFEITO!$AA$10</f>
        <v>0</v>
      </c>
      <c r="P10" s="39"/>
      <c r="Q10" s="55" t="s">
        <v>41</v>
      </c>
      <c r="R10" s="55">
        <f>SUMIF($B$2:$B$379,$Q$10,$J$2:$J$379)</f>
        <v>0</v>
      </c>
      <c r="S10" s="55">
        <f ca="1">SUMIF($B$2:$B$379,$Q$10,$K$2:$K$379)</f>
        <v>5838.3123795195897</v>
      </c>
      <c r="T10" s="55">
        <f>SUMIF($B$2:$B$379,$Q$10,$L$2:$L$379)</f>
        <v>3439.8735748153813</v>
      </c>
      <c r="U10" s="55">
        <f>SUMIF($B$2:$B$379,$Q$10,$M$2:$M$379)</f>
        <v>0</v>
      </c>
      <c r="V10" s="55">
        <f ca="1">SUMIF($B$2:$B$379,$Q$10,$N$2:$N$379)</f>
        <v>350.29874277117551</v>
      </c>
      <c r="W10" s="55">
        <f>SUMIF($B$2:$B$379,$Q$10,$O$2:$O$379)</f>
        <v>206.39241448892275</v>
      </c>
      <c r="X10" s="36">
        <f>$R$10-$U$10</f>
        <v>0</v>
      </c>
      <c r="Y10" s="36">
        <f ca="1">$S$10-$V$10</f>
        <v>5488.0136367484138</v>
      </c>
      <c r="Z10" s="36">
        <f>$T$10-$W$10</f>
        <v>3233.4811603264584</v>
      </c>
      <c r="AA10" s="36">
        <f>SUMIF(EFEITO!$B$2:$B$379,$Q$10,EFEITO!$AE$2:$AE$379)</f>
        <v>0</v>
      </c>
      <c r="AB10" s="36">
        <f ca="1">SUMIF(EFEITO!$B$2:$B$379,$Q$10,EFEITO!$AF$2:$AF$379)</f>
        <v>5488.0136367484129</v>
      </c>
      <c r="AC10" s="36">
        <f>SUMIF(EFEITO!$B$2:$B$379,$Q$10,EFEITO!$AG$2:$AH$379)</f>
        <v>3233.4811603264588</v>
      </c>
      <c r="AD10" s="36">
        <f>SUMIF(SUBSIDIO!$B$2:$B$379,$Q$10,SUBSIDIO!$AD$2:$AD$379)</f>
        <v>0</v>
      </c>
      <c r="AE10" s="36">
        <f ca="1">SUMIF(SUBSIDIO!$B$2:$B$379,$Q$10,SUBSIDIO!$AE$2:$AE$379)</f>
        <v>556.69115726009841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34</v>
      </c>
      <c r="C11" s="35" t="s">
        <v>35</v>
      </c>
      <c r="D11" s="35" t="s">
        <v>40</v>
      </c>
      <c r="E11" s="35" t="s">
        <v>25</v>
      </c>
      <c r="F11" s="35" t="s">
        <v>25</v>
      </c>
      <c r="G11" s="35" t="s">
        <v>25</v>
      </c>
      <c r="H11" s="35" t="s">
        <v>37</v>
      </c>
      <c r="I11" s="54">
        <v>44682</v>
      </c>
      <c r="J11" s="55">
        <f>EFEITO!$J$11*EFEITO!$Y$11</f>
        <v>0</v>
      </c>
      <c r="K11" s="55">
        <f ca="1">EFEITO!$L$11*EFEITO!$Z$11</f>
        <v>2366.9182487228268</v>
      </c>
      <c r="L11" s="55">
        <f>EFEITO!$N$11*EFEITO!$AA$11</f>
        <v>5900.9262436327863</v>
      </c>
      <c r="M11" s="55">
        <f>$J$11-EFEITO!$K$11*EFEITO!$Y$11</f>
        <v>0</v>
      </c>
      <c r="N11" s="55">
        <f ca="1">$K$11-EFEITO!$M$11*EFEITO!$Z$11</f>
        <v>0</v>
      </c>
      <c r="O11" s="55">
        <f>$L$11-EFEITO!$O$11*EFEITO!$AA$11</f>
        <v>0</v>
      </c>
      <c r="P11" s="39"/>
      <c r="Q11" s="55" t="s">
        <v>32</v>
      </c>
      <c r="R11" s="55">
        <f>SUMIF($B$2:$B$379,$Q$11,$J$2:$J$379)</f>
        <v>0</v>
      </c>
      <c r="S11" s="55">
        <f ca="1">SUMIF($B$2:$B$379,$Q$11,$K$2:$K$379)</f>
        <v>2377680.4593604947</v>
      </c>
      <c r="T11" s="55">
        <f>SUMIF($B$2:$B$379,$Q$11,$L$2:$L$379)</f>
        <v>1402491.9786910494</v>
      </c>
      <c r="U11" s="55">
        <f>SUMIF($B$2:$B$379,$Q$11,$M$2:$M$379)</f>
        <v>0</v>
      </c>
      <c r="V11" s="55">
        <f ca="1">SUMIF($B$2:$B$379,$Q$11,$N$2:$N$379)</f>
        <v>155.31192991362229</v>
      </c>
      <c r="W11" s="55">
        <f>SUMIF($B$2:$B$379,$Q$11,$O$2:$O$379)</f>
        <v>91.508190866520323</v>
      </c>
      <c r="X11" s="36">
        <f>$R$11-$U$11</f>
        <v>0</v>
      </c>
      <c r="Y11" s="36">
        <f ca="1">$S$11-$V$11</f>
        <v>2377525.147430581</v>
      </c>
      <c r="Z11" s="36">
        <f>$T$11-$W$11</f>
        <v>1402400.4705001828</v>
      </c>
      <c r="AA11" s="36">
        <f>SUMIF(EFEITO!$B$2:$B$379,$Q$11,EFEITO!$AE$2:$AE$379)</f>
        <v>0</v>
      </c>
      <c r="AB11" s="36">
        <f ca="1">SUMIF(EFEITO!$B$2:$B$379,$Q$11,EFEITO!$AF$2:$AF$379)</f>
        <v>2377525.147430582</v>
      </c>
      <c r="AC11" s="36">
        <f>SUMIF(EFEITO!$B$2:$B$379,$Q$11,EFEITO!$AG$2:$AH$379)</f>
        <v>1402400.4705001831</v>
      </c>
      <c r="AD11" s="36">
        <f>SUMIF(SUBSIDIO!$B$2:$B$379,$Q$11,SUBSIDIO!$AD$2:$AD$379)</f>
        <v>0</v>
      </c>
      <c r="AE11" s="36">
        <f ca="1">SUMIF(SUBSIDIO!$B$2:$B$379,$Q$11,SUBSIDIO!$AE$2:$AE$379)</f>
        <v>246.82012078014236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34</v>
      </c>
      <c r="C12" s="35" t="s">
        <v>35</v>
      </c>
      <c r="D12" s="35" t="s">
        <v>40</v>
      </c>
      <c r="E12" s="35" t="s">
        <v>25</v>
      </c>
      <c r="F12" s="35" t="s">
        <v>25</v>
      </c>
      <c r="G12" s="35" t="s">
        <v>25</v>
      </c>
      <c r="H12" s="35" t="s">
        <v>37</v>
      </c>
      <c r="I12" s="54">
        <v>44713</v>
      </c>
      <c r="J12" s="55">
        <f>EFEITO!$J$12*EFEITO!$Y$12</f>
        <v>0</v>
      </c>
      <c r="K12" s="55">
        <f ca="1">EFEITO!$L$12*EFEITO!$Z$12</f>
        <v>2272.3163202987139</v>
      </c>
      <c r="L12" s="55">
        <f>EFEITO!$N$12*EFEITO!$AA$12</f>
        <v>5665.0756803793502</v>
      </c>
      <c r="M12" s="55">
        <f>$J$12-EFEITO!$K$12*EFEITO!$Y$12</f>
        <v>0</v>
      </c>
      <c r="N12" s="55">
        <f ca="1">$K$12-EFEITO!$M$12*EFEITO!$Z$12</f>
        <v>0</v>
      </c>
      <c r="O12" s="55">
        <f>$L$12-EFEITO!$O$12*EFEITO!$AA$12</f>
        <v>0</v>
      </c>
      <c r="P12" s="39"/>
      <c r="Q12" s="55" t="s">
        <v>44</v>
      </c>
      <c r="R12" s="55">
        <f>SUMIF($B$2:$B$379,$Q$12,$J$2:$J$379)</f>
        <v>0</v>
      </c>
      <c r="S12" s="55">
        <f ca="1">SUMIF($B$2:$B$379,$Q$12,$K$2:$K$379)</f>
        <v>96737.877524393218</v>
      </c>
      <c r="T12" s="55">
        <f>SUMIF($B$2:$B$379,$Q$12,$L$2:$L$379)</f>
        <v>56996.961955514445</v>
      </c>
      <c r="U12" s="55">
        <f>SUMIF($B$2:$B$379,$Q$12,$M$2:$M$379)</f>
        <v>0</v>
      </c>
      <c r="V12" s="55">
        <f ca="1">SUMIF($B$2:$B$379,$Q$12,$N$2:$N$379)</f>
        <v>0</v>
      </c>
      <c r="W12" s="55">
        <f>SUMIF($B$2:$B$379,$Q$12,$O$2:$O$379)</f>
        <v>0</v>
      </c>
      <c r="X12" s="36">
        <f>$R$12-$U$12</f>
        <v>0</v>
      </c>
      <c r="Y12" s="36">
        <f ca="1">$S$12-$V$12</f>
        <v>96737.877524393218</v>
      </c>
      <c r="Z12" s="36">
        <f>$T$12-$W$12</f>
        <v>56996.961955514445</v>
      </c>
      <c r="AA12" s="36">
        <f>SUMIF(EFEITO!$B$2:$B$379,$Q$12,EFEITO!$AE$2:$AE$379)</f>
        <v>0</v>
      </c>
      <c r="AB12" s="36">
        <f ca="1">SUMIF(EFEITO!$B$2:$B$379,$Q$12,EFEITO!$AF$2:$AF$379)</f>
        <v>96737.877524393218</v>
      </c>
      <c r="AC12" s="36">
        <f>SUMIF(EFEITO!$B$2:$B$379,$Q$12,EFEITO!$AG$2:$AH$379)</f>
        <v>56996.961955514445</v>
      </c>
      <c r="AD12" s="36">
        <f>SUMIF(SUBSIDIO!$B$2:$B$379,$Q$12,SUBSIDIO!$AD$2:$AD$379)</f>
        <v>0</v>
      </c>
      <c r="AE12" s="36">
        <f>SUMIF(SUBSIDIO!$B$2:$B$379,$Q$12,SUBSIDIO!$AE$2:$AE$379)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21</v>
      </c>
      <c r="B13" s="35" t="s">
        <v>34</v>
      </c>
      <c r="C13" s="35" t="s">
        <v>35</v>
      </c>
      <c r="D13" s="35" t="s">
        <v>40</v>
      </c>
      <c r="E13" s="35" t="s">
        <v>25</v>
      </c>
      <c r="F13" s="35" t="s">
        <v>25</v>
      </c>
      <c r="G13" s="35" t="s">
        <v>25</v>
      </c>
      <c r="H13" s="35" t="s">
        <v>37</v>
      </c>
      <c r="I13" s="54">
        <v>44743</v>
      </c>
      <c r="J13" s="55">
        <f>EFEITO!$J$13*EFEITO!$Y$13</f>
        <v>0</v>
      </c>
      <c r="K13" s="55">
        <f ca="1">EFEITO!$L$13*EFEITO!$Z$13</f>
        <v>2299.0468651906435</v>
      </c>
      <c r="L13" s="55">
        <f>EFEITO!$N$13*EFEITO!$AA$13</f>
        <v>5731.7171767404952</v>
      </c>
      <c r="M13" s="55">
        <f>$J$13-EFEITO!$K$13*EFEITO!$Y$13</f>
        <v>0</v>
      </c>
      <c r="N13" s="55">
        <f ca="1">$K$13-EFEITO!$M$13*EFEITO!$Z$13</f>
        <v>0</v>
      </c>
      <c r="O13" s="55">
        <f>$L$13-EFEITO!$O$13*EFEITO!$AA$13</f>
        <v>0</v>
      </c>
      <c r="P13" s="39"/>
      <c r="Q13" s="55" t="s">
        <v>79</v>
      </c>
      <c r="R13" s="55">
        <f>SUMIF($B$2:$B$379,$Q$13,$J$2:$J$379)</f>
        <v>0</v>
      </c>
      <c r="S13" s="55">
        <f>SUMIF($B$2:$B$379,$Q$13,$K$2:$K$379)</f>
        <v>0</v>
      </c>
      <c r="T13" s="55">
        <f>SUMIF($B$2:$B$379,$Q$13,$L$2:$L$379)</f>
        <v>0</v>
      </c>
      <c r="U13" s="55">
        <f>SUMIF($B$2:$B$379,$Q$13,$M$2:$M$379)</f>
        <v>0</v>
      </c>
      <c r="V13" s="55">
        <f>SUMIF($B$2:$B$379,$Q$13,$N$2:$N$379)</f>
        <v>0</v>
      </c>
      <c r="W13" s="55">
        <f>SUMIF($B$2:$B$379,$Q$13,$O$2:$O$379)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SUMIF(EFEITO!$B$2:$B$379,$Q$13,EFEITO!$AE$2:$AE$379)</f>
        <v>0</v>
      </c>
      <c r="AB13" s="36">
        <f>SUMIF(EFEITO!$B$2:$B$379,$Q$13,EFEITO!$AF$2:$AF$379)</f>
        <v>0</v>
      </c>
      <c r="AC13" s="36">
        <f>SUMIF(EFEITO!$B$2:$B$379,$Q$13,EFEITO!$AG$2:$AH$379)</f>
        <v>0</v>
      </c>
      <c r="AD13" s="36">
        <f>SUMIF(SUBSIDIO!$B$2:$B$379,$Q$13,SUBSIDIO!$AD$2:$AD$379)</f>
        <v>0</v>
      </c>
      <c r="AE13" s="36">
        <f>SUMIF(SUBSIDIO!$B$2:$B$379,$Q$13,SUBSIDIO!$AE$2:$AE$379)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34</v>
      </c>
      <c r="C14" s="35" t="s">
        <v>35</v>
      </c>
      <c r="D14" s="35" t="s">
        <v>40</v>
      </c>
      <c r="E14" s="35" t="s">
        <v>25</v>
      </c>
      <c r="F14" s="35" t="s">
        <v>25</v>
      </c>
      <c r="G14" s="35" t="s">
        <v>25</v>
      </c>
      <c r="H14" s="35" t="s">
        <v>25</v>
      </c>
      <c r="I14" s="54">
        <v>44409</v>
      </c>
      <c r="J14" s="55">
        <f ca="1">EFEITO!$J$14*EFEITO!$Y$14</f>
        <v>4726.51749165821</v>
      </c>
      <c r="K14" s="55">
        <f>EFEITO!$L$14*EFEITO!$Z$14</f>
        <v>0</v>
      </c>
      <c r="L14" s="55">
        <f>EFEITO!$N$14*EFEITO!$AA$14</f>
        <v>0</v>
      </c>
      <c r="M14" s="55">
        <f ca="1">$J$14-EFEITO!$K$14*EFEITO!$Y$14</f>
        <v>0</v>
      </c>
      <c r="N14" s="55">
        <f>$K$14-EFEITO!$M$14*EFEITO!$Z$14</f>
        <v>0</v>
      </c>
      <c r="O14" s="55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35" t="s">
        <v>21</v>
      </c>
      <c r="B15" s="35" t="s">
        <v>34</v>
      </c>
      <c r="C15" s="35" t="s">
        <v>35</v>
      </c>
      <c r="D15" s="35" t="s">
        <v>40</v>
      </c>
      <c r="E15" s="35" t="s">
        <v>25</v>
      </c>
      <c r="F15" s="35" t="s">
        <v>25</v>
      </c>
      <c r="G15" s="35" t="s">
        <v>25</v>
      </c>
      <c r="H15" s="35" t="s">
        <v>25</v>
      </c>
      <c r="I15" s="54">
        <v>44440</v>
      </c>
      <c r="J15" s="55">
        <f ca="1">EFEITO!$J$15*EFEITO!$Y$15</f>
        <v>5204.4799346348827</v>
      </c>
      <c r="K15" s="55">
        <f>EFEITO!$L$15*EFEITO!$Z$15</f>
        <v>0</v>
      </c>
      <c r="L15" s="55">
        <f>EFEITO!$N$15*EFEITO!$AA$15</f>
        <v>0</v>
      </c>
      <c r="M15" s="55">
        <f ca="1">$J$15-EFEITO!$K$15*EFEITO!$Y$15</f>
        <v>0</v>
      </c>
      <c r="N15" s="55">
        <f>$K$15-EFEITO!$M$15*EFEITO!$Z$15</f>
        <v>0</v>
      </c>
      <c r="O15" s="55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35" t="s">
        <v>21</v>
      </c>
      <c r="B16" s="35" t="s">
        <v>34</v>
      </c>
      <c r="C16" s="35" t="s">
        <v>35</v>
      </c>
      <c r="D16" s="35" t="s">
        <v>40</v>
      </c>
      <c r="E16" s="35" t="s">
        <v>25</v>
      </c>
      <c r="F16" s="35" t="s">
        <v>25</v>
      </c>
      <c r="G16" s="35" t="s">
        <v>25</v>
      </c>
      <c r="H16" s="35" t="s">
        <v>25</v>
      </c>
      <c r="I16" s="54">
        <v>44470</v>
      </c>
      <c r="J16" s="55">
        <f ca="1">EFEITO!$J$16*EFEITO!$Y$16</f>
        <v>3186.416286511153</v>
      </c>
      <c r="K16" s="55">
        <f>EFEITO!$L$16*EFEITO!$Z$16</f>
        <v>0</v>
      </c>
      <c r="L16" s="55">
        <f>EFEITO!$N$16*EFEITO!$AA$16</f>
        <v>0</v>
      </c>
      <c r="M16" s="55">
        <f ca="1">$J$16-EFEITO!$K$16*EFEITO!$Y$16</f>
        <v>0</v>
      </c>
      <c r="N16" s="55">
        <f>$K$16-EFEITO!$M$16*EFEITO!$Z$16</f>
        <v>0</v>
      </c>
      <c r="O16" s="55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35" t="s">
        <v>21</v>
      </c>
      <c r="B17" s="35" t="s">
        <v>34</v>
      </c>
      <c r="C17" s="35" t="s">
        <v>35</v>
      </c>
      <c r="D17" s="35" t="s">
        <v>40</v>
      </c>
      <c r="E17" s="35" t="s">
        <v>25</v>
      </c>
      <c r="F17" s="35" t="s">
        <v>25</v>
      </c>
      <c r="G17" s="35" t="s">
        <v>25</v>
      </c>
      <c r="H17" s="35" t="s">
        <v>25</v>
      </c>
      <c r="I17" s="54">
        <v>44501</v>
      </c>
      <c r="J17" s="55">
        <f ca="1">EFEITO!$J$17*EFEITO!$Y$17</f>
        <v>3912.2111073275819</v>
      </c>
      <c r="K17" s="55">
        <f>EFEITO!$L$17*EFEITO!$Z$17</f>
        <v>0</v>
      </c>
      <c r="L17" s="55">
        <f>EFEITO!$N$17*EFEITO!$AA$17</f>
        <v>0</v>
      </c>
      <c r="M17" s="55">
        <f ca="1">$J$17-EFEITO!$K$17*EFEITO!$Y$17</f>
        <v>0</v>
      </c>
      <c r="N17" s="55">
        <f>$K$17-EFEITO!$M$17*EFEITO!$Z$17</f>
        <v>0</v>
      </c>
      <c r="O17" s="55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35" t="s">
        <v>21</v>
      </c>
      <c r="B18" s="35" t="s">
        <v>34</v>
      </c>
      <c r="C18" s="35" t="s">
        <v>35</v>
      </c>
      <c r="D18" s="35" t="s">
        <v>40</v>
      </c>
      <c r="E18" s="35" t="s">
        <v>25</v>
      </c>
      <c r="F18" s="35" t="s">
        <v>25</v>
      </c>
      <c r="G18" s="35" t="s">
        <v>25</v>
      </c>
      <c r="H18" s="35" t="s">
        <v>25</v>
      </c>
      <c r="I18" s="54">
        <v>44531</v>
      </c>
      <c r="J18" s="55">
        <f ca="1">EFEITO!$J$18*EFEITO!$Y$18</f>
        <v>2938.5839086713963</v>
      </c>
      <c r="K18" s="55">
        <f>EFEITO!$L$18*EFEITO!$Z$18</f>
        <v>0</v>
      </c>
      <c r="L18" s="55">
        <f>EFEITO!$N$18*EFEITO!$AA$18</f>
        <v>0</v>
      </c>
      <c r="M18" s="55">
        <f ca="1">$J$18-EFEITO!$K$18*EFEITO!$Y$18</f>
        <v>0</v>
      </c>
      <c r="N18" s="55">
        <f>$K$18-EFEITO!$M$18*EFEITO!$Z$18</f>
        <v>0</v>
      </c>
      <c r="O18" s="55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35" t="s">
        <v>21</v>
      </c>
      <c r="B19" s="35" t="s">
        <v>34</v>
      </c>
      <c r="C19" s="35" t="s">
        <v>35</v>
      </c>
      <c r="D19" s="35" t="s">
        <v>40</v>
      </c>
      <c r="E19" s="35" t="s">
        <v>25</v>
      </c>
      <c r="F19" s="35" t="s">
        <v>25</v>
      </c>
      <c r="G19" s="35" t="s">
        <v>25</v>
      </c>
      <c r="H19" s="35" t="s">
        <v>25</v>
      </c>
      <c r="I19" s="54">
        <v>44562</v>
      </c>
      <c r="J19" s="55">
        <f ca="1">EFEITO!$J$19*EFEITO!$Y$19</f>
        <v>2212.7890878549674</v>
      </c>
      <c r="K19" s="55">
        <f>EFEITO!$L$19*EFEITO!$Z$19</f>
        <v>0</v>
      </c>
      <c r="L19" s="55">
        <f>EFEITO!$N$19*EFEITO!$AA$19</f>
        <v>0</v>
      </c>
      <c r="M19" s="55">
        <f ca="1">$J$19-EFEITO!$K$19*EFEITO!$Y$19</f>
        <v>0</v>
      </c>
      <c r="N19" s="55">
        <f>$K$19-EFEITO!$M$19*EFEITO!$Z$19</f>
        <v>0</v>
      </c>
      <c r="O19" s="55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35" t="s">
        <v>21</v>
      </c>
      <c r="B20" s="35" t="s">
        <v>34</v>
      </c>
      <c r="C20" s="35" t="s">
        <v>35</v>
      </c>
      <c r="D20" s="35" t="s">
        <v>40</v>
      </c>
      <c r="E20" s="35" t="s">
        <v>25</v>
      </c>
      <c r="F20" s="35" t="s">
        <v>25</v>
      </c>
      <c r="G20" s="35" t="s">
        <v>25</v>
      </c>
      <c r="H20" s="35" t="s">
        <v>25</v>
      </c>
      <c r="I20" s="54">
        <v>44593</v>
      </c>
      <c r="J20" s="55">
        <f ca="1">EFEITO!$J$20*EFEITO!$Y$20</f>
        <v>2619.942280020281</v>
      </c>
      <c r="K20" s="55">
        <f>EFEITO!$L$20*EFEITO!$Z$20</f>
        <v>0</v>
      </c>
      <c r="L20" s="55">
        <f>EFEITO!$N$20*EFEITO!$AA$20</f>
        <v>0</v>
      </c>
      <c r="M20" s="55">
        <f ca="1">$J$20-EFEITO!$K$20*EFEITO!$Y$20</f>
        <v>0</v>
      </c>
      <c r="N20" s="55">
        <f>$K$20-EFEITO!$M$20*EFEITO!$Z$20</f>
        <v>0</v>
      </c>
      <c r="O20" s="55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35" t="s">
        <v>21</v>
      </c>
      <c r="B21" s="35" t="s">
        <v>34</v>
      </c>
      <c r="C21" s="35" t="s">
        <v>35</v>
      </c>
      <c r="D21" s="35" t="s">
        <v>40</v>
      </c>
      <c r="E21" s="35" t="s">
        <v>25</v>
      </c>
      <c r="F21" s="35" t="s">
        <v>25</v>
      </c>
      <c r="G21" s="35" t="s">
        <v>25</v>
      </c>
      <c r="H21" s="35" t="s">
        <v>25</v>
      </c>
      <c r="I21" s="54">
        <v>44621</v>
      </c>
      <c r="J21" s="55">
        <f ca="1">EFEITO!$J$21*EFEITO!$Y$21</f>
        <v>2796.9654070486786</v>
      </c>
      <c r="K21" s="55">
        <f>EFEITO!$L$21*EFEITO!$Z$21</f>
        <v>0</v>
      </c>
      <c r="L21" s="55">
        <f>EFEITO!$N$21*EFEITO!$AA$21</f>
        <v>0</v>
      </c>
      <c r="M21" s="55">
        <f ca="1">$J$21-EFEITO!$K$21*EFEITO!$Y$21</f>
        <v>0</v>
      </c>
      <c r="N21" s="55">
        <f>$K$21-EFEITO!$M$21*EFEITO!$Z$21</f>
        <v>0</v>
      </c>
      <c r="O21" s="55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35" t="s">
        <v>21</v>
      </c>
      <c r="B22" s="35" t="s">
        <v>34</v>
      </c>
      <c r="C22" s="35" t="s">
        <v>35</v>
      </c>
      <c r="D22" s="35" t="s">
        <v>40</v>
      </c>
      <c r="E22" s="35" t="s">
        <v>25</v>
      </c>
      <c r="F22" s="35" t="s">
        <v>25</v>
      </c>
      <c r="G22" s="35" t="s">
        <v>25</v>
      </c>
      <c r="H22" s="35" t="s">
        <v>25</v>
      </c>
      <c r="I22" s="54">
        <v>44652</v>
      </c>
      <c r="J22" s="55">
        <f ca="1">EFEITO!$J$22*EFEITO!$Y$22</f>
        <v>2513.7284038032426</v>
      </c>
      <c r="K22" s="55">
        <f>EFEITO!$L$22*EFEITO!$Z$22</f>
        <v>0</v>
      </c>
      <c r="L22" s="55">
        <f>EFEITO!$N$22*EFEITO!$AA$22</f>
        <v>0</v>
      </c>
      <c r="M22" s="55">
        <f ca="1">$J$22-EFEITO!$K$22*EFEITO!$Y$22</f>
        <v>0</v>
      </c>
      <c r="N22" s="55">
        <f>$K$22-EFEITO!$M$22*EFEITO!$Z$22</f>
        <v>0</v>
      </c>
      <c r="O22" s="55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35" t="s">
        <v>21</v>
      </c>
      <c r="B23" s="35" t="s">
        <v>34</v>
      </c>
      <c r="C23" s="35" t="s">
        <v>35</v>
      </c>
      <c r="D23" s="35" t="s">
        <v>40</v>
      </c>
      <c r="E23" s="35" t="s">
        <v>25</v>
      </c>
      <c r="F23" s="35" t="s">
        <v>25</v>
      </c>
      <c r="G23" s="35" t="s">
        <v>25</v>
      </c>
      <c r="H23" s="35" t="s">
        <v>25</v>
      </c>
      <c r="I23" s="54">
        <v>44682</v>
      </c>
      <c r="J23" s="55">
        <f ca="1">EFEITO!$J$23*EFEITO!$Y$23</f>
        <v>2513.7284038032426</v>
      </c>
      <c r="K23" s="55">
        <f>EFEITO!$L$23*EFEITO!$Z$23</f>
        <v>0</v>
      </c>
      <c r="L23" s="55">
        <f>EFEITO!$N$23*EFEITO!$AA$23</f>
        <v>0</v>
      </c>
      <c r="M23" s="55">
        <f ca="1">$J$23-EFEITO!$K$23*EFEITO!$Y$23</f>
        <v>0</v>
      </c>
      <c r="N23" s="55">
        <f>$K$23-EFEITO!$M$23*EFEITO!$Z$23</f>
        <v>0</v>
      </c>
      <c r="O23" s="55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35" t="s">
        <v>21</v>
      </c>
      <c r="B24" s="35" t="s">
        <v>34</v>
      </c>
      <c r="C24" s="35" t="s">
        <v>35</v>
      </c>
      <c r="D24" s="35" t="s">
        <v>40</v>
      </c>
      <c r="E24" s="35" t="s">
        <v>25</v>
      </c>
      <c r="F24" s="35" t="s">
        <v>25</v>
      </c>
      <c r="G24" s="35" t="s">
        <v>25</v>
      </c>
      <c r="H24" s="35" t="s">
        <v>25</v>
      </c>
      <c r="I24" s="54">
        <v>44713</v>
      </c>
      <c r="J24" s="55">
        <f ca="1">EFEITO!$J$24*EFEITO!$Y$24</f>
        <v>3044.7977848884348</v>
      </c>
      <c r="K24" s="55">
        <f>EFEITO!$L$24*EFEITO!$Z$24</f>
        <v>0</v>
      </c>
      <c r="L24" s="55">
        <f>EFEITO!$N$24*EFEITO!$AA$24</f>
        <v>0</v>
      </c>
      <c r="M24" s="55">
        <f ca="1">$J$24-EFEITO!$K$24*EFEITO!$Y$24</f>
        <v>0</v>
      </c>
      <c r="N24" s="55">
        <f>$K$24-EFEITO!$M$24*EFEITO!$Z$24</f>
        <v>0</v>
      </c>
      <c r="O24" s="55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35" t="s">
        <v>21</v>
      </c>
      <c r="B25" s="35" t="s">
        <v>34</v>
      </c>
      <c r="C25" s="35" t="s">
        <v>35</v>
      </c>
      <c r="D25" s="35" t="s">
        <v>40</v>
      </c>
      <c r="E25" s="35" t="s">
        <v>25</v>
      </c>
      <c r="F25" s="35" t="s">
        <v>25</v>
      </c>
      <c r="G25" s="35" t="s">
        <v>25</v>
      </c>
      <c r="H25" s="35" t="s">
        <v>25</v>
      </c>
      <c r="I25" s="54">
        <v>44743</v>
      </c>
      <c r="J25" s="55">
        <f ca="1">EFEITO!$J$25*EFEITO!$Y$25</f>
        <v>2708.4538435344798</v>
      </c>
      <c r="K25" s="55">
        <f>EFEITO!$L$25*EFEITO!$Z$25</f>
        <v>0</v>
      </c>
      <c r="L25" s="55">
        <f>EFEITO!$N$25*EFEITO!$AA$25</f>
        <v>0</v>
      </c>
      <c r="M25" s="55">
        <f ca="1">$J$25-EFEITO!$K$25*EFEITO!$Y$25</f>
        <v>0</v>
      </c>
      <c r="N25" s="55">
        <f>$K$25-EFEITO!$M$25*EFEITO!$Z$25</f>
        <v>0</v>
      </c>
      <c r="O25" s="55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35" t="s">
        <v>21</v>
      </c>
      <c r="B26" s="35" t="s">
        <v>34</v>
      </c>
      <c r="C26" s="35" t="s">
        <v>35</v>
      </c>
      <c r="D26" s="35" t="s">
        <v>40</v>
      </c>
      <c r="E26" s="35" t="s">
        <v>25</v>
      </c>
      <c r="F26" s="35" t="s">
        <v>25</v>
      </c>
      <c r="G26" s="35" t="s">
        <v>25</v>
      </c>
      <c r="H26" s="35" t="s">
        <v>36</v>
      </c>
      <c r="I26" s="54">
        <v>44409</v>
      </c>
      <c r="J26" s="55">
        <f>EFEITO!$J$26*EFEITO!$Y$26</f>
        <v>0</v>
      </c>
      <c r="K26" s="55">
        <f ca="1">EFEITO!$L$26*EFEITO!$Z$26</f>
        <v>3258.4222066086963</v>
      </c>
      <c r="L26" s="55">
        <f>EFEITO!$N$26*EFEITO!$AA$26</f>
        <v>1192.0100287170619</v>
      </c>
      <c r="M26" s="55">
        <f>$J$26-EFEITO!$K$26*EFEITO!$Y$26</f>
        <v>0</v>
      </c>
      <c r="N26" s="55">
        <f ca="1">$K$26-EFEITO!$M$26*EFEITO!$Z$26</f>
        <v>0</v>
      </c>
      <c r="O26" s="55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35" t="s">
        <v>21</v>
      </c>
      <c r="B27" s="35" t="s">
        <v>34</v>
      </c>
      <c r="C27" s="35" t="s">
        <v>35</v>
      </c>
      <c r="D27" s="35" t="s">
        <v>40</v>
      </c>
      <c r="E27" s="35" t="s">
        <v>25</v>
      </c>
      <c r="F27" s="35" t="s">
        <v>25</v>
      </c>
      <c r="G27" s="35" t="s">
        <v>25</v>
      </c>
      <c r="H27" s="35" t="s">
        <v>36</v>
      </c>
      <c r="I27" s="54">
        <v>44440</v>
      </c>
      <c r="J27" s="55">
        <f>EFEITO!$J$27*EFEITO!$Y$27</f>
        <v>0</v>
      </c>
      <c r="K27" s="55">
        <f ca="1">EFEITO!$L$27*EFEITO!$Z$27</f>
        <v>3317.4795042856076</v>
      </c>
      <c r="L27" s="55">
        <f>EFEITO!$N$27*EFEITO!$AA$27</f>
        <v>1213.6146234061814</v>
      </c>
      <c r="M27" s="55">
        <f>$J$27-EFEITO!$K$27*EFEITO!$Y$27</f>
        <v>0</v>
      </c>
      <c r="N27" s="55">
        <f ca="1">$K$27-EFEITO!$M$27*EFEITO!$Z$27</f>
        <v>0</v>
      </c>
      <c r="O27" s="55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35" t="s">
        <v>21</v>
      </c>
      <c r="B28" s="35" t="s">
        <v>34</v>
      </c>
      <c r="C28" s="35" t="s">
        <v>35</v>
      </c>
      <c r="D28" s="35" t="s">
        <v>40</v>
      </c>
      <c r="E28" s="35" t="s">
        <v>25</v>
      </c>
      <c r="F28" s="35" t="s">
        <v>25</v>
      </c>
      <c r="G28" s="35" t="s">
        <v>25</v>
      </c>
      <c r="H28" s="35" t="s">
        <v>36</v>
      </c>
      <c r="I28" s="54">
        <v>44470</v>
      </c>
      <c r="J28" s="55">
        <f>EFEITO!$J$28*EFEITO!$Y$28</f>
        <v>0</v>
      </c>
      <c r="K28" s="55">
        <f ca="1">EFEITO!$L$28*EFEITO!$Z$28</f>
        <v>3158.2815714174126</v>
      </c>
      <c r="L28" s="55">
        <f>EFEITO!$N$28*EFEITO!$AA$28</f>
        <v>1155.3761507659467</v>
      </c>
      <c r="M28" s="55">
        <f>$J$28-EFEITO!$K$28*EFEITO!$Y$28</f>
        <v>0</v>
      </c>
      <c r="N28" s="55">
        <f ca="1">$K$28-EFEITO!$M$28*EFEITO!$Z$28</f>
        <v>0</v>
      </c>
      <c r="O28" s="55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35" t="s">
        <v>21</v>
      </c>
      <c r="B29" s="35" t="s">
        <v>34</v>
      </c>
      <c r="C29" s="35" t="s">
        <v>35</v>
      </c>
      <c r="D29" s="35" t="s">
        <v>40</v>
      </c>
      <c r="E29" s="35" t="s">
        <v>25</v>
      </c>
      <c r="F29" s="35" t="s">
        <v>25</v>
      </c>
      <c r="G29" s="35" t="s">
        <v>25</v>
      </c>
      <c r="H29" s="35" t="s">
        <v>36</v>
      </c>
      <c r="I29" s="54">
        <v>44501</v>
      </c>
      <c r="J29" s="55">
        <f>EFEITO!$J$29*EFEITO!$Y$29</f>
        <v>0</v>
      </c>
      <c r="K29" s="55">
        <f ca="1">EFEITO!$L$29*EFEITO!$Z$29</f>
        <v>3433.0263910447811</v>
      </c>
      <c r="L29" s="55">
        <f>EFEITO!$N$29*EFEITO!$AA$29</f>
        <v>1255.8844825805452</v>
      </c>
      <c r="M29" s="55">
        <f>$J$29-EFEITO!$K$29*EFEITO!$Y$29</f>
        <v>0</v>
      </c>
      <c r="N29" s="55">
        <f ca="1">$K$29-EFEITO!$M$29*EFEITO!$Z$29</f>
        <v>0</v>
      </c>
      <c r="O29" s="55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35" t="s">
        <v>21</v>
      </c>
      <c r="B30" s="35" t="s">
        <v>34</v>
      </c>
      <c r="C30" s="35" t="s">
        <v>35</v>
      </c>
      <c r="D30" s="35" t="s">
        <v>40</v>
      </c>
      <c r="E30" s="35" t="s">
        <v>25</v>
      </c>
      <c r="F30" s="35" t="s">
        <v>25</v>
      </c>
      <c r="G30" s="35" t="s">
        <v>25</v>
      </c>
      <c r="H30" s="35" t="s">
        <v>36</v>
      </c>
      <c r="I30" s="54">
        <v>44531</v>
      </c>
      <c r="J30" s="55">
        <f>EFEITO!$J$30*EFEITO!$Y$30</f>
        <v>0</v>
      </c>
      <c r="K30" s="55">
        <f ca="1">EFEITO!$L$30*EFEITO!$Z$30</f>
        <v>260.62242235680276</v>
      </c>
      <c r="L30" s="55">
        <f>EFEITO!$N$30*EFEITO!$AA$30</f>
        <v>95.342015693287465</v>
      </c>
      <c r="M30" s="55">
        <f>$J$30-EFEITO!$K$30*EFEITO!$Y$30</f>
        <v>0</v>
      </c>
      <c r="N30" s="55">
        <f ca="1">$K$30-EFEITO!$M$30*EFEITO!$Z$30</f>
        <v>0</v>
      </c>
      <c r="O30" s="55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35" t="s">
        <v>21</v>
      </c>
      <c r="B31" s="35" t="s">
        <v>34</v>
      </c>
      <c r="C31" s="35" t="s">
        <v>35</v>
      </c>
      <c r="D31" s="35" t="s">
        <v>40</v>
      </c>
      <c r="E31" s="35" t="s">
        <v>25</v>
      </c>
      <c r="F31" s="35" t="s">
        <v>25</v>
      </c>
      <c r="G31" s="35" t="s">
        <v>25</v>
      </c>
      <c r="H31" s="35" t="s">
        <v>36</v>
      </c>
      <c r="I31" s="54">
        <v>44562</v>
      </c>
      <c r="J31" s="55">
        <f>EFEITO!$J$31*EFEITO!$Y$31</f>
        <v>0</v>
      </c>
      <c r="K31" s="55">
        <f ca="1">EFEITO!$L$31*EFEITO!$Z$31</f>
        <v>179.73960162538123</v>
      </c>
      <c r="L31" s="55">
        <f>EFEITO!$N$31*EFEITO!$AA$31</f>
        <v>65.753114271232747</v>
      </c>
      <c r="M31" s="55">
        <f>$J$31-EFEITO!$K$31*EFEITO!$Y$31</f>
        <v>0</v>
      </c>
      <c r="N31" s="55">
        <f ca="1">$K$31-EFEITO!$M$31*EFEITO!$Z$31</f>
        <v>0</v>
      </c>
      <c r="O31" s="55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35" t="s">
        <v>21</v>
      </c>
      <c r="B32" s="35" t="s">
        <v>34</v>
      </c>
      <c r="C32" s="35" t="s">
        <v>35</v>
      </c>
      <c r="D32" s="35" t="s">
        <v>40</v>
      </c>
      <c r="E32" s="35" t="s">
        <v>25</v>
      </c>
      <c r="F32" s="35" t="s">
        <v>25</v>
      </c>
      <c r="G32" s="35" t="s">
        <v>25</v>
      </c>
      <c r="H32" s="35" t="s">
        <v>36</v>
      </c>
      <c r="I32" s="54">
        <v>44593</v>
      </c>
      <c r="J32" s="55">
        <f>EFEITO!$J$32*EFEITO!$Y$32</f>
        <v>0</v>
      </c>
      <c r="K32" s="55">
        <f ca="1">EFEITO!$L$32*EFEITO!$Z$32</f>
        <v>146.35938989495327</v>
      </c>
      <c r="L32" s="55">
        <f>EFEITO!$N$32*EFEITO!$AA$32</f>
        <v>53.541821620860944</v>
      </c>
      <c r="M32" s="55">
        <f>$J$32-EFEITO!$K$32*EFEITO!$Y$32</f>
        <v>0</v>
      </c>
      <c r="N32" s="55">
        <f ca="1">$K$32-EFEITO!$M$32*EFEITO!$Z$32</f>
        <v>0</v>
      </c>
      <c r="O32" s="55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35" t="s">
        <v>21</v>
      </c>
      <c r="B33" s="35" t="s">
        <v>34</v>
      </c>
      <c r="C33" s="35" t="s">
        <v>35</v>
      </c>
      <c r="D33" s="35" t="s">
        <v>40</v>
      </c>
      <c r="E33" s="35" t="s">
        <v>25</v>
      </c>
      <c r="F33" s="35" t="s">
        <v>25</v>
      </c>
      <c r="G33" s="35" t="s">
        <v>25</v>
      </c>
      <c r="H33" s="35" t="s">
        <v>36</v>
      </c>
      <c r="I33" s="54">
        <v>44621</v>
      </c>
      <c r="J33" s="55">
        <f>EFEITO!$J$33*EFEITO!$Y$33</f>
        <v>0</v>
      </c>
      <c r="K33" s="55">
        <f ca="1">EFEITO!$L$33*EFEITO!$Z$33</f>
        <v>236.22919070764388</v>
      </c>
      <c r="L33" s="55">
        <f>EFEITO!$N$33*EFEITO!$AA$33</f>
        <v>86.41837875647731</v>
      </c>
      <c r="M33" s="55">
        <f>$J$33-EFEITO!$K$33*EFEITO!$Y$33</f>
        <v>0</v>
      </c>
      <c r="N33" s="55">
        <f ca="1">$K$33-EFEITO!$M$33*EFEITO!$Z$33</f>
        <v>0</v>
      </c>
      <c r="O33" s="55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35" t="s">
        <v>21</v>
      </c>
      <c r="B34" s="35" t="s">
        <v>34</v>
      </c>
      <c r="C34" s="35" t="s">
        <v>35</v>
      </c>
      <c r="D34" s="35" t="s">
        <v>40</v>
      </c>
      <c r="E34" s="35" t="s">
        <v>25</v>
      </c>
      <c r="F34" s="35" t="s">
        <v>25</v>
      </c>
      <c r="G34" s="35" t="s">
        <v>25</v>
      </c>
      <c r="H34" s="35" t="s">
        <v>36</v>
      </c>
      <c r="I34" s="54">
        <v>44652</v>
      </c>
      <c r="J34" s="55">
        <f>EFEITO!$J$34*EFEITO!$Y$34</f>
        <v>0</v>
      </c>
      <c r="K34" s="55">
        <f ca="1">EFEITO!$L$34*EFEITO!$Z$34</f>
        <v>229.80991922102311</v>
      </c>
      <c r="L34" s="55">
        <f>EFEITO!$N$34*EFEITO!$AA$34</f>
        <v>84.070053246790422</v>
      </c>
      <c r="M34" s="55">
        <f>$J$34-EFEITO!$K$34*EFEITO!$Y$34</f>
        <v>0</v>
      </c>
      <c r="N34" s="55">
        <f ca="1">$K$34-EFEITO!$M$34*EFEITO!$Z$34</f>
        <v>0</v>
      </c>
      <c r="O34" s="55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35" t="s">
        <v>21</v>
      </c>
      <c r="B35" s="35" t="s">
        <v>34</v>
      </c>
      <c r="C35" s="35" t="s">
        <v>35</v>
      </c>
      <c r="D35" s="35" t="s">
        <v>40</v>
      </c>
      <c r="E35" s="35" t="s">
        <v>25</v>
      </c>
      <c r="F35" s="35" t="s">
        <v>25</v>
      </c>
      <c r="G35" s="35" t="s">
        <v>25</v>
      </c>
      <c r="H35" s="35" t="s">
        <v>36</v>
      </c>
      <c r="I35" s="54">
        <v>44682</v>
      </c>
      <c r="J35" s="55">
        <f>EFEITO!$J$35*EFEITO!$Y$35</f>
        <v>0</v>
      </c>
      <c r="K35" s="55">
        <f ca="1">EFEITO!$L$35*EFEITO!$Z$35</f>
        <v>222.10679343707818</v>
      </c>
      <c r="L35" s="55">
        <f>EFEITO!$N$35*EFEITO!$AA$35</f>
        <v>81.252062635166155</v>
      </c>
      <c r="M35" s="55">
        <f>$J$35-EFEITO!$K$35*EFEITO!$Y$35</f>
        <v>0</v>
      </c>
      <c r="N35" s="55">
        <f ca="1">$K$35-EFEITO!$M$35*EFEITO!$Z$35</f>
        <v>0</v>
      </c>
      <c r="O35" s="55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35" t="s">
        <v>21</v>
      </c>
      <c r="B36" s="35" t="s">
        <v>34</v>
      </c>
      <c r="C36" s="35" t="s">
        <v>35</v>
      </c>
      <c r="D36" s="35" t="s">
        <v>40</v>
      </c>
      <c r="E36" s="35" t="s">
        <v>25</v>
      </c>
      <c r="F36" s="35" t="s">
        <v>25</v>
      </c>
      <c r="G36" s="35" t="s">
        <v>25</v>
      </c>
      <c r="H36" s="35" t="s">
        <v>36</v>
      </c>
      <c r="I36" s="54">
        <v>44713</v>
      </c>
      <c r="J36" s="55">
        <f>EFEITO!$J$36*EFEITO!$Y$36</f>
        <v>0</v>
      </c>
      <c r="K36" s="55">
        <f ca="1">EFEITO!$L$36*EFEITO!$Z$36</f>
        <v>412.11722944105264</v>
      </c>
      <c r="L36" s="55">
        <f>EFEITO!$N$36*EFEITO!$AA$36</f>
        <v>150.76249772189792</v>
      </c>
      <c r="M36" s="55">
        <f>$J$36-EFEITO!$K$36*EFEITO!$Y$36</f>
        <v>0</v>
      </c>
      <c r="N36" s="55">
        <f ca="1">$K$36-EFEITO!$M$36*EFEITO!$Z$36</f>
        <v>0</v>
      </c>
      <c r="O36" s="55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35" t="s">
        <v>21</v>
      </c>
      <c r="B37" s="35" t="s">
        <v>34</v>
      </c>
      <c r="C37" s="35" t="s">
        <v>35</v>
      </c>
      <c r="D37" s="35" t="s">
        <v>40</v>
      </c>
      <c r="E37" s="35" t="s">
        <v>25</v>
      </c>
      <c r="F37" s="35" t="s">
        <v>25</v>
      </c>
      <c r="G37" s="35" t="s">
        <v>25</v>
      </c>
      <c r="H37" s="35" t="s">
        <v>36</v>
      </c>
      <c r="I37" s="54">
        <v>44743</v>
      </c>
      <c r="J37" s="55">
        <f>EFEITO!$J$37*EFEITO!$Y$37</f>
        <v>0</v>
      </c>
      <c r="K37" s="55">
        <f ca="1">EFEITO!$L$37*EFEITO!$Z$37</f>
        <v>581.58599668784063</v>
      </c>
      <c r="L37" s="55">
        <f>EFEITO!$N$37*EFEITO!$AA$37</f>
        <v>212.75829117763163</v>
      </c>
      <c r="M37" s="55">
        <f>$J$37-EFEITO!$K$37*EFEITO!$Y$37</f>
        <v>0</v>
      </c>
      <c r="N37" s="55">
        <f ca="1">$K$37-EFEITO!$M$37*EFEITO!$Z$37</f>
        <v>0</v>
      </c>
      <c r="O37" s="55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35" t="s">
        <v>21</v>
      </c>
      <c r="B38" s="35" t="s">
        <v>34</v>
      </c>
      <c r="C38" s="35" t="s">
        <v>35</v>
      </c>
      <c r="D38" s="35" t="s">
        <v>33</v>
      </c>
      <c r="E38" s="35" t="s">
        <v>25</v>
      </c>
      <c r="F38" s="35" t="s">
        <v>50</v>
      </c>
      <c r="G38" s="35" t="s">
        <v>25</v>
      </c>
      <c r="H38" s="35" t="s">
        <v>37</v>
      </c>
      <c r="I38" s="54">
        <v>44409</v>
      </c>
      <c r="J38" s="55">
        <f>EFEITO!$J$38*EFEITO!$Y$38</f>
        <v>0</v>
      </c>
      <c r="K38" s="55">
        <f ca="1">EFEITO!$L$38*EFEITO!$Z$38</f>
        <v>43938.195663306164</v>
      </c>
      <c r="L38" s="55">
        <f>EFEITO!$N$38*EFEITO!$AA$38</f>
        <v>0</v>
      </c>
      <c r="M38" s="55">
        <f>$J$38-EFEITO!$K$38*EFEITO!$Y$38</f>
        <v>0</v>
      </c>
      <c r="N38" s="55">
        <f ca="1">$K$38-EFEITO!$M$38*EFEITO!$Z$38</f>
        <v>0</v>
      </c>
      <c r="O38" s="55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35" t="s">
        <v>21</v>
      </c>
      <c r="B39" s="35" t="s">
        <v>34</v>
      </c>
      <c r="C39" s="35" t="s">
        <v>35</v>
      </c>
      <c r="D39" s="35" t="s">
        <v>33</v>
      </c>
      <c r="E39" s="35" t="s">
        <v>25</v>
      </c>
      <c r="F39" s="35" t="s">
        <v>50</v>
      </c>
      <c r="G39" s="35" t="s">
        <v>25</v>
      </c>
      <c r="H39" s="35" t="s">
        <v>37</v>
      </c>
      <c r="I39" s="54">
        <v>44440</v>
      </c>
      <c r="J39" s="55">
        <f>EFEITO!$J$39*EFEITO!$Y$39</f>
        <v>0</v>
      </c>
      <c r="K39" s="55">
        <f ca="1">EFEITO!$L$39*EFEITO!$Z$39</f>
        <v>41162.509081997283</v>
      </c>
      <c r="L39" s="55">
        <f>EFEITO!$N$39*EFEITO!$AA$39</f>
        <v>0</v>
      </c>
      <c r="M39" s="55">
        <f>$J$39-EFEITO!$K$39*EFEITO!$Y$39</f>
        <v>0</v>
      </c>
      <c r="N39" s="55">
        <f ca="1">$K$39-EFEITO!$M$39*EFEITO!$Z$39</f>
        <v>0</v>
      </c>
      <c r="O39" s="55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35" t="s">
        <v>21</v>
      </c>
      <c r="B40" s="35" t="s">
        <v>34</v>
      </c>
      <c r="C40" s="35" t="s">
        <v>35</v>
      </c>
      <c r="D40" s="35" t="s">
        <v>33</v>
      </c>
      <c r="E40" s="35" t="s">
        <v>25</v>
      </c>
      <c r="F40" s="35" t="s">
        <v>50</v>
      </c>
      <c r="G40" s="35" t="s">
        <v>25</v>
      </c>
      <c r="H40" s="35" t="s">
        <v>37</v>
      </c>
      <c r="I40" s="54">
        <v>44470</v>
      </c>
      <c r="J40" s="55">
        <f>EFEITO!$J$40*EFEITO!$Y$40</f>
        <v>0</v>
      </c>
      <c r="K40" s="55">
        <f ca="1">EFEITO!$L$40*EFEITO!$Z$40</f>
        <v>42233.050904582706</v>
      </c>
      <c r="L40" s="55">
        <f>EFEITO!$N$40*EFEITO!$AA$40</f>
        <v>0</v>
      </c>
      <c r="M40" s="55">
        <f>$J$40-EFEITO!$K$40*EFEITO!$Y$40</f>
        <v>0</v>
      </c>
      <c r="N40" s="55">
        <f ca="1">$K$40-EFEITO!$M$40*EFEITO!$Z$40</f>
        <v>0</v>
      </c>
      <c r="O40" s="55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35" t="s">
        <v>21</v>
      </c>
      <c r="B41" s="35" t="s">
        <v>34</v>
      </c>
      <c r="C41" s="35" t="s">
        <v>35</v>
      </c>
      <c r="D41" s="35" t="s">
        <v>33</v>
      </c>
      <c r="E41" s="35" t="s">
        <v>25</v>
      </c>
      <c r="F41" s="35" t="s">
        <v>50</v>
      </c>
      <c r="G41" s="35" t="s">
        <v>25</v>
      </c>
      <c r="H41" s="35" t="s">
        <v>37</v>
      </c>
      <c r="I41" s="54">
        <v>44501</v>
      </c>
      <c r="J41" s="55">
        <f>EFEITO!$J$41*EFEITO!$Y$41</f>
        <v>0</v>
      </c>
      <c r="K41" s="55">
        <f ca="1">EFEITO!$L$41*EFEITO!$Z$41</f>
        <v>54166.644166315098</v>
      </c>
      <c r="L41" s="55">
        <f>EFEITO!$N$41*EFEITO!$AA$41</f>
        <v>0</v>
      </c>
      <c r="M41" s="55">
        <f>$J$41-EFEITO!$K$41*EFEITO!$Y$41</f>
        <v>0</v>
      </c>
      <c r="N41" s="55">
        <f ca="1">$K$41-EFEITO!$M$41*EFEITO!$Z$41</f>
        <v>0</v>
      </c>
      <c r="O41" s="55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35" t="s">
        <v>21</v>
      </c>
      <c r="B42" s="35" t="s">
        <v>34</v>
      </c>
      <c r="C42" s="35" t="s">
        <v>35</v>
      </c>
      <c r="D42" s="35" t="s">
        <v>33</v>
      </c>
      <c r="E42" s="35" t="s">
        <v>25</v>
      </c>
      <c r="F42" s="35" t="s">
        <v>50</v>
      </c>
      <c r="G42" s="35" t="s">
        <v>25</v>
      </c>
      <c r="H42" s="35" t="s">
        <v>37</v>
      </c>
      <c r="I42" s="54">
        <v>44531</v>
      </c>
      <c r="J42" s="55">
        <f>EFEITO!$J$42*EFEITO!$Y$42</f>
        <v>0</v>
      </c>
      <c r="K42" s="55">
        <f ca="1">EFEITO!$L$42*EFEITO!$Z$42</f>
        <v>56369.109062719268</v>
      </c>
      <c r="L42" s="55">
        <f>EFEITO!$N$42*EFEITO!$AA$42</f>
        <v>0</v>
      </c>
      <c r="M42" s="55">
        <f>$J$42-EFEITO!$K$42*EFEITO!$Y$42</f>
        <v>0</v>
      </c>
      <c r="N42" s="55">
        <f ca="1">$K$42-EFEITO!$M$42*EFEITO!$Z$42</f>
        <v>0</v>
      </c>
      <c r="O42" s="55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35" t="s">
        <v>21</v>
      </c>
      <c r="B43" s="35" t="s">
        <v>34</v>
      </c>
      <c r="C43" s="35" t="s">
        <v>35</v>
      </c>
      <c r="D43" s="35" t="s">
        <v>33</v>
      </c>
      <c r="E43" s="35" t="s">
        <v>25</v>
      </c>
      <c r="F43" s="35" t="s">
        <v>50</v>
      </c>
      <c r="G43" s="35" t="s">
        <v>25</v>
      </c>
      <c r="H43" s="35" t="s">
        <v>37</v>
      </c>
      <c r="I43" s="54">
        <v>44562</v>
      </c>
      <c r="J43" s="55">
        <f>EFEITO!$J$43*EFEITO!$Y$43</f>
        <v>0</v>
      </c>
      <c r="K43" s="55">
        <f ca="1">EFEITO!$L$43*EFEITO!$Z$43</f>
        <v>56078.813145148066</v>
      </c>
      <c r="L43" s="55">
        <f>EFEITO!$N$43*EFEITO!$AA$43</f>
        <v>0</v>
      </c>
      <c r="M43" s="55">
        <f>$J$43-EFEITO!$K$43*EFEITO!$Y$43</f>
        <v>0</v>
      </c>
      <c r="N43" s="55">
        <f ca="1">$K$43-EFEITO!$M$43*EFEITO!$Z$43</f>
        <v>0</v>
      </c>
      <c r="O43" s="55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35" t="s">
        <v>21</v>
      </c>
      <c r="B44" s="35" t="s">
        <v>34</v>
      </c>
      <c r="C44" s="35" t="s">
        <v>35</v>
      </c>
      <c r="D44" s="35" t="s">
        <v>33</v>
      </c>
      <c r="E44" s="35" t="s">
        <v>25</v>
      </c>
      <c r="F44" s="35" t="s">
        <v>50</v>
      </c>
      <c r="G44" s="35" t="s">
        <v>25</v>
      </c>
      <c r="H44" s="35" t="s">
        <v>37</v>
      </c>
      <c r="I44" s="54">
        <v>44593</v>
      </c>
      <c r="J44" s="55">
        <f>EFEITO!$J$44*EFEITO!$Y$44</f>
        <v>0</v>
      </c>
      <c r="K44" s="55">
        <f ca="1">EFEITO!$L$44*EFEITO!$Z$44</f>
        <v>56229.186210445456</v>
      </c>
      <c r="L44" s="55">
        <f>EFEITO!$N$44*EFEITO!$AA$44</f>
        <v>0</v>
      </c>
      <c r="M44" s="55">
        <f>$J$44-EFEITO!$K$44*EFEITO!$Y$44</f>
        <v>0</v>
      </c>
      <c r="N44" s="55">
        <f ca="1">$K$44-EFEITO!$M$44*EFEITO!$Z$44</f>
        <v>0</v>
      </c>
      <c r="O44" s="55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35" t="s">
        <v>21</v>
      </c>
      <c r="B45" s="35" t="s">
        <v>34</v>
      </c>
      <c r="C45" s="35" t="s">
        <v>35</v>
      </c>
      <c r="D45" s="35" t="s">
        <v>33</v>
      </c>
      <c r="E45" s="35" t="s">
        <v>25</v>
      </c>
      <c r="F45" s="35" t="s">
        <v>50</v>
      </c>
      <c r="G45" s="35" t="s">
        <v>25</v>
      </c>
      <c r="H45" s="35" t="s">
        <v>37</v>
      </c>
      <c r="I45" s="54">
        <v>44621</v>
      </c>
      <c r="J45" s="55">
        <f>EFEITO!$J$45*EFEITO!$Y$45</f>
        <v>0</v>
      </c>
      <c r="K45" s="55">
        <f ca="1">EFEITO!$L$45*EFEITO!$Z$45</f>
        <v>63080.23586647123</v>
      </c>
      <c r="L45" s="55">
        <f>EFEITO!$N$45*EFEITO!$AA$45</f>
        <v>0</v>
      </c>
      <c r="M45" s="55">
        <f>$J$45-EFEITO!$K$45*EFEITO!$Y$45</f>
        <v>0</v>
      </c>
      <c r="N45" s="55">
        <f ca="1">$K$45-EFEITO!$M$45*EFEITO!$Z$45</f>
        <v>0</v>
      </c>
      <c r="O45" s="55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35" t="s">
        <v>21</v>
      </c>
      <c r="B46" s="35" t="s">
        <v>34</v>
      </c>
      <c r="C46" s="35" t="s">
        <v>35</v>
      </c>
      <c r="D46" s="35" t="s">
        <v>33</v>
      </c>
      <c r="E46" s="35" t="s">
        <v>25</v>
      </c>
      <c r="F46" s="35" t="s">
        <v>50</v>
      </c>
      <c r="G46" s="35" t="s">
        <v>25</v>
      </c>
      <c r="H46" s="35" t="s">
        <v>37</v>
      </c>
      <c r="I46" s="54">
        <v>44652</v>
      </c>
      <c r="J46" s="55">
        <f>EFEITO!$J$46*EFEITO!$Y$46</f>
        <v>0</v>
      </c>
      <c r="K46" s="55">
        <f ca="1">EFEITO!$L$46*EFEITO!$Z$46</f>
        <v>55627.253940286457</v>
      </c>
      <c r="L46" s="55">
        <f>EFEITO!$N$46*EFEITO!$AA$46</f>
        <v>0</v>
      </c>
      <c r="M46" s="55">
        <f>$J$46-EFEITO!$K$46*EFEITO!$Y$46</f>
        <v>0</v>
      </c>
      <c r="N46" s="55">
        <f ca="1">$K$46-EFEITO!$M$46*EFEITO!$Z$46</f>
        <v>0</v>
      </c>
      <c r="O46" s="55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35" t="s">
        <v>21</v>
      </c>
      <c r="B47" s="35" t="s">
        <v>34</v>
      </c>
      <c r="C47" s="35" t="s">
        <v>35</v>
      </c>
      <c r="D47" s="35" t="s">
        <v>33</v>
      </c>
      <c r="E47" s="35" t="s">
        <v>25</v>
      </c>
      <c r="F47" s="35" t="s">
        <v>50</v>
      </c>
      <c r="G47" s="35" t="s">
        <v>25</v>
      </c>
      <c r="H47" s="35" t="s">
        <v>37</v>
      </c>
      <c r="I47" s="54">
        <v>44682</v>
      </c>
      <c r="J47" s="55">
        <f>EFEITO!$J$47*EFEITO!$Y$47</f>
        <v>0</v>
      </c>
      <c r="K47" s="55">
        <f ca="1">EFEITO!$L$47*EFEITO!$Z$47</f>
        <v>56668.975175375235</v>
      </c>
      <c r="L47" s="55">
        <f>EFEITO!$N$47*EFEITO!$AA$47</f>
        <v>0</v>
      </c>
      <c r="M47" s="55">
        <f>$J$47-EFEITO!$K$47*EFEITO!$Y$47</f>
        <v>0</v>
      </c>
      <c r="N47" s="55">
        <f ca="1">$K$47-EFEITO!$M$47*EFEITO!$Z$47</f>
        <v>0</v>
      </c>
      <c r="O47" s="55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35" t="s">
        <v>21</v>
      </c>
      <c r="B48" s="35" t="s">
        <v>34</v>
      </c>
      <c r="C48" s="35" t="s">
        <v>35</v>
      </c>
      <c r="D48" s="35" t="s">
        <v>33</v>
      </c>
      <c r="E48" s="35" t="s">
        <v>25</v>
      </c>
      <c r="F48" s="35" t="s">
        <v>50</v>
      </c>
      <c r="G48" s="35" t="s">
        <v>25</v>
      </c>
      <c r="H48" s="35" t="s">
        <v>37</v>
      </c>
      <c r="I48" s="54">
        <v>44713</v>
      </c>
      <c r="J48" s="55">
        <f>EFEITO!$J$48*EFEITO!$Y$48</f>
        <v>0</v>
      </c>
      <c r="K48" s="55">
        <f ca="1">EFEITO!$L$48*EFEITO!$Z$48</f>
        <v>56619.474166316104</v>
      </c>
      <c r="L48" s="55">
        <f>EFEITO!$N$48*EFEITO!$AA$48</f>
        <v>0</v>
      </c>
      <c r="M48" s="55">
        <f>$J$48-EFEITO!$K$48*EFEITO!$Y$48</f>
        <v>0</v>
      </c>
      <c r="N48" s="55">
        <f ca="1">$K$48-EFEITO!$M$48*EFEITO!$Z$48</f>
        <v>0</v>
      </c>
      <c r="O48" s="55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35" t="s">
        <v>21</v>
      </c>
      <c r="B49" s="35" t="s">
        <v>34</v>
      </c>
      <c r="C49" s="35" t="s">
        <v>35</v>
      </c>
      <c r="D49" s="35" t="s">
        <v>33</v>
      </c>
      <c r="E49" s="35" t="s">
        <v>25</v>
      </c>
      <c r="F49" s="35" t="s">
        <v>50</v>
      </c>
      <c r="G49" s="35" t="s">
        <v>25</v>
      </c>
      <c r="H49" s="35" t="s">
        <v>37</v>
      </c>
      <c r="I49" s="54">
        <v>44743</v>
      </c>
      <c r="J49" s="55">
        <f>EFEITO!$J$49*EFEITO!$Y$49</f>
        <v>0</v>
      </c>
      <c r="K49" s="55">
        <f ca="1">EFEITO!$L$49*EFEITO!$Z$49</f>
        <v>57804.858329918708</v>
      </c>
      <c r="L49" s="55">
        <f>EFEITO!$N$49*EFEITO!$AA$49</f>
        <v>0</v>
      </c>
      <c r="M49" s="55">
        <f>$J$49-EFEITO!$K$49*EFEITO!$Y$49</f>
        <v>0</v>
      </c>
      <c r="N49" s="55">
        <f ca="1">$K$49-EFEITO!$M$49*EFEITO!$Z$49</f>
        <v>0</v>
      </c>
      <c r="O49" s="55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35" t="s">
        <v>21</v>
      </c>
      <c r="B50" s="35" t="s">
        <v>34</v>
      </c>
      <c r="C50" s="35" t="s">
        <v>35</v>
      </c>
      <c r="D50" s="35" t="s">
        <v>33</v>
      </c>
      <c r="E50" s="35" t="s">
        <v>25</v>
      </c>
      <c r="F50" s="35" t="s">
        <v>50</v>
      </c>
      <c r="G50" s="35" t="s">
        <v>25</v>
      </c>
      <c r="H50" s="35" t="s">
        <v>25</v>
      </c>
      <c r="I50" s="54">
        <v>44409</v>
      </c>
      <c r="J50" s="55">
        <f ca="1">EFEITO!$J$50*EFEITO!$Y$50</f>
        <v>23013.00651369166</v>
      </c>
      <c r="K50" s="55">
        <f>EFEITO!$L$50*EFEITO!$Z$50</f>
        <v>0</v>
      </c>
      <c r="L50" s="55">
        <f>EFEITO!$N$50*EFEITO!$AA$50</f>
        <v>0</v>
      </c>
      <c r="M50" s="55">
        <f ca="1">$J$50-EFEITO!$K$50*EFEITO!$Y$50</f>
        <v>10566.621693658066</v>
      </c>
      <c r="N50" s="55">
        <f>$K$50-EFEITO!$M$50*EFEITO!$Z$50</f>
        <v>0</v>
      </c>
      <c r="O50" s="55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35" t="s">
        <v>21</v>
      </c>
      <c r="B51" s="35" t="s">
        <v>34</v>
      </c>
      <c r="C51" s="35" t="s">
        <v>35</v>
      </c>
      <c r="D51" s="35" t="s">
        <v>33</v>
      </c>
      <c r="E51" s="35" t="s">
        <v>25</v>
      </c>
      <c r="F51" s="35" t="s">
        <v>50</v>
      </c>
      <c r="G51" s="35" t="s">
        <v>25</v>
      </c>
      <c r="H51" s="35" t="s">
        <v>25</v>
      </c>
      <c r="I51" s="54">
        <v>44440</v>
      </c>
      <c r="J51" s="55">
        <f ca="1">EFEITO!$J$51*EFEITO!$Y$51</f>
        <v>23013.00651369166</v>
      </c>
      <c r="K51" s="55">
        <f>EFEITO!$L$51*EFEITO!$Z$51</f>
        <v>0</v>
      </c>
      <c r="L51" s="55">
        <f>EFEITO!$N$51*EFEITO!$AA$51</f>
        <v>0</v>
      </c>
      <c r="M51" s="55">
        <f ca="1">$J$51-EFEITO!$K$51*EFEITO!$Y$51</f>
        <v>10439.966620619118</v>
      </c>
      <c r="N51" s="55">
        <f>$K$51-EFEITO!$M$51*EFEITO!$Z$51</f>
        <v>0</v>
      </c>
      <c r="O51" s="55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35" t="s">
        <v>21</v>
      </c>
      <c r="B52" s="35" t="s">
        <v>34</v>
      </c>
      <c r="C52" s="35" t="s">
        <v>35</v>
      </c>
      <c r="D52" s="35" t="s">
        <v>33</v>
      </c>
      <c r="E52" s="35" t="s">
        <v>25</v>
      </c>
      <c r="F52" s="35" t="s">
        <v>50</v>
      </c>
      <c r="G52" s="35" t="s">
        <v>25</v>
      </c>
      <c r="H52" s="35" t="s">
        <v>25</v>
      </c>
      <c r="I52" s="54">
        <v>44470</v>
      </c>
      <c r="J52" s="55">
        <f ca="1">EFEITO!$J$52*EFEITO!$Y$52</f>
        <v>23013.00651369166</v>
      </c>
      <c r="K52" s="55">
        <f>EFEITO!$L$52*EFEITO!$Z$52</f>
        <v>0</v>
      </c>
      <c r="L52" s="55">
        <f>EFEITO!$N$52*EFEITO!$AA$52</f>
        <v>0</v>
      </c>
      <c r="M52" s="55">
        <f ca="1">$J$52-EFEITO!$K$52*EFEITO!$Y$52</f>
        <v>10377.68905252183</v>
      </c>
      <c r="N52" s="55">
        <f>$K$52-EFEITO!$M$52*EFEITO!$Z$52</f>
        <v>0</v>
      </c>
      <c r="O52" s="55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35" t="s">
        <v>21</v>
      </c>
      <c r="B53" s="35" t="s">
        <v>34</v>
      </c>
      <c r="C53" s="35" t="s">
        <v>35</v>
      </c>
      <c r="D53" s="35" t="s">
        <v>33</v>
      </c>
      <c r="E53" s="35" t="s">
        <v>25</v>
      </c>
      <c r="F53" s="35" t="s">
        <v>50</v>
      </c>
      <c r="G53" s="35" t="s">
        <v>25</v>
      </c>
      <c r="H53" s="35" t="s">
        <v>25</v>
      </c>
      <c r="I53" s="54">
        <v>44501</v>
      </c>
      <c r="J53" s="55">
        <f ca="1">EFEITO!$J$53*EFEITO!$Y$53</f>
        <v>24553.107718838717</v>
      </c>
      <c r="K53" s="55">
        <f>EFEITO!$L$53*EFEITO!$Z$53</f>
        <v>0</v>
      </c>
      <c r="L53" s="55">
        <f>EFEITO!$N$53*EFEITO!$AA$53</f>
        <v>0</v>
      </c>
      <c r="M53" s="55">
        <f ca="1">$J$53-EFEITO!$K$53*EFEITO!$Y$53</f>
        <v>12180.46993745215</v>
      </c>
      <c r="N53" s="55">
        <f>$K$53-EFEITO!$M$53*EFEITO!$Z$53</f>
        <v>0</v>
      </c>
      <c r="O53" s="55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35" t="s">
        <v>21</v>
      </c>
      <c r="B54" s="35" t="s">
        <v>34</v>
      </c>
      <c r="C54" s="35" t="s">
        <v>35</v>
      </c>
      <c r="D54" s="35" t="s">
        <v>33</v>
      </c>
      <c r="E54" s="35" t="s">
        <v>25</v>
      </c>
      <c r="F54" s="35" t="s">
        <v>50</v>
      </c>
      <c r="G54" s="35" t="s">
        <v>25</v>
      </c>
      <c r="H54" s="35" t="s">
        <v>25</v>
      </c>
      <c r="I54" s="54">
        <v>44531</v>
      </c>
      <c r="J54" s="55">
        <f ca="1">EFEITO!$J$54*EFEITO!$Y$54</f>
        <v>27544.798565618632</v>
      </c>
      <c r="K54" s="55">
        <f>EFEITO!$L$54*EFEITO!$Z$54</f>
        <v>0</v>
      </c>
      <c r="L54" s="55">
        <f>EFEITO!$N$54*EFEITO!$AA$54</f>
        <v>0</v>
      </c>
      <c r="M54" s="55">
        <f ca="1">$J$54-EFEITO!$K$54*EFEITO!$Y$54</f>
        <v>13141.56885695549</v>
      </c>
      <c r="N54" s="55">
        <f>$K$54-EFEITO!$M$54*EFEITO!$Z$54</f>
        <v>0</v>
      </c>
      <c r="O54" s="55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35" t="s">
        <v>21</v>
      </c>
      <c r="B55" s="35" t="s">
        <v>34</v>
      </c>
      <c r="C55" s="35" t="s">
        <v>35</v>
      </c>
      <c r="D55" s="35" t="s">
        <v>33</v>
      </c>
      <c r="E55" s="35" t="s">
        <v>25</v>
      </c>
      <c r="F55" s="35" t="s">
        <v>50</v>
      </c>
      <c r="G55" s="35" t="s">
        <v>25</v>
      </c>
      <c r="H55" s="35" t="s">
        <v>25</v>
      </c>
      <c r="I55" s="54">
        <v>44562</v>
      </c>
      <c r="J55" s="55">
        <f ca="1">EFEITO!$J$55*EFEITO!$Y$55</f>
        <v>27403.180063995915</v>
      </c>
      <c r="K55" s="55">
        <f>EFEITO!$L$55*EFEITO!$Z$55</f>
        <v>0</v>
      </c>
      <c r="L55" s="55">
        <f>EFEITO!$N$55*EFEITO!$AA$55</f>
        <v>0</v>
      </c>
      <c r="M55" s="55">
        <f ca="1">$J$55-EFEITO!$K$55*EFEITO!$Y$55</f>
        <v>13196.014787375463</v>
      </c>
      <c r="N55" s="55">
        <f>$K$55-EFEITO!$M$55*EFEITO!$Z$55</f>
        <v>0</v>
      </c>
      <c r="O55" s="55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35" t="s">
        <v>21</v>
      </c>
      <c r="B56" s="35" t="s">
        <v>34</v>
      </c>
      <c r="C56" s="35" t="s">
        <v>35</v>
      </c>
      <c r="D56" s="35" t="s">
        <v>33</v>
      </c>
      <c r="E56" s="35" t="s">
        <v>25</v>
      </c>
      <c r="F56" s="35" t="s">
        <v>50</v>
      </c>
      <c r="G56" s="35" t="s">
        <v>25</v>
      </c>
      <c r="H56" s="35" t="s">
        <v>25</v>
      </c>
      <c r="I56" s="54">
        <v>44593</v>
      </c>
      <c r="J56" s="55">
        <f ca="1">EFEITO!$J$56*EFEITO!$Y$56</f>
        <v>27226.156936967516</v>
      </c>
      <c r="K56" s="55">
        <f>EFEITO!$L$56*EFEITO!$Z$56</f>
        <v>0</v>
      </c>
      <c r="L56" s="55">
        <f>EFEITO!$N$56*EFEITO!$AA$56</f>
        <v>0</v>
      </c>
      <c r="M56" s="55">
        <f ca="1">$J$56-EFEITO!$K$56*EFEITO!$Y$56</f>
        <v>13011.259516039976</v>
      </c>
      <c r="N56" s="55">
        <f>$K$56-EFEITO!$M$56*EFEITO!$Z$56</f>
        <v>0</v>
      </c>
      <c r="O56" s="55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35" t="s">
        <v>21</v>
      </c>
      <c r="B57" s="35" t="s">
        <v>34</v>
      </c>
      <c r="C57" s="35" t="s">
        <v>35</v>
      </c>
      <c r="D57" s="35" t="s">
        <v>33</v>
      </c>
      <c r="E57" s="35" t="s">
        <v>25</v>
      </c>
      <c r="F57" s="35" t="s">
        <v>50</v>
      </c>
      <c r="G57" s="35" t="s">
        <v>25</v>
      </c>
      <c r="H57" s="35" t="s">
        <v>25</v>
      </c>
      <c r="I57" s="54">
        <v>44621</v>
      </c>
      <c r="J57" s="55">
        <f ca="1">EFEITO!$J$57*EFEITO!$Y$57</f>
        <v>28695.448891303215</v>
      </c>
      <c r="K57" s="55">
        <f>EFEITO!$L$57*EFEITO!$Z$57</f>
        <v>0</v>
      </c>
      <c r="L57" s="55">
        <f>EFEITO!$N$57*EFEITO!$AA$57</f>
        <v>0</v>
      </c>
      <c r="M57" s="55">
        <f ca="1">$J$57-EFEITO!$K$57*EFEITO!$Y$57</f>
        <v>14245.282553973122</v>
      </c>
      <c r="N57" s="55">
        <f>$K$57-EFEITO!$M$57*EFEITO!$Z$57</f>
        <v>0</v>
      </c>
      <c r="O57" s="55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35" t="s">
        <v>21</v>
      </c>
      <c r="B58" s="35" t="s">
        <v>34</v>
      </c>
      <c r="C58" s="35" t="s">
        <v>35</v>
      </c>
      <c r="D58" s="35" t="s">
        <v>33</v>
      </c>
      <c r="E58" s="35" t="s">
        <v>25</v>
      </c>
      <c r="F58" s="35" t="s">
        <v>50</v>
      </c>
      <c r="G58" s="35" t="s">
        <v>25</v>
      </c>
      <c r="H58" s="35" t="s">
        <v>25</v>
      </c>
      <c r="I58" s="54">
        <v>44652</v>
      </c>
      <c r="J58" s="55">
        <f ca="1">EFEITO!$J$58*EFEITO!$Y$58</f>
        <v>27828.035568864067</v>
      </c>
      <c r="K58" s="55">
        <f>EFEITO!$L$58*EFEITO!$Z$58</f>
        <v>0</v>
      </c>
      <c r="L58" s="55">
        <f>EFEITO!$N$58*EFEITO!$AA$58</f>
        <v>0</v>
      </c>
      <c r="M58" s="55">
        <f ca="1">$J$58-EFEITO!$K$58*EFEITO!$Y$58</f>
        <v>13270.155794709177</v>
      </c>
      <c r="N58" s="55">
        <f>$K$58-EFEITO!$M$58*EFEITO!$Z$58</f>
        <v>0</v>
      </c>
      <c r="O58" s="55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35" t="s">
        <v>21</v>
      </c>
      <c r="B59" s="35" t="s">
        <v>34</v>
      </c>
      <c r="C59" s="35" t="s">
        <v>35</v>
      </c>
      <c r="D59" s="35" t="s">
        <v>33</v>
      </c>
      <c r="E59" s="35" t="s">
        <v>25</v>
      </c>
      <c r="F59" s="35" t="s">
        <v>50</v>
      </c>
      <c r="G59" s="35" t="s">
        <v>25</v>
      </c>
      <c r="H59" s="35" t="s">
        <v>25</v>
      </c>
      <c r="I59" s="54">
        <v>44682</v>
      </c>
      <c r="J59" s="55">
        <f ca="1">EFEITO!$J$59*EFEITO!$Y$59</f>
        <v>28359.104949949258</v>
      </c>
      <c r="K59" s="55">
        <f>EFEITO!$L$59*EFEITO!$Z$59</f>
        <v>0</v>
      </c>
      <c r="L59" s="55">
        <f>EFEITO!$N$59*EFEITO!$AA$59</f>
        <v>0</v>
      </c>
      <c r="M59" s="55">
        <f ca="1">$J$59-EFEITO!$K$59*EFEITO!$Y$59</f>
        <v>14129.180749171479</v>
      </c>
      <c r="N59" s="55">
        <f>$K$59-EFEITO!$M$59*EFEITO!$Z$59</f>
        <v>0</v>
      </c>
      <c r="O59" s="55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35" t="s">
        <v>21</v>
      </c>
      <c r="B60" s="35" t="s">
        <v>34</v>
      </c>
      <c r="C60" s="35" t="s">
        <v>35</v>
      </c>
      <c r="D60" s="35" t="s">
        <v>33</v>
      </c>
      <c r="E60" s="35" t="s">
        <v>25</v>
      </c>
      <c r="F60" s="35" t="s">
        <v>50</v>
      </c>
      <c r="G60" s="35" t="s">
        <v>25</v>
      </c>
      <c r="H60" s="35" t="s">
        <v>25</v>
      </c>
      <c r="I60" s="54">
        <v>44713</v>
      </c>
      <c r="J60" s="55">
        <f ca="1">EFEITO!$J$60*EFEITO!$Y$60</f>
        <v>27420.882376698755</v>
      </c>
      <c r="K60" s="55">
        <f>EFEITO!$L$60*EFEITO!$Z$60</f>
        <v>0</v>
      </c>
      <c r="L60" s="55">
        <f>EFEITO!$N$60*EFEITO!$AA$60</f>
        <v>0</v>
      </c>
      <c r="M60" s="55">
        <f ca="1">$J$60-EFEITO!$K$60*EFEITO!$Y$60</f>
        <v>13075.999571249695</v>
      </c>
      <c r="N60" s="55">
        <f>$K$60-EFEITO!$M$60*EFEITO!$Z$60</f>
        <v>0</v>
      </c>
      <c r="O60" s="55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35" t="s">
        <v>21</v>
      </c>
      <c r="B61" s="35" t="s">
        <v>34</v>
      </c>
      <c r="C61" s="35" t="s">
        <v>35</v>
      </c>
      <c r="D61" s="35" t="s">
        <v>33</v>
      </c>
      <c r="E61" s="35" t="s">
        <v>25</v>
      </c>
      <c r="F61" s="35" t="s">
        <v>50</v>
      </c>
      <c r="G61" s="35" t="s">
        <v>25</v>
      </c>
      <c r="H61" s="35" t="s">
        <v>25</v>
      </c>
      <c r="I61" s="54">
        <v>44743</v>
      </c>
      <c r="J61" s="55">
        <f ca="1">EFEITO!$J$61*EFEITO!$Y$61</f>
        <v>27597.90550372715</v>
      </c>
      <c r="K61" s="55">
        <f>EFEITO!$L$61*EFEITO!$Z$61</f>
        <v>0</v>
      </c>
      <c r="L61" s="55">
        <f>EFEITO!$N$61*EFEITO!$AA$61</f>
        <v>0</v>
      </c>
      <c r="M61" s="55">
        <f ca="1">$J$61-EFEITO!$K$61*EFEITO!$Y$61</f>
        <v>13749.933076128798</v>
      </c>
      <c r="N61" s="55">
        <f>$K$61-EFEITO!$M$61*EFEITO!$Z$61</f>
        <v>0</v>
      </c>
      <c r="O61" s="55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35" t="s">
        <v>21</v>
      </c>
      <c r="B62" s="35" t="s">
        <v>34</v>
      </c>
      <c r="C62" s="35" t="s">
        <v>35</v>
      </c>
      <c r="D62" s="35" t="s">
        <v>33</v>
      </c>
      <c r="E62" s="35" t="s">
        <v>25</v>
      </c>
      <c r="F62" s="35" t="s">
        <v>50</v>
      </c>
      <c r="G62" s="35" t="s">
        <v>25</v>
      </c>
      <c r="H62" s="35" t="s">
        <v>36</v>
      </c>
      <c r="I62" s="54">
        <v>44409</v>
      </c>
      <c r="J62" s="55">
        <f>EFEITO!$J$62*EFEITO!$Y$62</f>
        <v>0</v>
      </c>
      <c r="K62" s="55">
        <f ca="1">EFEITO!$L$62*EFEITO!$Z$62</f>
        <v>48578.478902151248</v>
      </c>
      <c r="L62" s="55">
        <f>EFEITO!$N$62*EFEITO!$AA$62</f>
        <v>0</v>
      </c>
      <c r="M62" s="55">
        <f>$J$62-EFEITO!$K$62*EFEITO!$Y$62</f>
        <v>0</v>
      </c>
      <c r="N62" s="55">
        <f ca="1">$K$62-EFEITO!$M$62*EFEITO!$Z$62</f>
        <v>21367.173020532031</v>
      </c>
      <c r="O62" s="55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35" t="s">
        <v>21</v>
      </c>
      <c r="B63" s="35" t="s">
        <v>34</v>
      </c>
      <c r="C63" s="35" t="s">
        <v>35</v>
      </c>
      <c r="D63" s="35" t="s">
        <v>33</v>
      </c>
      <c r="E63" s="35" t="s">
        <v>25</v>
      </c>
      <c r="F63" s="35" t="s">
        <v>50</v>
      </c>
      <c r="G63" s="35" t="s">
        <v>25</v>
      </c>
      <c r="H63" s="35" t="s">
        <v>36</v>
      </c>
      <c r="I63" s="54">
        <v>44440</v>
      </c>
      <c r="J63" s="55">
        <f>EFEITO!$J$63*EFEITO!$Y$63</f>
        <v>0</v>
      </c>
      <c r="K63" s="55">
        <f ca="1">EFEITO!$L$63*EFEITO!$Z$63</f>
        <v>44370.004515522676</v>
      </c>
      <c r="L63" s="55">
        <f>EFEITO!$N$63*EFEITO!$AA$63</f>
        <v>0</v>
      </c>
      <c r="M63" s="55">
        <f>$J$63-EFEITO!$K$63*EFEITO!$Y$63</f>
        <v>0</v>
      </c>
      <c r="N63" s="55">
        <f ca="1">$K$63-EFEITO!$M$63*EFEITO!$Z$63</f>
        <v>19133.198738580166</v>
      </c>
      <c r="O63" s="55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35" t="s">
        <v>21</v>
      </c>
      <c r="B64" s="35" t="s">
        <v>34</v>
      </c>
      <c r="C64" s="35" t="s">
        <v>35</v>
      </c>
      <c r="D64" s="35" t="s">
        <v>33</v>
      </c>
      <c r="E64" s="35" t="s">
        <v>25</v>
      </c>
      <c r="F64" s="35" t="s">
        <v>50</v>
      </c>
      <c r="G64" s="35" t="s">
        <v>25</v>
      </c>
      <c r="H64" s="35" t="s">
        <v>36</v>
      </c>
      <c r="I64" s="54">
        <v>44470</v>
      </c>
      <c r="J64" s="55">
        <f>EFEITO!$J$64*EFEITO!$Y$64</f>
        <v>0</v>
      </c>
      <c r="K64" s="55">
        <f ca="1">EFEITO!$L$64*EFEITO!$Z$64</f>
        <v>44742.322261746682</v>
      </c>
      <c r="L64" s="55">
        <f>EFEITO!$N$64*EFEITO!$AA$64</f>
        <v>0</v>
      </c>
      <c r="M64" s="55">
        <f>$J$64-EFEITO!$K$64*EFEITO!$Y$64</f>
        <v>0</v>
      </c>
      <c r="N64" s="55">
        <f ca="1">$K$64-EFEITO!$M$64*EFEITO!$Z$64</f>
        <v>19178.656394029036</v>
      </c>
      <c r="O64" s="55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35" t="s">
        <v>21</v>
      </c>
      <c r="B65" s="35" t="s">
        <v>34</v>
      </c>
      <c r="C65" s="35" t="s">
        <v>35</v>
      </c>
      <c r="D65" s="35" t="s">
        <v>33</v>
      </c>
      <c r="E65" s="35" t="s">
        <v>25</v>
      </c>
      <c r="F65" s="35" t="s">
        <v>50</v>
      </c>
      <c r="G65" s="35" t="s">
        <v>25</v>
      </c>
      <c r="H65" s="35" t="s">
        <v>36</v>
      </c>
      <c r="I65" s="54">
        <v>44501</v>
      </c>
      <c r="J65" s="55">
        <f>EFEITO!$J$65*EFEITO!$Y$65</f>
        <v>0</v>
      </c>
      <c r="K65" s="55">
        <f ca="1">EFEITO!$L$65*EFEITO!$Z$65</f>
        <v>58387.125733707762</v>
      </c>
      <c r="L65" s="55">
        <f>EFEITO!$N$65*EFEITO!$AA$65</f>
        <v>0</v>
      </c>
      <c r="M65" s="55">
        <f>$J$65-EFEITO!$K$65*EFEITO!$Y$65</f>
        <v>0</v>
      </c>
      <c r="N65" s="55">
        <f ca="1">$K$65-EFEITO!$M$65*EFEITO!$Z$65</f>
        <v>27532.588101089139</v>
      </c>
      <c r="O65" s="55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35" t="s">
        <v>21</v>
      </c>
      <c r="B66" s="35" t="s">
        <v>34</v>
      </c>
      <c r="C66" s="35" t="s">
        <v>35</v>
      </c>
      <c r="D66" s="35" t="s">
        <v>33</v>
      </c>
      <c r="E66" s="35" t="s">
        <v>25</v>
      </c>
      <c r="F66" s="35" t="s">
        <v>50</v>
      </c>
      <c r="G66" s="35" t="s">
        <v>25</v>
      </c>
      <c r="H66" s="35" t="s">
        <v>36</v>
      </c>
      <c r="I66" s="54">
        <v>44531</v>
      </c>
      <c r="J66" s="55">
        <f>EFEITO!$J$66*EFEITO!$Y$66</f>
        <v>0</v>
      </c>
      <c r="K66" s="55">
        <f ca="1">EFEITO!$L$66*EFEITO!$Z$66</f>
        <v>67529.452184953043</v>
      </c>
      <c r="L66" s="55">
        <f>EFEITO!$N$66*EFEITO!$AA$66</f>
        <v>0</v>
      </c>
      <c r="M66" s="55">
        <f>$J$66-EFEITO!$K$66*EFEITO!$Y$66</f>
        <v>0</v>
      </c>
      <c r="N66" s="55">
        <f ca="1">$K$66-EFEITO!$M$66*EFEITO!$Z$66</f>
        <v>30624.795648342319</v>
      </c>
      <c r="O66" s="55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35" t="s">
        <v>21</v>
      </c>
      <c r="B67" s="35" t="s">
        <v>34</v>
      </c>
      <c r="C67" s="35" t="s">
        <v>35</v>
      </c>
      <c r="D67" s="35" t="s">
        <v>33</v>
      </c>
      <c r="E67" s="35" t="s">
        <v>25</v>
      </c>
      <c r="F67" s="35" t="s">
        <v>50</v>
      </c>
      <c r="G67" s="35" t="s">
        <v>25</v>
      </c>
      <c r="H67" s="35" t="s">
        <v>36</v>
      </c>
      <c r="I67" s="54">
        <v>44562</v>
      </c>
      <c r="J67" s="55">
        <f>EFEITO!$J$67*EFEITO!$Y$67</f>
        <v>0</v>
      </c>
      <c r="K67" s="55">
        <f ca="1">EFEITO!$L$67*EFEITO!$Z$67</f>
        <v>65896.389518756725</v>
      </c>
      <c r="L67" s="55">
        <f>EFEITO!$N$67*EFEITO!$AA$67</f>
        <v>0</v>
      </c>
      <c r="M67" s="55">
        <f>$J$67-EFEITO!$K$67*EFEITO!$Y$67</f>
        <v>0</v>
      </c>
      <c r="N67" s="55">
        <f ca="1">$K$67-EFEITO!$M$67*EFEITO!$Z$67</f>
        <v>30163.089128079271</v>
      </c>
      <c r="O67" s="55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35" t="s">
        <v>21</v>
      </c>
      <c r="B68" s="35" t="s">
        <v>34</v>
      </c>
      <c r="C68" s="35" t="s">
        <v>35</v>
      </c>
      <c r="D68" s="35" t="s">
        <v>33</v>
      </c>
      <c r="E68" s="35" t="s">
        <v>25</v>
      </c>
      <c r="F68" s="35" t="s">
        <v>50</v>
      </c>
      <c r="G68" s="35" t="s">
        <v>25</v>
      </c>
      <c r="H68" s="35" t="s">
        <v>36</v>
      </c>
      <c r="I68" s="54">
        <v>44593</v>
      </c>
      <c r="J68" s="55">
        <f>EFEITO!$J$68*EFEITO!$Y$68</f>
        <v>0</v>
      </c>
      <c r="K68" s="55">
        <f ca="1">EFEITO!$L$68*EFEITO!$Z$68</f>
        <v>65305.81654198761</v>
      </c>
      <c r="L68" s="55">
        <f>EFEITO!$N$68*EFEITO!$AA$68</f>
        <v>0</v>
      </c>
      <c r="M68" s="55">
        <f>$J$68-EFEITO!$K$68*EFEITO!$Y$68</f>
        <v>0</v>
      </c>
      <c r="N68" s="55">
        <f ca="1">$K$68-EFEITO!$M$68*EFEITO!$Z$68</f>
        <v>29665.878997598178</v>
      </c>
      <c r="O68" s="55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35" t="s">
        <v>21</v>
      </c>
      <c r="B69" s="35" t="s">
        <v>34</v>
      </c>
      <c r="C69" s="35" t="s">
        <v>35</v>
      </c>
      <c r="D69" s="35" t="s">
        <v>33</v>
      </c>
      <c r="E69" s="35" t="s">
        <v>25</v>
      </c>
      <c r="F69" s="35" t="s">
        <v>50</v>
      </c>
      <c r="G69" s="35" t="s">
        <v>25</v>
      </c>
      <c r="H69" s="35" t="s">
        <v>36</v>
      </c>
      <c r="I69" s="54">
        <v>44621</v>
      </c>
      <c r="J69" s="55">
        <f>EFEITO!$J$69*EFEITO!$Y$69</f>
        <v>0</v>
      </c>
      <c r="K69" s="55">
        <f ca="1">EFEITO!$L$69*EFEITO!$Z$69</f>
        <v>73708.642917974183</v>
      </c>
      <c r="L69" s="55">
        <f>EFEITO!$N$69*EFEITO!$AA$69</f>
        <v>0</v>
      </c>
      <c r="M69" s="55">
        <f>$J$69-EFEITO!$K$69*EFEITO!$Y$69</f>
        <v>0</v>
      </c>
      <c r="N69" s="55">
        <f ca="1">$K$69-EFEITO!$M$69*EFEITO!$Z$69</f>
        <v>34781.540810157145</v>
      </c>
      <c r="O69" s="55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35" t="s">
        <v>21</v>
      </c>
      <c r="B70" s="35" t="s">
        <v>34</v>
      </c>
      <c r="C70" s="35" t="s">
        <v>35</v>
      </c>
      <c r="D70" s="35" t="s">
        <v>33</v>
      </c>
      <c r="E70" s="35" t="s">
        <v>25</v>
      </c>
      <c r="F70" s="35" t="s">
        <v>50</v>
      </c>
      <c r="G70" s="35" t="s">
        <v>25</v>
      </c>
      <c r="H70" s="35" t="s">
        <v>36</v>
      </c>
      <c r="I70" s="54">
        <v>44652</v>
      </c>
      <c r="J70" s="55">
        <f>EFEITO!$J$70*EFEITO!$Y$70</f>
        <v>0</v>
      </c>
      <c r="K70" s="55">
        <f ca="1">EFEITO!$L$70*EFEITO!$Z$70</f>
        <v>59479.685740730616</v>
      </c>
      <c r="L70" s="55">
        <f>EFEITO!$N$70*EFEITO!$AA$70</f>
        <v>0</v>
      </c>
      <c r="M70" s="55">
        <f>$J$70-EFEITO!$K$70*EFEITO!$Y$70</f>
        <v>0</v>
      </c>
      <c r="N70" s="55">
        <f ca="1">$K$70-EFEITO!$M$70*EFEITO!$Z$70</f>
        <v>26960.907342794071</v>
      </c>
      <c r="O70" s="55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35" t="s">
        <v>21</v>
      </c>
      <c r="B71" s="35" t="s">
        <v>34</v>
      </c>
      <c r="C71" s="35" t="s">
        <v>35</v>
      </c>
      <c r="D71" s="35" t="s">
        <v>33</v>
      </c>
      <c r="E71" s="35" t="s">
        <v>25</v>
      </c>
      <c r="F71" s="35" t="s">
        <v>50</v>
      </c>
      <c r="G71" s="35" t="s">
        <v>25</v>
      </c>
      <c r="H71" s="35" t="s">
        <v>36</v>
      </c>
      <c r="I71" s="54">
        <v>44682</v>
      </c>
      <c r="J71" s="55">
        <f>EFEITO!$J$71*EFEITO!$Y$71</f>
        <v>0</v>
      </c>
      <c r="K71" s="55">
        <f ca="1">EFEITO!$L$71*EFEITO!$Z$71</f>
        <v>62825.410039557355</v>
      </c>
      <c r="L71" s="55">
        <f>EFEITO!$N$71*EFEITO!$AA$71</f>
        <v>0</v>
      </c>
      <c r="M71" s="55">
        <f>$J$71-EFEITO!$K$71*EFEITO!$Y$71</f>
        <v>0</v>
      </c>
      <c r="N71" s="55">
        <f ca="1">$K$71-EFEITO!$M$71*EFEITO!$Z$71</f>
        <v>29753.095166583524</v>
      </c>
      <c r="O71" s="55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35" t="s">
        <v>21</v>
      </c>
      <c r="B72" s="35" t="s">
        <v>34</v>
      </c>
      <c r="C72" s="35" t="s">
        <v>35</v>
      </c>
      <c r="D72" s="35" t="s">
        <v>33</v>
      </c>
      <c r="E72" s="35" t="s">
        <v>25</v>
      </c>
      <c r="F72" s="35" t="s">
        <v>50</v>
      </c>
      <c r="G72" s="35" t="s">
        <v>25</v>
      </c>
      <c r="H72" s="35" t="s">
        <v>36</v>
      </c>
      <c r="I72" s="54">
        <v>44713</v>
      </c>
      <c r="J72" s="55">
        <f>EFEITO!$J$72*EFEITO!$Y$72</f>
        <v>0</v>
      </c>
      <c r="K72" s="55">
        <f ca="1">EFEITO!$L$72*EFEITO!$Z$72</f>
        <v>63803.707014118358</v>
      </c>
      <c r="L72" s="55">
        <f>EFEITO!$N$72*EFEITO!$AA$72</f>
        <v>0</v>
      </c>
      <c r="M72" s="55">
        <f>$J$72-EFEITO!$K$72*EFEITO!$Y$72</f>
        <v>0</v>
      </c>
      <c r="N72" s="55">
        <f ca="1">$K$72-EFEITO!$M$72*EFEITO!$Z$72</f>
        <v>28920.896462579309</v>
      </c>
      <c r="O72" s="55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35" t="s">
        <v>21</v>
      </c>
      <c r="B73" s="35" t="s">
        <v>34</v>
      </c>
      <c r="C73" s="35" t="s">
        <v>35</v>
      </c>
      <c r="D73" s="35" t="s">
        <v>33</v>
      </c>
      <c r="E73" s="35" t="s">
        <v>25</v>
      </c>
      <c r="F73" s="35" t="s">
        <v>50</v>
      </c>
      <c r="G73" s="35" t="s">
        <v>25</v>
      </c>
      <c r="H73" s="35" t="s">
        <v>36</v>
      </c>
      <c r="I73" s="54">
        <v>44743</v>
      </c>
      <c r="J73" s="55">
        <f>EFEITO!$J$73*EFEITO!$Y$73</f>
        <v>0</v>
      </c>
      <c r="K73" s="55">
        <f ca="1">EFEITO!$L$73*EFEITO!$Z$73</f>
        <v>62646.954292229297</v>
      </c>
      <c r="L73" s="55">
        <f>EFEITO!$N$73*EFEITO!$AA$73</f>
        <v>0</v>
      </c>
      <c r="M73" s="55">
        <f>$J$73-EFEITO!$K$73*EFEITO!$Y$73</f>
        <v>0</v>
      </c>
      <c r="N73" s="55">
        <f ca="1">$K$73-EFEITO!$M$73*EFEITO!$Z$73</f>
        <v>29668.581419201175</v>
      </c>
      <c r="O73" s="55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35" t="s">
        <v>21</v>
      </c>
      <c r="B74" s="35" t="s">
        <v>34</v>
      </c>
      <c r="C74" s="35" t="s">
        <v>35</v>
      </c>
      <c r="D74" s="35" t="s">
        <v>33</v>
      </c>
      <c r="E74" s="35" t="s">
        <v>25</v>
      </c>
      <c r="F74" s="35" t="s">
        <v>25</v>
      </c>
      <c r="G74" s="35" t="s">
        <v>25</v>
      </c>
      <c r="H74" s="35" t="s">
        <v>37</v>
      </c>
      <c r="I74" s="54">
        <v>44409</v>
      </c>
      <c r="J74" s="55">
        <f>EFEITO!$J$74*EFEITO!$Y$74</f>
        <v>0</v>
      </c>
      <c r="K74" s="55">
        <f ca="1">EFEITO!$L$74*EFEITO!$Z$74</f>
        <v>19812.063861340957</v>
      </c>
      <c r="L74" s="55">
        <f>EFEITO!$N$74*EFEITO!$AA$74</f>
        <v>49393.141331771469</v>
      </c>
      <c r="M74" s="55">
        <f>$J$74-EFEITO!$K$74*EFEITO!$Y$74</f>
        <v>0</v>
      </c>
      <c r="N74" s="55">
        <f ca="1">$K$74-EFEITO!$M$74*EFEITO!$Z$74</f>
        <v>0</v>
      </c>
      <c r="O74" s="55">
        <f>$L$74-EFEITO!$O$74*EFEITO!$AA$74</f>
        <v>0</v>
      </c>
      <c r="P74" s="39"/>
      <c r="Q74" s="39"/>
      <c r="R74" s="39"/>
      <c r="S74" s="39"/>
      <c r="T74" s="39"/>
      <c r="U74" s="39"/>
      <c r="V74" s="39"/>
      <c r="W74" s="39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35" t="s">
        <v>21</v>
      </c>
      <c r="B75" s="35" t="s">
        <v>34</v>
      </c>
      <c r="C75" s="35" t="s">
        <v>35</v>
      </c>
      <c r="D75" s="35" t="s">
        <v>33</v>
      </c>
      <c r="E75" s="35" t="s">
        <v>25</v>
      </c>
      <c r="F75" s="35" t="s">
        <v>25</v>
      </c>
      <c r="G75" s="35" t="s">
        <v>25</v>
      </c>
      <c r="H75" s="35" t="s">
        <v>37</v>
      </c>
      <c r="I75" s="54">
        <v>44440</v>
      </c>
      <c r="J75" s="55">
        <f>EFEITO!$J$75*EFEITO!$Y$75</f>
        <v>0</v>
      </c>
      <c r="K75" s="55">
        <f ca="1">EFEITO!$L$75*EFEITO!$Z$75</f>
        <v>19074.608828602293</v>
      </c>
      <c r="L75" s="55">
        <f>EFEITO!$N$75*EFEITO!$AA$75</f>
        <v>47554.603917758628</v>
      </c>
      <c r="M75" s="55">
        <f>$J$75-EFEITO!$K$75*EFEITO!$Y$75</f>
        <v>0</v>
      </c>
      <c r="N75" s="55">
        <f ca="1">$K$75-EFEITO!$M$75*EFEITO!$Z$75</f>
        <v>0</v>
      </c>
      <c r="O75" s="55">
        <f>$L$75-EFEITO!$O$75*EFEITO!$AA$75</f>
        <v>0</v>
      </c>
      <c r="P75" s="39"/>
      <c r="Q75" s="39"/>
      <c r="R75" s="39"/>
      <c r="S75" s="39"/>
      <c r="T75" s="39"/>
      <c r="U75" s="39"/>
      <c r="V75" s="39"/>
      <c r="W75" s="39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35" t="s">
        <v>21</v>
      </c>
      <c r="B76" s="35" t="s">
        <v>34</v>
      </c>
      <c r="C76" s="35" t="s">
        <v>35</v>
      </c>
      <c r="D76" s="35" t="s">
        <v>33</v>
      </c>
      <c r="E76" s="35" t="s">
        <v>25</v>
      </c>
      <c r="F76" s="35" t="s">
        <v>25</v>
      </c>
      <c r="G76" s="35" t="s">
        <v>25</v>
      </c>
      <c r="H76" s="35" t="s">
        <v>37</v>
      </c>
      <c r="I76" s="54">
        <v>44470</v>
      </c>
      <c r="J76" s="55">
        <f>EFEITO!$J$76*EFEITO!$Y$76</f>
        <v>0</v>
      </c>
      <c r="K76" s="55">
        <f ca="1">EFEITO!$L$76*EFEITO!$Z$76</f>
        <v>21025.718601228444</v>
      </c>
      <c r="L76" s="55">
        <f>EFEITO!$N$76*EFEITO!$AA$76</f>
        <v>52418.884662440272</v>
      </c>
      <c r="M76" s="55">
        <f>$J$76-EFEITO!$K$76*EFEITO!$Y$76</f>
        <v>0</v>
      </c>
      <c r="N76" s="55">
        <f ca="1">$K$76-EFEITO!$M$76*EFEITO!$Z$76</f>
        <v>0</v>
      </c>
      <c r="O76" s="55">
        <f>$L$76-EFEITO!$O$76*EFEITO!$AA$76</f>
        <v>0</v>
      </c>
      <c r="P76" s="39"/>
      <c r="Q76" s="39"/>
      <c r="R76" s="39"/>
      <c r="S76" s="39"/>
      <c r="T76" s="39"/>
      <c r="U76" s="39"/>
      <c r="V76" s="39"/>
      <c r="W76" s="39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35" t="s">
        <v>21</v>
      </c>
      <c r="B77" s="35" t="s">
        <v>34</v>
      </c>
      <c r="C77" s="35" t="s">
        <v>35</v>
      </c>
      <c r="D77" s="35" t="s">
        <v>33</v>
      </c>
      <c r="E77" s="35" t="s">
        <v>25</v>
      </c>
      <c r="F77" s="35" t="s">
        <v>25</v>
      </c>
      <c r="G77" s="35" t="s">
        <v>25</v>
      </c>
      <c r="H77" s="35" t="s">
        <v>37</v>
      </c>
      <c r="I77" s="54">
        <v>44501</v>
      </c>
      <c r="J77" s="55">
        <f>EFEITO!$J$77*EFEITO!$Y$77</f>
        <v>0</v>
      </c>
      <c r="K77" s="55">
        <f ca="1">EFEITO!$L$77*EFEITO!$Z$77</f>
        <v>22733.173407041319</v>
      </c>
      <c r="L77" s="55">
        <f>EFEITO!$N$77*EFEITO!$AA$77</f>
        <v>56675.713084323805</v>
      </c>
      <c r="M77" s="55">
        <f>$J$77-EFEITO!$K$77*EFEITO!$Y$77</f>
        <v>0</v>
      </c>
      <c r="N77" s="55">
        <f ca="1">$K$77-EFEITO!$M$77*EFEITO!$Z$77</f>
        <v>0</v>
      </c>
      <c r="O77" s="55">
        <f>$L$77-EFEITO!$O$77*EFEITO!$AA$77</f>
        <v>0</v>
      </c>
      <c r="P77" s="39"/>
      <c r="Q77" s="39"/>
      <c r="R77" s="39"/>
      <c r="S77" s="39"/>
      <c r="T77" s="39"/>
      <c r="U77" s="39"/>
      <c r="V77" s="39"/>
      <c r="W77" s="39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35" t="s">
        <v>21</v>
      </c>
      <c r="B78" s="35" t="s">
        <v>34</v>
      </c>
      <c r="C78" s="35" t="s">
        <v>35</v>
      </c>
      <c r="D78" s="35" t="s">
        <v>33</v>
      </c>
      <c r="E78" s="35" t="s">
        <v>25</v>
      </c>
      <c r="F78" s="35" t="s">
        <v>25</v>
      </c>
      <c r="G78" s="35" t="s">
        <v>25</v>
      </c>
      <c r="H78" s="35" t="s">
        <v>37</v>
      </c>
      <c r="I78" s="54">
        <v>44531</v>
      </c>
      <c r="J78" s="55">
        <f>EFEITO!$J$78*EFEITO!$Y$78</f>
        <v>0</v>
      </c>
      <c r="K78" s="55">
        <f ca="1">EFEITO!$L$78*EFEITO!$Z$78</f>
        <v>17457.465863761736</v>
      </c>
      <c r="L78" s="55">
        <f>EFEITO!$N$78*EFEITO!$AA$78</f>
        <v>43522.930510329825</v>
      </c>
      <c r="M78" s="55">
        <f>$J$78-EFEITO!$K$78*EFEITO!$Y$78</f>
        <v>0</v>
      </c>
      <c r="N78" s="55">
        <f ca="1">$K$78-EFEITO!$M$78*EFEITO!$Z$78</f>
        <v>0</v>
      </c>
      <c r="O78" s="55">
        <f>$L$78-EFEITO!$O$78*EFEITO!$AA$78</f>
        <v>0</v>
      </c>
      <c r="P78" s="39"/>
      <c r="Q78" s="39"/>
      <c r="R78" s="39"/>
      <c r="S78" s="39"/>
      <c r="T78" s="39"/>
      <c r="U78" s="39"/>
      <c r="V78" s="39"/>
      <c r="W78" s="39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35" t="s">
        <v>21</v>
      </c>
      <c r="B79" s="35" t="s">
        <v>34</v>
      </c>
      <c r="C79" s="35" t="s">
        <v>35</v>
      </c>
      <c r="D79" s="35" t="s">
        <v>33</v>
      </c>
      <c r="E79" s="35" t="s">
        <v>25</v>
      </c>
      <c r="F79" s="35" t="s">
        <v>25</v>
      </c>
      <c r="G79" s="35" t="s">
        <v>25</v>
      </c>
      <c r="H79" s="35" t="s">
        <v>37</v>
      </c>
      <c r="I79" s="54">
        <v>44562</v>
      </c>
      <c r="J79" s="55">
        <f>EFEITO!$J$79*EFEITO!$Y$79</f>
        <v>0</v>
      </c>
      <c r="K79" s="55">
        <f ca="1">EFEITO!$L$79*EFEITO!$Z$79</f>
        <v>14737.6604215685</v>
      </c>
      <c r="L79" s="55">
        <f>EFEITO!$N$79*EFEITO!$AA$79</f>
        <v>36742.226816793525</v>
      </c>
      <c r="M79" s="55">
        <f>$J$79-EFEITO!$K$79*EFEITO!$Y$79</f>
        <v>0</v>
      </c>
      <c r="N79" s="55">
        <f ca="1">$K$79-EFEITO!$M$79*EFEITO!$Z$79</f>
        <v>0</v>
      </c>
      <c r="O79" s="55">
        <f>$L$79-EFEITO!$O$79*EFEITO!$AA$79</f>
        <v>0</v>
      </c>
      <c r="P79" s="39"/>
      <c r="Q79" s="39"/>
      <c r="R79" s="39"/>
      <c r="S79" s="39"/>
      <c r="T79" s="39"/>
      <c r="U79" s="39"/>
      <c r="V79" s="39"/>
      <c r="W79" s="39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35" t="s">
        <v>21</v>
      </c>
      <c r="B80" s="35" t="s">
        <v>34</v>
      </c>
      <c r="C80" s="35" t="s">
        <v>35</v>
      </c>
      <c r="D80" s="35" t="s">
        <v>33</v>
      </c>
      <c r="E80" s="35" t="s">
        <v>25</v>
      </c>
      <c r="F80" s="35" t="s">
        <v>25</v>
      </c>
      <c r="G80" s="35" t="s">
        <v>25</v>
      </c>
      <c r="H80" s="35" t="s">
        <v>37</v>
      </c>
      <c r="I80" s="54">
        <v>44593</v>
      </c>
      <c r="J80" s="55">
        <f>EFEITO!$J$80*EFEITO!$Y$80</f>
        <v>0</v>
      </c>
      <c r="K80" s="55">
        <f ca="1">EFEITO!$L$80*EFEITO!$Z$80</f>
        <v>15253.570938206974</v>
      </c>
      <c r="L80" s="55">
        <f>EFEITO!$N$80*EFEITO!$AA$80</f>
        <v>38028.435121047733</v>
      </c>
      <c r="M80" s="55">
        <f>$J$80-EFEITO!$K$80*EFEITO!$Y$80</f>
        <v>0</v>
      </c>
      <c r="N80" s="55">
        <f ca="1">$K$80-EFEITO!$M$80*EFEITO!$Z$80</f>
        <v>0</v>
      </c>
      <c r="O80" s="55">
        <f>$L$80-EFEITO!$O$80*EFEITO!$AA$80</f>
        <v>0</v>
      </c>
      <c r="P80" s="39"/>
      <c r="Q80" s="39"/>
      <c r="R80" s="39"/>
      <c r="S80" s="39"/>
      <c r="T80" s="39"/>
      <c r="U80" s="39"/>
      <c r="V80" s="39"/>
      <c r="W80" s="39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35" t="s">
        <v>21</v>
      </c>
      <c r="B81" s="35" t="s">
        <v>34</v>
      </c>
      <c r="C81" s="35" t="s">
        <v>35</v>
      </c>
      <c r="D81" s="35" t="s">
        <v>33</v>
      </c>
      <c r="E81" s="35" t="s">
        <v>25</v>
      </c>
      <c r="F81" s="35" t="s">
        <v>25</v>
      </c>
      <c r="G81" s="35" t="s">
        <v>25</v>
      </c>
      <c r="H81" s="35" t="s">
        <v>37</v>
      </c>
      <c r="I81" s="54">
        <v>44621</v>
      </c>
      <c r="J81" s="55">
        <f>EFEITO!$J$81*EFEITO!$Y$81</f>
        <v>0</v>
      </c>
      <c r="K81" s="55">
        <f ca="1">EFEITO!$L$81*EFEITO!$Z$81</f>
        <v>16577.997936144551</v>
      </c>
      <c r="L81" s="55">
        <f>EFEITO!$N$81*EFEITO!$AA$81</f>
        <v>41330.343006595838</v>
      </c>
      <c r="M81" s="55">
        <f>$J$81-EFEITO!$K$81*EFEITO!$Y$81</f>
        <v>0</v>
      </c>
      <c r="N81" s="55">
        <f ca="1">$K$81-EFEITO!$M$81*EFEITO!$Z$81</f>
        <v>0</v>
      </c>
      <c r="O81" s="55">
        <f>$L$81-EFEITO!$O$81*EFEITO!$AA$81</f>
        <v>0</v>
      </c>
      <c r="P81" s="39"/>
      <c r="Q81" s="39"/>
      <c r="R81" s="39"/>
      <c r="S81" s="39"/>
      <c r="T81" s="39"/>
      <c r="U81" s="39"/>
      <c r="V81" s="39"/>
      <c r="W81" s="39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35" t="s">
        <v>21</v>
      </c>
      <c r="B82" s="35" t="s">
        <v>34</v>
      </c>
      <c r="C82" s="35" t="s">
        <v>35</v>
      </c>
      <c r="D82" s="35" t="s">
        <v>33</v>
      </c>
      <c r="E82" s="35" t="s">
        <v>25</v>
      </c>
      <c r="F82" s="35" t="s">
        <v>25</v>
      </c>
      <c r="G82" s="35" t="s">
        <v>25</v>
      </c>
      <c r="H82" s="35" t="s">
        <v>37</v>
      </c>
      <c r="I82" s="54">
        <v>44652</v>
      </c>
      <c r="J82" s="55">
        <f>EFEITO!$J$82*EFEITO!$Y$82</f>
        <v>0</v>
      </c>
      <c r="K82" s="55">
        <f ca="1">EFEITO!$L$82*EFEITO!$Z$82</f>
        <v>13176.508598085937</v>
      </c>
      <c r="L82" s="55">
        <f>EFEITO!$N$82*EFEITO!$AA$82</f>
        <v>32850.144033429839</v>
      </c>
      <c r="M82" s="55">
        <f>$J$82-EFEITO!$K$82*EFEITO!$Y$82</f>
        <v>0</v>
      </c>
      <c r="N82" s="55">
        <f ca="1">$K$82-EFEITO!$M$82*EFEITO!$Z$82</f>
        <v>0</v>
      </c>
      <c r="O82" s="55">
        <f>$L$82-EFEITO!$O$82*EFEITO!$AA$82</f>
        <v>0</v>
      </c>
      <c r="P82" s="39"/>
      <c r="Q82" s="39"/>
      <c r="R82" s="39"/>
      <c r="S82" s="39"/>
      <c r="T82" s="39"/>
      <c r="U82" s="39"/>
      <c r="V82" s="39"/>
      <c r="W82" s="3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35" t="s">
        <v>21</v>
      </c>
      <c r="B83" s="35" t="s">
        <v>34</v>
      </c>
      <c r="C83" s="35" t="s">
        <v>35</v>
      </c>
      <c r="D83" s="35" t="s">
        <v>33</v>
      </c>
      <c r="E83" s="35" t="s">
        <v>25</v>
      </c>
      <c r="F83" s="35" t="s">
        <v>25</v>
      </c>
      <c r="G83" s="35" t="s">
        <v>25</v>
      </c>
      <c r="H83" s="35" t="s">
        <v>37</v>
      </c>
      <c r="I83" s="54">
        <v>44682</v>
      </c>
      <c r="J83" s="55">
        <f>EFEITO!$J$83*EFEITO!$Y$83</f>
        <v>0</v>
      </c>
      <c r="K83" s="55">
        <f ca="1">EFEITO!$L$83*EFEITO!$Z$83</f>
        <v>16293.972146387507</v>
      </c>
      <c r="L83" s="55">
        <f>EFEITO!$N$83*EFEITO!$AA$83</f>
        <v>40622.242827153546</v>
      </c>
      <c r="M83" s="55">
        <f>$J$83-EFEITO!$K$83*EFEITO!$Y$83</f>
        <v>0</v>
      </c>
      <c r="N83" s="55">
        <f ca="1">$K$83-EFEITO!$M$83*EFEITO!$Z$83</f>
        <v>0</v>
      </c>
      <c r="O83" s="55">
        <f>$L$83-EFEITO!$O$83*EFEITO!$AA$83</f>
        <v>0</v>
      </c>
      <c r="P83" s="39"/>
      <c r="Q83" s="39"/>
      <c r="R83" s="39"/>
      <c r="S83" s="39"/>
      <c r="T83" s="39"/>
      <c r="U83" s="39"/>
      <c r="V83" s="39"/>
      <c r="W83" s="3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35" t="s">
        <v>21</v>
      </c>
      <c r="B84" s="35" t="s">
        <v>34</v>
      </c>
      <c r="C84" s="35" t="s">
        <v>35</v>
      </c>
      <c r="D84" s="35" t="s">
        <v>33</v>
      </c>
      <c r="E84" s="35" t="s">
        <v>25</v>
      </c>
      <c r="F84" s="35" t="s">
        <v>25</v>
      </c>
      <c r="G84" s="35" t="s">
        <v>25</v>
      </c>
      <c r="H84" s="35" t="s">
        <v>37</v>
      </c>
      <c r="I84" s="54">
        <v>44713</v>
      </c>
      <c r="J84" s="55">
        <f>EFEITO!$J$84*EFEITO!$Y$84</f>
        <v>0</v>
      </c>
      <c r="K84" s="55">
        <f ca="1">EFEITO!$L$84*EFEITO!$Z$84</f>
        <v>15766.731398786607</v>
      </c>
      <c r="L84" s="55">
        <f>EFEITO!$N$84*EFEITO!$AA$84</f>
        <v>39307.787304277124</v>
      </c>
      <c r="M84" s="55">
        <f>$J$84-EFEITO!$K$84*EFEITO!$Y$84</f>
        <v>0</v>
      </c>
      <c r="N84" s="55">
        <f ca="1">$K$84-EFEITO!$M$84*EFEITO!$Z$84</f>
        <v>0</v>
      </c>
      <c r="O84" s="55">
        <f>$L$84-EFEITO!$O$84*EFEITO!$AA$84</f>
        <v>0</v>
      </c>
      <c r="P84" s="39"/>
      <c r="Q84" s="39"/>
      <c r="R84" s="39"/>
      <c r="S84" s="39"/>
      <c r="T84" s="39"/>
      <c r="U84" s="39"/>
      <c r="V84" s="39"/>
      <c r="W84" s="39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35" t="s">
        <v>21</v>
      </c>
      <c r="B85" s="35" t="s">
        <v>34</v>
      </c>
      <c r="C85" s="35" t="s">
        <v>35</v>
      </c>
      <c r="D85" s="35" t="s">
        <v>33</v>
      </c>
      <c r="E85" s="35" t="s">
        <v>25</v>
      </c>
      <c r="F85" s="35" t="s">
        <v>25</v>
      </c>
      <c r="G85" s="35" t="s">
        <v>25</v>
      </c>
      <c r="H85" s="35" t="s">
        <v>37</v>
      </c>
      <c r="I85" s="54">
        <v>44743</v>
      </c>
      <c r="J85" s="55">
        <f>EFEITO!$J$85*EFEITO!$Y$85</f>
        <v>0</v>
      </c>
      <c r="K85" s="55">
        <f ca="1">EFEITO!$L$85*EFEITO!$Z$85</f>
        <v>15815.132385422201</v>
      </c>
      <c r="L85" s="55">
        <f>EFEITO!$N$85*EFEITO!$AA$85</f>
        <v>39428.455034313767</v>
      </c>
      <c r="M85" s="55">
        <f>$J$85-EFEITO!$K$85*EFEITO!$Y$85</f>
        <v>0</v>
      </c>
      <c r="N85" s="55">
        <f ca="1">$K$85-EFEITO!$M$85*EFEITO!$Z$85</f>
        <v>0</v>
      </c>
      <c r="O85" s="55">
        <f>$L$85-EFEITO!$O$85*EFEITO!$AA$85</f>
        <v>0</v>
      </c>
      <c r="P85" s="39"/>
      <c r="Q85" s="39"/>
      <c r="R85" s="39"/>
      <c r="S85" s="39"/>
      <c r="T85" s="39"/>
      <c r="U85" s="39"/>
      <c r="V85" s="39"/>
      <c r="W85" s="39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35" t="s">
        <v>21</v>
      </c>
      <c r="B86" s="35" t="s">
        <v>34</v>
      </c>
      <c r="C86" s="35" t="s">
        <v>35</v>
      </c>
      <c r="D86" s="35" t="s">
        <v>33</v>
      </c>
      <c r="E86" s="35" t="s">
        <v>25</v>
      </c>
      <c r="F86" s="35" t="s">
        <v>25</v>
      </c>
      <c r="G86" s="35" t="s">
        <v>25</v>
      </c>
      <c r="H86" s="35" t="s">
        <v>25</v>
      </c>
      <c r="I86" s="54">
        <v>44409</v>
      </c>
      <c r="J86" s="55">
        <f ca="1">EFEITO!$J$86*EFEITO!$Y$86</f>
        <v>18764.451465010123</v>
      </c>
      <c r="K86" s="55">
        <f>EFEITO!$L$86*EFEITO!$Z$86</f>
        <v>0</v>
      </c>
      <c r="L86" s="55">
        <f>EFEITO!$N$86*EFEITO!$AA$86</f>
        <v>0</v>
      </c>
      <c r="M86" s="55">
        <f ca="1">$J$86-EFEITO!$K$86*EFEITO!$Y$86</f>
        <v>0</v>
      </c>
      <c r="N86" s="55">
        <f>$K$86-EFEITO!$M$86*EFEITO!$Z$86</f>
        <v>0</v>
      </c>
      <c r="O86" s="55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35" t="s">
        <v>21</v>
      </c>
      <c r="B87" s="35" t="s">
        <v>34</v>
      </c>
      <c r="C87" s="35" t="s">
        <v>35</v>
      </c>
      <c r="D87" s="35" t="s">
        <v>33</v>
      </c>
      <c r="E87" s="35" t="s">
        <v>25</v>
      </c>
      <c r="F87" s="35" t="s">
        <v>25</v>
      </c>
      <c r="G87" s="35" t="s">
        <v>25</v>
      </c>
      <c r="H87" s="35" t="s">
        <v>25</v>
      </c>
      <c r="I87" s="54">
        <v>44440</v>
      </c>
      <c r="J87" s="55">
        <f ca="1">EFEITO!$J$87*EFEITO!$Y$87</f>
        <v>18711.344526901601</v>
      </c>
      <c r="K87" s="55">
        <f>EFEITO!$L$87*EFEITO!$Z$87</f>
        <v>0</v>
      </c>
      <c r="L87" s="55">
        <f>EFEITO!$N$87*EFEITO!$AA$87</f>
        <v>0</v>
      </c>
      <c r="M87" s="55">
        <f ca="1">$J$87-EFEITO!$K$87*EFEITO!$Y$87</f>
        <v>0</v>
      </c>
      <c r="N87" s="55">
        <f>$K$87-EFEITO!$M$87*EFEITO!$Z$87</f>
        <v>0</v>
      </c>
      <c r="O87" s="55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35" t="s">
        <v>21</v>
      </c>
      <c r="B88" s="35" t="s">
        <v>34</v>
      </c>
      <c r="C88" s="35" t="s">
        <v>35</v>
      </c>
      <c r="D88" s="35" t="s">
        <v>33</v>
      </c>
      <c r="E88" s="35" t="s">
        <v>25</v>
      </c>
      <c r="F88" s="35" t="s">
        <v>25</v>
      </c>
      <c r="G88" s="35" t="s">
        <v>25</v>
      </c>
      <c r="H88" s="35" t="s">
        <v>25</v>
      </c>
      <c r="I88" s="54">
        <v>44470</v>
      </c>
      <c r="J88" s="55">
        <f ca="1">EFEITO!$J$88*EFEITO!$Y$88</f>
        <v>16905.70863121195</v>
      </c>
      <c r="K88" s="55">
        <f>EFEITO!$L$88*EFEITO!$Z$88</f>
        <v>0</v>
      </c>
      <c r="L88" s="55">
        <f>EFEITO!$N$88*EFEITO!$AA$88</f>
        <v>0</v>
      </c>
      <c r="M88" s="55">
        <f ca="1">$J$88-EFEITO!$K$88*EFEITO!$Y$88</f>
        <v>0</v>
      </c>
      <c r="N88" s="55">
        <f>$K$88-EFEITO!$M$88*EFEITO!$Z$88</f>
        <v>0</v>
      </c>
      <c r="O88" s="55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35" t="s">
        <v>21</v>
      </c>
      <c r="B89" s="35" t="s">
        <v>34</v>
      </c>
      <c r="C89" s="35" t="s">
        <v>35</v>
      </c>
      <c r="D89" s="35" t="s">
        <v>33</v>
      </c>
      <c r="E89" s="35" t="s">
        <v>25</v>
      </c>
      <c r="F89" s="35" t="s">
        <v>25</v>
      </c>
      <c r="G89" s="35" t="s">
        <v>25</v>
      </c>
      <c r="H89" s="35" t="s">
        <v>25</v>
      </c>
      <c r="I89" s="54">
        <v>44501</v>
      </c>
      <c r="J89" s="55">
        <f ca="1">EFEITO!$J$89*EFEITO!$Y$89</f>
        <v>17401.373386891461</v>
      </c>
      <c r="K89" s="55">
        <f>EFEITO!$L$89*EFEITO!$Z$89</f>
        <v>0</v>
      </c>
      <c r="L89" s="55">
        <f>EFEITO!$N$89*EFEITO!$AA$89</f>
        <v>0</v>
      </c>
      <c r="M89" s="55">
        <f ca="1">$J$89-EFEITO!$K$89*EFEITO!$Y$89</f>
        <v>0</v>
      </c>
      <c r="N89" s="55">
        <f>$K$89-EFEITO!$M$89*EFEITO!$Z$89</f>
        <v>0</v>
      </c>
      <c r="O89" s="55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35" t="s">
        <v>21</v>
      </c>
      <c r="B90" s="35" t="s">
        <v>34</v>
      </c>
      <c r="C90" s="35" t="s">
        <v>35</v>
      </c>
      <c r="D90" s="35" t="s">
        <v>33</v>
      </c>
      <c r="E90" s="35" t="s">
        <v>25</v>
      </c>
      <c r="F90" s="35" t="s">
        <v>25</v>
      </c>
      <c r="G90" s="35" t="s">
        <v>25</v>
      </c>
      <c r="H90" s="35" t="s">
        <v>25</v>
      </c>
      <c r="I90" s="54">
        <v>44531</v>
      </c>
      <c r="J90" s="55">
        <f ca="1">EFEITO!$J$90*EFEITO!$Y$90</f>
        <v>19100.795406364075</v>
      </c>
      <c r="K90" s="55">
        <f>EFEITO!$L$90*EFEITO!$Z$90</f>
        <v>0</v>
      </c>
      <c r="L90" s="55">
        <f>EFEITO!$N$90*EFEITO!$AA$90</f>
        <v>0</v>
      </c>
      <c r="M90" s="55">
        <f ca="1">$J$90-EFEITO!$K$90*EFEITO!$Y$90</f>
        <v>0</v>
      </c>
      <c r="N90" s="55">
        <f>$K$90-EFEITO!$M$90*EFEITO!$Z$90</f>
        <v>0</v>
      </c>
      <c r="O90" s="55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35" t="s">
        <v>21</v>
      </c>
      <c r="B91" s="35" t="s">
        <v>34</v>
      </c>
      <c r="C91" s="35" t="s">
        <v>35</v>
      </c>
      <c r="D91" s="35" t="s">
        <v>33</v>
      </c>
      <c r="E91" s="35" t="s">
        <v>25</v>
      </c>
      <c r="F91" s="35" t="s">
        <v>25</v>
      </c>
      <c r="G91" s="35" t="s">
        <v>25</v>
      </c>
      <c r="H91" s="35" t="s">
        <v>25</v>
      </c>
      <c r="I91" s="54">
        <v>44562</v>
      </c>
      <c r="J91" s="55">
        <f ca="1">EFEITO!$J$91*EFEITO!$Y$91</f>
        <v>15471.821302281931</v>
      </c>
      <c r="K91" s="55">
        <f>EFEITO!$L$91*EFEITO!$Z$91</f>
        <v>0</v>
      </c>
      <c r="L91" s="55">
        <f>EFEITO!$N$91*EFEITO!$AA$91</f>
        <v>0</v>
      </c>
      <c r="M91" s="55">
        <f ca="1">$J$91-EFEITO!$K$91*EFEITO!$Y$91</f>
        <v>0</v>
      </c>
      <c r="N91" s="55">
        <f>$K$91-EFEITO!$M$91*EFEITO!$Z$91</f>
        <v>0</v>
      </c>
      <c r="O91" s="55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35" t="s">
        <v>21</v>
      </c>
      <c r="B92" s="35" t="s">
        <v>34</v>
      </c>
      <c r="C92" s="35" t="s">
        <v>35</v>
      </c>
      <c r="D92" s="35" t="s">
        <v>33</v>
      </c>
      <c r="E92" s="35" t="s">
        <v>25</v>
      </c>
      <c r="F92" s="35" t="s">
        <v>25</v>
      </c>
      <c r="G92" s="35" t="s">
        <v>25</v>
      </c>
      <c r="H92" s="35" t="s">
        <v>25</v>
      </c>
      <c r="I92" s="54">
        <v>44593</v>
      </c>
      <c r="J92" s="55">
        <f ca="1">EFEITO!$J$92*EFEITO!$Y$92</f>
        <v>16569.364689857994</v>
      </c>
      <c r="K92" s="55">
        <f>EFEITO!$L$92*EFEITO!$Z$92</f>
        <v>0</v>
      </c>
      <c r="L92" s="55">
        <f>EFEITO!$N$92*EFEITO!$AA$92</f>
        <v>0</v>
      </c>
      <c r="M92" s="55">
        <f ca="1">$J$92-EFEITO!$K$92*EFEITO!$Y$92</f>
        <v>0</v>
      </c>
      <c r="N92" s="55">
        <f>$K$92-EFEITO!$M$92*EFEITO!$Z$92</f>
        <v>0</v>
      </c>
      <c r="O92" s="55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35" t="s">
        <v>21</v>
      </c>
      <c r="B93" s="35" t="s">
        <v>34</v>
      </c>
      <c r="C93" s="35" t="s">
        <v>35</v>
      </c>
      <c r="D93" s="35" t="s">
        <v>33</v>
      </c>
      <c r="E93" s="35" t="s">
        <v>25</v>
      </c>
      <c r="F93" s="35" t="s">
        <v>25</v>
      </c>
      <c r="G93" s="35" t="s">
        <v>25</v>
      </c>
      <c r="H93" s="35" t="s">
        <v>25</v>
      </c>
      <c r="I93" s="54">
        <v>44621</v>
      </c>
      <c r="J93" s="55">
        <f ca="1">EFEITO!$J$93*EFEITO!$Y$93</f>
        <v>15701.951367418847</v>
      </c>
      <c r="K93" s="55">
        <f>EFEITO!$L$93*EFEITO!$Z$93</f>
        <v>0</v>
      </c>
      <c r="L93" s="55">
        <f>EFEITO!$N$93*EFEITO!$AA$93</f>
        <v>0</v>
      </c>
      <c r="M93" s="55">
        <f ca="1">$J$93-EFEITO!$K$93*EFEITO!$Y$93</f>
        <v>0</v>
      </c>
      <c r="N93" s="55">
        <f>$K$93-EFEITO!$M$93*EFEITO!$Z$93</f>
        <v>0</v>
      </c>
      <c r="O93" s="55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35" t="s">
        <v>21</v>
      </c>
      <c r="B94" s="35" t="s">
        <v>34</v>
      </c>
      <c r="C94" s="35" t="s">
        <v>35</v>
      </c>
      <c r="D94" s="35" t="s">
        <v>33</v>
      </c>
      <c r="E94" s="35" t="s">
        <v>25</v>
      </c>
      <c r="F94" s="35" t="s">
        <v>25</v>
      </c>
      <c r="G94" s="35" t="s">
        <v>25</v>
      </c>
      <c r="H94" s="35" t="s">
        <v>25</v>
      </c>
      <c r="I94" s="54">
        <v>44652</v>
      </c>
      <c r="J94" s="55">
        <f ca="1">EFEITO!$J$94*EFEITO!$Y$94</f>
        <v>16339.234624721077</v>
      </c>
      <c r="K94" s="55">
        <f>EFEITO!$L$94*EFEITO!$Z$94</f>
        <v>0</v>
      </c>
      <c r="L94" s="55">
        <f>EFEITO!$N$94*EFEITO!$AA$94</f>
        <v>0</v>
      </c>
      <c r="M94" s="55">
        <f ca="1">$J$94-EFEITO!$K$94*EFEITO!$Y$94</f>
        <v>0</v>
      </c>
      <c r="N94" s="55">
        <f>$K$94-EFEITO!$M$94*EFEITO!$Z$94</f>
        <v>0</v>
      </c>
      <c r="O94" s="55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35" t="s">
        <v>21</v>
      </c>
      <c r="B95" s="35" t="s">
        <v>34</v>
      </c>
      <c r="C95" s="35" t="s">
        <v>35</v>
      </c>
      <c r="D95" s="35" t="s">
        <v>33</v>
      </c>
      <c r="E95" s="35" t="s">
        <v>25</v>
      </c>
      <c r="F95" s="35" t="s">
        <v>25</v>
      </c>
      <c r="G95" s="35" t="s">
        <v>25</v>
      </c>
      <c r="H95" s="35" t="s">
        <v>25</v>
      </c>
      <c r="I95" s="54">
        <v>44682</v>
      </c>
      <c r="J95" s="55">
        <f ca="1">EFEITO!$J$95*EFEITO!$Y$95</f>
        <v>15967.486057961443</v>
      </c>
      <c r="K95" s="55">
        <f>EFEITO!$L$95*EFEITO!$Z$95</f>
        <v>0</v>
      </c>
      <c r="L95" s="55">
        <f>EFEITO!$N$95*EFEITO!$AA$95</f>
        <v>0</v>
      </c>
      <c r="M95" s="55">
        <f ca="1">$J$95-EFEITO!$K$95*EFEITO!$Y$95</f>
        <v>0</v>
      </c>
      <c r="N95" s="55">
        <f>$K$95-EFEITO!$M$95*EFEITO!$Z$95</f>
        <v>0</v>
      </c>
      <c r="O95" s="55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35" t="s">
        <v>21</v>
      </c>
      <c r="B96" s="35" t="s">
        <v>34</v>
      </c>
      <c r="C96" s="35" t="s">
        <v>35</v>
      </c>
      <c r="D96" s="35" t="s">
        <v>33</v>
      </c>
      <c r="E96" s="35" t="s">
        <v>25</v>
      </c>
      <c r="F96" s="35" t="s">
        <v>25</v>
      </c>
      <c r="G96" s="35" t="s">
        <v>25</v>
      </c>
      <c r="H96" s="35" t="s">
        <v>25</v>
      </c>
      <c r="I96" s="54">
        <v>44713</v>
      </c>
      <c r="J96" s="55">
        <f ca="1">EFEITO!$J$96*EFEITO!$Y$96</f>
        <v>16480.853126343794</v>
      </c>
      <c r="K96" s="55">
        <f>EFEITO!$L$96*EFEITO!$Z$96</f>
        <v>0</v>
      </c>
      <c r="L96" s="55">
        <f>EFEITO!$N$96*EFEITO!$AA$96</f>
        <v>0</v>
      </c>
      <c r="M96" s="55">
        <f ca="1">$J$96-EFEITO!$K$96*EFEITO!$Y$96</f>
        <v>0</v>
      </c>
      <c r="N96" s="55">
        <f>$K$96-EFEITO!$M$96*EFEITO!$Z$96</f>
        <v>0</v>
      </c>
      <c r="O96" s="55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35" t="s">
        <v>21</v>
      </c>
      <c r="B97" s="35" t="s">
        <v>34</v>
      </c>
      <c r="C97" s="35" t="s">
        <v>35</v>
      </c>
      <c r="D97" s="35" t="s">
        <v>33</v>
      </c>
      <c r="E97" s="35" t="s">
        <v>25</v>
      </c>
      <c r="F97" s="35" t="s">
        <v>25</v>
      </c>
      <c r="G97" s="35" t="s">
        <v>25</v>
      </c>
      <c r="H97" s="35" t="s">
        <v>25</v>
      </c>
      <c r="I97" s="54">
        <v>44743</v>
      </c>
      <c r="J97" s="55">
        <f ca="1">EFEITO!$J$97*EFEITO!$Y$97</f>
        <v>16463.150813640957</v>
      </c>
      <c r="K97" s="55">
        <f>EFEITO!$L$97*EFEITO!$Z$97</f>
        <v>0</v>
      </c>
      <c r="L97" s="55">
        <f>EFEITO!$N$97*EFEITO!$AA$97</f>
        <v>0</v>
      </c>
      <c r="M97" s="55">
        <f ca="1">$J$97-EFEITO!$K$97*EFEITO!$Y$97</f>
        <v>0</v>
      </c>
      <c r="N97" s="55">
        <f>$K$97-EFEITO!$M$97*EFEITO!$Z$97</f>
        <v>0</v>
      </c>
      <c r="O97" s="55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35" t="s">
        <v>21</v>
      </c>
      <c r="B98" s="35" t="s">
        <v>34</v>
      </c>
      <c r="C98" s="35" t="s">
        <v>35</v>
      </c>
      <c r="D98" s="35" t="s">
        <v>33</v>
      </c>
      <c r="E98" s="35" t="s">
        <v>25</v>
      </c>
      <c r="F98" s="35" t="s">
        <v>25</v>
      </c>
      <c r="G98" s="35" t="s">
        <v>25</v>
      </c>
      <c r="H98" s="35" t="s">
        <v>36</v>
      </c>
      <c r="I98" s="54">
        <v>44409</v>
      </c>
      <c r="J98" s="55">
        <f>EFEITO!$J$98*EFEITO!$Y$98</f>
        <v>0</v>
      </c>
      <c r="K98" s="55">
        <f ca="1">EFEITO!$L$98*EFEITO!$Z$98</f>
        <v>12154.248632767743</v>
      </c>
      <c r="L98" s="55">
        <f>EFEITO!$N$98*EFEITO!$AA$98</f>
        <v>4446.3195200411456</v>
      </c>
      <c r="M98" s="55">
        <f>$J$98-EFEITO!$K$98*EFEITO!$Y$98</f>
        <v>0</v>
      </c>
      <c r="N98" s="55">
        <f ca="1">$K$98-EFEITO!$M$98*EFEITO!$Z$98</f>
        <v>0</v>
      </c>
      <c r="O98" s="55">
        <f>$L$98-EFEITO!$O$98*EFEITO!$AA$98</f>
        <v>0</v>
      </c>
      <c r="P98" s="39"/>
      <c r="Q98" s="39"/>
      <c r="R98" s="39"/>
      <c r="S98" s="39"/>
      <c r="T98" s="39"/>
      <c r="U98" s="39"/>
      <c r="V98" s="39"/>
      <c r="W98" s="39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35" t="s">
        <v>21</v>
      </c>
      <c r="B99" s="35" t="s">
        <v>34</v>
      </c>
      <c r="C99" s="35" t="s">
        <v>35</v>
      </c>
      <c r="D99" s="35" t="s">
        <v>33</v>
      </c>
      <c r="E99" s="35" t="s">
        <v>25</v>
      </c>
      <c r="F99" s="35" t="s">
        <v>25</v>
      </c>
      <c r="G99" s="35" t="s">
        <v>25</v>
      </c>
      <c r="H99" s="35" t="s">
        <v>36</v>
      </c>
      <c r="I99" s="54">
        <v>44440</v>
      </c>
      <c r="J99" s="55">
        <f>EFEITO!$J$99*EFEITO!$Y$99</f>
        <v>0</v>
      </c>
      <c r="K99" s="55">
        <f ca="1">EFEITO!$L$99*EFEITO!$Z$99</f>
        <v>11146.423009368284</v>
      </c>
      <c r="L99" s="55">
        <f>EFEITO!$N$99*EFEITO!$AA$99</f>
        <v>4077.6324150203045</v>
      </c>
      <c r="M99" s="55">
        <f>$J$99-EFEITO!$K$99*EFEITO!$Y$99</f>
        <v>0</v>
      </c>
      <c r="N99" s="55">
        <f ca="1">$K$99-EFEITO!$M$99*EFEITO!$Z$99</f>
        <v>0</v>
      </c>
      <c r="O99" s="55">
        <f>$L$99-EFEITO!$O$99*EFEITO!$AA$99</f>
        <v>0</v>
      </c>
      <c r="P99" s="39"/>
      <c r="Q99" s="39"/>
      <c r="R99" s="39"/>
      <c r="S99" s="39"/>
      <c r="T99" s="39"/>
      <c r="U99" s="39"/>
      <c r="V99" s="39"/>
      <c r="W99" s="39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35" t="s">
        <v>21</v>
      </c>
      <c r="B100" s="35" t="s">
        <v>34</v>
      </c>
      <c r="C100" s="35" t="s">
        <v>35</v>
      </c>
      <c r="D100" s="35" t="s">
        <v>33</v>
      </c>
      <c r="E100" s="35" t="s">
        <v>25</v>
      </c>
      <c r="F100" s="35" t="s">
        <v>25</v>
      </c>
      <c r="G100" s="35" t="s">
        <v>25</v>
      </c>
      <c r="H100" s="35" t="s">
        <v>36</v>
      </c>
      <c r="I100" s="54">
        <v>44470</v>
      </c>
      <c r="J100" s="55">
        <f>EFEITO!$J$100*EFEITO!$Y$100</f>
        <v>0</v>
      </c>
      <c r="K100" s="55">
        <f ca="1">EFEITO!$L$100*EFEITO!$Z$100</f>
        <v>9972.980181614008</v>
      </c>
      <c r="L100" s="55">
        <f>EFEITO!$N$100*EFEITO!$AA$100</f>
        <v>3648.3585118495421</v>
      </c>
      <c r="M100" s="55">
        <f>$J$100-EFEITO!$K$100*EFEITO!$Y$100</f>
        <v>0</v>
      </c>
      <c r="N100" s="55">
        <f ca="1">$K$100-EFEITO!$M$100*EFEITO!$Z$100</f>
        <v>0</v>
      </c>
      <c r="O100" s="55">
        <f>$L$100-EFEITO!$O$100*EFEITO!$AA$100</f>
        <v>0</v>
      </c>
      <c r="P100" s="39"/>
      <c r="Q100" s="39"/>
      <c r="R100" s="39"/>
      <c r="S100" s="39"/>
      <c r="T100" s="39"/>
      <c r="U100" s="39"/>
      <c r="V100" s="39"/>
      <c r="W100" s="39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35" t="s">
        <v>21</v>
      </c>
      <c r="B101" s="35" t="s">
        <v>34</v>
      </c>
      <c r="C101" s="35" t="s">
        <v>35</v>
      </c>
      <c r="D101" s="35" t="s">
        <v>33</v>
      </c>
      <c r="E101" s="35" t="s">
        <v>25</v>
      </c>
      <c r="F101" s="35" t="s">
        <v>25</v>
      </c>
      <c r="G101" s="35" t="s">
        <v>25</v>
      </c>
      <c r="H101" s="35" t="s">
        <v>36</v>
      </c>
      <c r="I101" s="54">
        <v>44501</v>
      </c>
      <c r="J101" s="55">
        <f>EFEITO!$J$101*EFEITO!$Y$101</f>
        <v>0</v>
      </c>
      <c r="K101" s="55">
        <f ca="1">EFEITO!$L$101*EFEITO!$Z$101</f>
        <v>10041.024459372189</v>
      </c>
      <c r="L101" s="55">
        <f>EFEITO!$N$101*EFEITO!$AA$101</f>
        <v>3673.250762252223</v>
      </c>
      <c r="M101" s="55">
        <f>$J$101-EFEITO!$K$101*EFEITO!$Y$101</f>
        <v>0</v>
      </c>
      <c r="N101" s="55">
        <f ca="1">$K$101-EFEITO!$M$101*EFEITO!$Z$101</f>
        <v>0</v>
      </c>
      <c r="O101" s="55">
        <f>$L$101-EFEITO!$O$101*EFEITO!$AA$101</f>
        <v>0</v>
      </c>
      <c r="P101" s="39"/>
      <c r="Q101" s="39"/>
      <c r="R101" s="39"/>
      <c r="S101" s="39"/>
      <c r="T101" s="39"/>
      <c r="U101" s="39"/>
      <c r="V101" s="39"/>
      <c r="W101" s="39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35" t="s">
        <v>21</v>
      </c>
      <c r="B102" s="35" t="s">
        <v>34</v>
      </c>
      <c r="C102" s="35" t="s">
        <v>35</v>
      </c>
      <c r="D102" s="35" t="s">
        <v>33</v>
      </c>
      <c r="E102" s="35" t="s">
        <v>25</v>
      </c>
      <c r="F102" s="35" t="s">
        <v>25</v>
      </c>
      <c r="G102" s="35" t="s">
        <v>25</v>
      </c>
      <c r="H102" s="35" t="s">
        <v>36</v>
      </c>
      <c r="I102" s="54">
        <v>44531</v>
      </c>
      <c r="J102" s="55">
        <f>EFEITO!$J$102*EFEITO!$Y$102</f>
        <v>0</v>
      </c>
      <c r="K102" s="55">
        <f ca="1">EFEITO!$L$102*EFEITO!$Z$102</f>
        <v>7258.9121970707529</v>
      </c>
      <c r="L102" s="55">
        <f>EFEITO!$N$102*EFEITO!$AA$102</f>
        <v>2655.4864863539278</v>
      </c>
      <c r="M102" s="55">
        <f>$J$102-EFEITO!$K$102*EFEITO!$Y$102</f>
        <v>0</v>
      </c>
      <c r="N102" s="55">
        <f ca="1">$K$102-EFEITO!$M$102*EFEITO!$Z$102</f>
        <v>0</v>
      </c>
      <c r="O102" s="55">
        <f>$L$102-EFEITO!$O$102*EFEITO!$AA$102</f>
        <v>0</v>
      </c>
      <c r="P102" s="39"/>
      <c r="Q102" s="39"/>
      <c r="R102" s="39"/>
      <c r="S102" s="39"/>
      <c r="T102" s="39"/>
      <c r="U102" s="39"/>
      <c r="V102" s="39"/>
      <c r="W102" s="39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35" t="s">
        <v>21</v>
      </c>
      <c r="B103" s="35" t="s">
        <v>34</v>
      </c>
      <c r="C103" s="35" t="s">
        <v>35</v>
      </c>
      <c r="D103" s="35" t="s">
        <v>33</v>
      </c>
      <c r="E103" s="35" t="s">
        <v>25</v>
      </c>
      <c r="F103" s="35" t="s">
        <v>25</v>
      </c>
      <c r="G103" s="35" t="s">
        <v>25</v>
      </c>
      <c r="H103" s="35" t="s">
        <v>36</v>
      </c>
      <c r="I103" s="54">
        <v>44562</v>
      </c>
      <c r="J103" s="55">
        <f>EFEITO!$J$103*EFEITO!$Y$103</f>
        <v>0</v>
      </c>
      <c r="K103" s="55">
        <f ca="1">EFEITO!$L$103*EFEITO!$Z$103</f>
        <v>6140.6751041014168</v>
      </c>
      <c r="L103" s="55">
        <f>EFEITO!$N$103*EFEITO!$AA$103</f>
        <v>2246.408182566473</v>
      </c>
      <c r="M103" s="55">
        <f>$J$103-EFEITO!$K$103*EFEITO!$Y$103</f>
        <v>0</v>
      </c>
      <c r="N103" s="55">
        <f ca="1">$K$103-EFEITO!$M$103*EFEITO!$Z$103</f>
        <v>0</v>
      </c>
      <c r="O103" s="55">
        <f>$L$103-EFEITO!$O$103*EFEITO!$AA$103</f>
        <v>0</v>
      </c>
      <c r="P103" s="39"/>
      <c r="Q103" s="39"/>
      <c r="R103" s="39"/>
      <c r="S103" s="39"/>
      <c r="T103" s="39"/>
      <c r="U103" s="39"/>
      <c r="V103" s="39"/>
      <c r="W103" s="39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35" t="s">
        <v>21</v>
      </c>
      <c r="B104" s="35" t="s">
        <v>34</v>
      </c>
      <c r="C104" s="35" t="s">
        <v>35</v>
      </c>
      <c r="D104" s="35" t="s">
        <v>33</v>
      </c>
      <c r="E104" s="35" t="s">
        <v>25</v>
      </c>
      <c r="F104" s="35" t="s">
        <v>25</v>
      </c>
      <c r="G104" s="35" t="s">
        <v>25</v>
      </c>
      <c r="H104" s="35" t="s">
        <v>36</v>
      </c>
      <c r="I104" s="54">
        <v>44593</v>
      </c>
      <c r="J104" s="55">
        <f>EFEITO!$J$104*EFEITO!$Y$104</f>
        <v>0</v>
      </c>
      <c r="K104" s="55">
        <f ca="1">EFEITO!$L$104*EFEITO!$Z$104</f>
        <v>6244.6673021846727</v>
      </c>
      <c r="L104" s="55">
        <f>EFEITO!$N$104*EFEITO!$AA$104</f>
        <v>2284.4510558234001</v>
      </c>
      <c r="M104" s="55">
        <f>$J$104-EFEITO!$K$104*EFEITO!$Y$104</f>
        <v>0</v>
      </c>
      <c r="N104" s="55">
        <f ca="1">$K$104-EFEITO!$M$104*EFEITO!$Z$104</f>
        <v>0</v>
      </c>
      <c r="O104" s="55">
        <f>$L$104-EFEITO!$O$104*EFEITO!$AA$104</f>
        <v>0</v>
      </c>
      <c r="P104" s="39"/>
      <c r="Q104" s="39"/>
      <c r="R104" s="39"/>
      <c r="S104" s="39"/>
      <c r="T104" s="39"/>
      <c r="U104" s="39"/>
      <c r="V104" s="39"/>
      <c r="W104" s="39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35" t="s">
        <v>21</v>
      </c>
      <c r="B105" s="35" t="s">
        <v>34</v>
      </c>
      <c r="C105" s="35" t="s">
        <v>35</v>
      </c>
      <c r="D105" s="35" t="s">
        <v>33</v>
      </c>
      <c r="E105" s="35" t="s">
        <v>25</v>
      </c>
      <c r="F105" s="35" t="s">
        <v>25</v>
      </c>
      <c r="G105" s="35" t="s">
        <v>25</v>
      </c>
      <c r="H105" s="35" t="s">
        <v>36</v>
      </c>
      <c r="I105" s="54">
        <v>44621</v>
      </c>
      <c r="J105" s="55">
        <f>EFEITO!$J$105*EFEITO!$Y$105</f>
        <v>0</v>
      </c>
      <c r="K105" s="55">
        <f ca="1">EFEITO!$L$105*EFEITO!$Z$105</f>
        <v>7149.7845817981997</v>
      </c>
      <c r="L105" s="55">
        <f>EFEITO!$N$105*EFEITO!$AA$105</f>
        <v>2615.5649526892507</v>
      </c>
      <c r="M105" s="55">
        <f>$J$105-EFEITO!$K$105*EFEITO!$Y$105</f>
        <v>0</v>
      </c>
      <c r="N105" s="55">
        <f ca="1">$K$105-EFEITO!$M$105*EFEITO!$Z$105</f>
        <v>0</v>
      </c>
      <c r="O105" s="55">
        <f>$L$105-EFEITO!$O$105*EFEITO!$AA$105</f>
        <v>0</v>
      </c>
      <c r="P105" s="39"/>
      <c r="Q105" s="39"/>
      <c r="R105" s="39"/>
      <c r="S105" s="39"/>
      <c r="T105" s="39"/>
      <c r="U105" s="39"/>
      <c r="V105" s="39"/>
      <c r="W105" s="39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35" t="s">
        <v>21</v>
      </c>
      <c r="B106" s="35" t="s">
        <v>34</v>
      </c>
      <c r="C106" s="35" t="s">
        <v>35</v>
      </c>
      <c r="D106" s="35" t="s">
        <v>33</v>
      </c>
      <c r="E106" s="35" t="s">
        <v>25</v>
      </c>
      <c r="F106" s="35" t="s">
        <v>25</v>
      </c>
      <c r="G106" s="35" t="s">
        <v>25</v>
      </c>
      <c r="H106" s="35" t="s">
        <v>36</v>
      </c>
      <c r="I106" s="54">
        <v>44652</v>
      </c>
      <c r="J106" s="55">
        <f>EFEITO!$J$106*EFEITO!$Y$106</f>
        <v>0</v>
      </c>
      <c r="K106" s="55">
        <f ca="1">EFEITO!$L$106*EFEITO!$Z$106</f>
        <v>5046.8312427812398</v>
      </c>
      <c r="L106" s="55">
        <f>EFEITO!$N$106*EFEITO!$AA$106</f>
        <v>1846.2535157158277</v>
      </c>
      <c r="M106" s="55">
        <f>$J$106-EFEITO!$K$106*EFEITO!$Y$106</f>
        <v>0</v>
      </c>
      <c r="N106" s="55">
        <f ca="1">$K$106-EFEITO!$M$106*EFEITO!$Z$106</f>
        <v>0</v>
      </c>
      <c r="O106" s="55">
        <f>$L$106-EFEITO!$O$106*EFEITO!$AA$106</f>
        <v>0</v>
      </c>
      <c r="P106" s="39"/>
      <c r="Q106" s="39"/>
      <c r="R106" s="39"/>
      <c r="S106" s="39"/>
      <c r="T106" s="39"/>
      <c r="U106" s="39"/>
      <c r="V106" s="39"/>
      <c r="W106" s="39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35" t="s">
        <v>21</v>
      </c>
      <c r="B107" s="35" t="s">
        <v>34</v>
      </c>
      <c r="C107" s="35" t="s">
        <v>35</v>
      </c>
      <c r="D107" s="35" t="s">
        <v>33</v>
      </c>
      <c r="E107" s="35" t="s">
        <v>25</v>
      </c>
      <c r="F107" s="35" t="s">
        <v>25</v>
      </c>
      <c r="G107" s="35" t="s">
        <v>25</v>
      </c>
      <c r="H107" s="35" t="s">
        <v>36</v>
      </c>
      <c r="I107" s="54">
        <v>44682</v>
      </c>
      <c r="J107" s="55">
        <f>EFEITO!$J$107*EFEITO!$Y$107</f>
        <v>0</v>
      </c>
      <c r="K107" s="55">
        <f ca="1">EFEITO!$L$107*EFEITO!$Z$107</f>
        <v>7297.4278259904777</v>
      </c>
      <c r="L107" s="55">
        <f>EFEITO!$N$107*EFEITO!$AA$107</f>
        <v>2669.5764394120492</v>
      </c>
      <c r="M107" s="55">
        <f>$J$107-EFEITO!$K$107*EFEITO!$Y$107</f>
        <v>0</v>
      </c>
      <c r="N107" s="55">
        <f ca="1">$K$107-EFEITO!$M$107*EFEITO!$Z$107</f>
        <v>0</v>
      </c>
      <c r="O107" s="55">
        <f>$L$107-EFEITO!$O$107*EFEITO!$AA$107</f>
        <v>0</v>
      </c>
      <c r="P107" s="39"/>
      <c r="Q107" s="39"/>
      <c r="R107" s="39"/>
      <c r="S107" s="39"/>
      <c r="T107" s="39"/>
      <c r="U107" s="39"/>
      <c r="V107" s="39"/>
      <c r="W107" s="39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35" t="s">
        <v>21</v>
      </c>
      <c r="B108" s="35" t="s">
        <v>34</v>
      </c>
      <c r="C108" s="35" t="s">
        <v>35</v>
      </c>
      <c r="D108" s="35" t="s">
        <v>33</v>
      </c>
      <c r="E108" s="35" t="s">
        <v>25</v>
      </c>
      <c r="F108" s="35" t="s">
        <v>25</v>
      </c>
      <c r="G108" s="35" t="s">
        <v>25</v>
      </c>
      <c r="H108" s="35" t="s">
        <v>36</v>
      </c>
      <c r="I108" s="54">
        <v>44713</v>
      </c>
      <c r="J108" s="55">
        <f>EFEITO!$J$108*EFEITO!$Y$108</f>
        <v>0</v>
      </c>
      <c r="K108" s="55">
        <f ca="1">EFEITO!$L$108*EFEITO!$Z$108</f>
        <v>7124.1074958517174</v>
      </c>
      <c r="L108" s="55">
        <f>EFEITO!$N$108*EFEITO!$AA$108</f>
        <v>2606.1716506505031</v>
      </c>
      <c r="M108" s="55">
        <f>$J$108-EFEITO!$K$108*EFEITO!$Y$108</f>
        <v>0</v>
      </c>
      <c r="N108" s="55">
        <f ca="1">$K$108-EFEITO!$M$108*EFEITO!$Z$108</f>
        <v>0</v>
      </c>
      <c r="O108" s="55">
        <f>$L$108-EFEITO!$O$108*EFEITO!$AA$108</f>
        <v>0</v>
      </c>
      <c r="P108" s="39"/>
      <c r="Q108" s="39"/>
      <c r="R108" s="39"/>
      <c r="S108" s="39"/>
      <c r="T108" s="39"/>
      <c r="U108" s="39"/>
      <c r="V108" s="39"/>
      <c r="W108" s="39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35" t="s">
        <v>21</v>
      </c>
      <c r="B109" s="35" t="s">
        <v>34</v>
      </c>
      <c r="C109" s="35" t="s">
        <v>35</v>
      </c>
      <c r="D109" s="35" t="s">
        <v>33</v>
      </c>
      <c r="E109" s="35" t="s">
        <v>25</v>
      </c>
      <c r="F109" s="35" t="s">
        <v>25</v>
      </c>
      <c r="G109" s="35" t="s">
        <v>25</v>
      </c>
      <c r="H109" s="35" t="s">
        <v>36</v>
      </c>
      <c r="I109" s="54">
        <v>44743</v>
      </c>
      <c r="J109" s="55">
        <f>EFEITO!$J$109*EFEITO!$Y$109</f>
        <v>0</v>
      </c>
      <c r="K109" s="55">
        <f ca="1">EFEITO!$L$109*EFEITO!$Z$109</f>
        <v>5738.8287090389567</v>
      </c>
      <c r="L109" s="55">
        <f>EFEITO!$N$109*EFEITO!$AA$109</f>
        <v>2099.4030056600736</v>
      </c>
      <c r="M109" s="55">
        <f>$J$109-EFEITO!$K$109*EFEITO!$Y$109</f>
        <v>0</v>
      </c>
      <c r="N109" s="55">
        <f ca="1">$K$109-EFEITO!$M$109*EFEITO!$Z$109</f>
        <v>0</v>
      </c>
      <c r="O109" s="55">
        <f>$L$109-EFEITO!$O$109*EFEITO!$AA$109</f>
        <v>0</v>
      </c>
      <c r="P109" s="39"/>
      <c r="Q109" s="39"/>
      <c r="R109" s="39"/>
      <c r="S109" s="39"/>
      <c r="T109" s="39"/>
      <c r="U109" s="39"/>
      <c r="V109" s="39"/>
      <c r="W109" s="39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35" t="s">
        <v>21</v>
      </c>
      <c r="B110" s="35" t="s">
        <v>22</v>
      </c>
      <c r="C110" s="35" t="s">
        <v>23</v>
      </c>
      <c r="D110" s="35" t="s">
        <v>24</v>
      </c>
      <c r="E110" s="35" t="s">
        <v>24</v>
      </c>
      <c r="F110" s="35" t="s">
        <v>25</v>
      </c>
      <c r="G110" s="35" t="s">
        <v>25</v>
      </c>
      <c r="H110" s="35" t="s">
        <v>25</v>
      </c>
      <c r="I110" s="54">
        <v>44409</v>
      </c>
      <c r="J110" s="55">
        <f>EFEITO!$J$110*EFEITO!$Y$110</f>
        <v>0</v>
      </c>
      <c r="K110" s="55">
        <f ca="1">EFEITO!$L$110*EFEITO!$Z$110</f>
        <v>267575.674941734</v>
      </c>
      <c r="L110" s="55">
        <f>EFEITO!$N$110*EFEITO!$AA$110</f>
        <v>157652.83418616926</v>
      </c>
      <c r="M110" s="55">
        <f>$J$110-EFEITO!$K$110*EFEITO!$Y$110</f>
        <v>0</v>
      </c>
      <c r="N110" s="55">
        <f ca="1">$K$110-EFEITO!$M$110*EFEITO!$Z$110</f>
        <v>0</v>
      </c>
      <c r="O110" s="55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35" t="s">
        <v>27</v>
      </c>
      <c r="B111" s="35" t="s">
        <v>22</v>
      </c>
      <c r="C111" s="35" t="s">
        <v>23</v>
      </c>
      <c r="D111" s="35" t="s">
        <v>24</v>
      </c>
      <c r="E111" s="35" t="s">
        <v>24</v>
      </c>
      <c r="F111" s="35" t="s">
        <v>25</v>
      </c>
      <c r="G111" s="35" t="s">
        <v>25</v>
      </c>
      <c r="H111" s="35" t="s">
        <v>25</v>
      </c>
      <c r="I111" s="54">
        <v>44409</v>
      </c>
      <c r="J111" s="55">
        <f>EFEITO!$J$111*EFEITO!$Y$111</f>
        <v>0</v>
      </c>
      <c r="K111" s="55">
        <f ca="1">EFEITO!$L$111*EFEITO!$Z$111</f>
        <v>1178.0175907662413</v>
      </c>
      <c r="L111" s="55">
        <f>EFEITO!$N$111*EFEITO!$AA$111</f>
        <v>694.07584208056971</v>
      </c>
      <c r="M111" s="55">
        <f>$J$111-EFEITO!$K$111*EFEITO!$Y$111</f>
        <v>0</v>
      </c>
      <c r="N111" s="55">
        <f ca="1">$K$111-EFEITO!$M$111*EFEITO!$Z$111</f>
        <v>0</v>
      </c>
      <c r="O111" s="55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35" t="s">
        <v>21</v>
      </c>
      <c r="B112" s="35" t="s">
        <v>22</v>
      </c>
      <c r="C112" s="35" t="s">
        <v>23</v>
      </c>
      <c r="D112" s="35" t="s">
        <v>24</v>
      </c>
      <c r="E112" s="35" t="s">
        <v>24</v>
      </c>
      <c r="F112" s="35" t="s">
        <v>25</v>
      </c>
      <c r="G112" s="35" t="s">
        <v>25</v>
      </c>
      <c r="H112" s="35" t="s">
        <v>25</v>
      </c>
      <c r="I112" s="54">
        <v>44440</v>
      </c>
      <c r="J112" s="55">
        <f>EFEITO!$J$112*EFEITO!$Y$112</f>
        <v>0</v>
      </c>
      <c r="K112" s="55">
        <f ca="1">EFEITO!$L$112*EFEITO!$Z$112</f>
        <v>247860.52244528531</v>
      </c>
      <c r="L112" s="55">
        <f>EFEITO!$N$112*EFEITO!$AA$112</f>
        <v>146036.86921418709</v>
      </c>
      <c r="M112" s="55">
        <f>$J$112-EFEITO!$K$112*EFEITO!$Y$112</f>
        <v>0</v>
      </c>
      <c r="N112" s="55">
        <f ca="1">$K$112-EFEITO!$M$112*EFEITO!$Z$112</f>
        <v>0</v>
      </c>
      <c r="O112" s="55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35" t="s">
        <v>27</v>
      </c>
      <c r="B113" s="35" t="s">
        <v>22</v>
      </c>
      <c r="C113" s="35" t="s">
        <v>23</v>
      </c>
      <c r="D113" s="35" t="s">
        <v>24</v>
      </c>
      <c r="E113" s="35" t="s">
        <v>24</v>
      </c>
      <c r="F113" s="35" t="s">
        <v>25</v>
      </c>
      <c r="G113" s="35" t="s">
        <v>25</v>
      </c>
      <c r="H113" s="35" t="s">
        <v>25</v>
      </c>
      <c r="I113" s="54">
        <v>44440</v>
      </c>
      <c r="J113" s="55">
        <f>EFEITO!$J$113*EFEITO!$Y$113</f>
        <v>0</v>
      </c>
      <c r="K113" s="55">
        <f ca="1">EFEITO!$L$113*EFEITO!$Z$113</f>
        <v>1247.5447905561284</v>
      </c>
      <c r="L113" s="55">
        <f>EFEITO!$N$113*EFEITO!$AA$113</f>
        <v>735.04055272659753</v>
      </c>
      <c r="M113" s="55">
        <f>$J$113-EFEITO!$K$113*EFEITO!$Y$113</f>
        <v>0</v>
      </c>
      <c r="N113" s="55">
        <f ca="1">$K$113-EFEITO!$M$113*EFEITO!$Z$113</f>
        <v>0</v>
      </c>
      <c r="O113" s="55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35" t="s">
        <v>21</v>
      </c>
      <c r="B114" s="35" t="s">
        <v>22</v>
      </c>
      <c r="C114" s="35" t="s">
        <v>23</v>
      </c>
      <c r="D114" s="35" t="s">
        <v>24</v>
      </c>
      <c r="E114" s="35" t="s">
        <v>24</v>
      </c>
      <c r="F114" s="35" t="s">
        <v>25</v>
      </c>
      <c r="G114" s="35" t="s">
        <v>25</v>
      </c>
      <c r="H114" s="35" t="s">
        <v>25</v>
      </c>
      <c r="I114" s="54">
        <v>44470</v>
      </c>
      <c r="J114" s="55">
        <f>EFEITO!$J$114*EFEITO!$Y$114</f>
        <v>0</v>
      </c>
      <c r="K114" s="55">
        <f ca="1">EFEITO!$L$114*EFEITO!$Z$114</f>
        <v>277410.56855740276</v>
      </c>
      <c r="L114" s="55">
        <f>EFEITO!$N$114*EFEITO!$AA$114</f>
        <v>163447.45229847435</v>
      </c>
      <c r="M114" s="55">
        <f>$J$114-EFEITO!$K$114*EFEITO!$Y$114</f>
        <v>0</v>
      </c>
      <c r="N114" s="55">
        <f ca="1">$K$114-EFEITO!$M$114*EFEITO!$Z$114</f>
        <v>0</v>
      </c>
      <c r="O114" s="55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35" t="s">
        <v>27</v>
      </c>
      <c r="B115" s="35" t="s">
        <v>22</v>
      </c>
      <c r="C115" s="35" t="s">
        <v>23</v>
      </c>
      <c r="D115" s="35" t="s">
        <v>24</v>
      </c>
      <c r="E115" s="35" t="s">
        <v>24</v>
      </c>
      <c r="F115" s="35" t="s">
        <v>25</v>
      </c>
      <c r="G115" s="35" t="s">
        <v>25</v>
      </c>
      <c r="H115" s="35" t="s">
        <v>25</v>
      </c>
      <c r="I115" s="54">
        <v>44470</v>
      </c>
      <c r="J115" s="55">
        <f>EFEITO!$J$115*EFEITO!$Y$115</f>
        <v>0</v>
      </c>
      <c r="K115" s="55">
        <f ca="1">EFEITO!$L$115*EFEITO!$Z$115</f>
        <v>1326.4409037928797</v>
      </c>
      <c r="L115" s="55">
        <f>EFEITO!$N$115*EFEITO!$AA$115</f>
        <v>781.52533076464329</v>
      </c>
      <c r="M115" s="55">
        <f>$J$115-EFEITO!$K$115*EFEITO!$Y$115</f>
        <v>0</v>
      </c>
      <c r="N115" s="55">
        <f ca="1">$K$115-EFEITO!$M$115*EFEITO!$Z$115</f>
        <v>0</v>
      </c>
      <c r="O115" s="55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35" t="s">
        <v>21</v>
      </c>
      <c r="B116" s="35" t="s">
        <v>22</v>
      </c>
      <c r="C116" s="35" t="s">
        <v>23</v>
      </c>
      <c r="D116" s="35" t="s">
        <v>24</v>
      </c>
      <c r="E116" s="35" t="s">
        <v>24</v>
      </c>
      <c r="F116" s="35" t="s">
        <v>25</v>
      </c>
      <c r="G116" s="35" t="s">
        <v>25</v>
      </c>
      <c r="H116" s="35" t="s">
        <v>25</v>
      </c>
      <c r="I116" s="54">
        <v>44501</v>
      </c>
      <c r="J116" s="55">
        <f>EFEITO!$J$116*EFEITO!$Y$116</f>
        <v>0</v>
      </c>
      <c r="K116" s="55">
        <f ca="1">EFEITO!$L$116*EFEITO!$Z$116</f>
        <v>275811.44296223536</v>
      </c>
      <c r="L116" s="55">
        <f>EFEITO!$N$116*EFEITO!$AA$116</f>
        <v>162505.26395361574</v>
      </c>
      <c r="M116" s="55">
        <f>$J$116-EFEITO!$K$116*EFEITO!$Y$116</f>
        <v>0</v>
      </c>
      <c r="N116" s="55">
        <f ca="1">$K$116-EFEITO!$M$116*EFEITO!$Z$116</f>
        <v>0</v>
      </c>
      <c r="O116" s="55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35" t="s">
        <v>27</v>
      </c>
      <c r="B117" s="35" t="s">
        <v>22</v>
      </c>
      <c r="C117" s="35" t="s">
        <v>23</v>
      </c>
      <c r="D117" s="35" t="s">
        <v>24</v>
      </c>
      <c r="E117" s="35" t="s">
        <v>24</v>
      </c>
      <c r="F117" s="35" t="s">
        <v>25</v>
      </c>
      <c r="G117" s="35" t="s">
        <v>25</v>
      </c>
      <c r="H117" s="35" t="s">
        <v>25</v>
      </c>
      <c r="I117" s="54">
        <v>44501</v>
      </c>
      <c r="J117" s="55">
        <f>EFEITO!$J$117*EFEITO!$Y$117</f>
        <v>0</v>
      </c>
      <c r="K117" s="55">
        <f ca="1">EFEITO!$L$117*EFEITO!$Z$117</f>
        <v>1014.3081557999827</v>
      </c>
      <c r="L117" s="55">
        <f>EFEITO!$N$117*EFEITO!$AA$117</f>
        <v>597.61992765162495</v>
      </c>
      <c r="M117" s="55">
        <f>$J$117-EFEITO!$K$117*EFEITO!$Y$117</f>
        <v>0</v>
      </c>
      <c r="N117" s="55">
        <f ca="1">$K$117-EFEITO!$M$117*EFEITO!$Z$117</f>
        <v>0</v>
      </c>
      <c r="O117" s="55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35" t="s">
        <v>21</v>
      </c>
      <c r="B118" s="35" t="s">
        <v>22</v>
      </c>
      <c r="C118" s="35" t="s">
        <v>23</v>
      </c>
      <c r="D118" s="35" t="s">
        <v>24</v>
      </c>
      <c r="E118" s="35" t="s">
        <v>24</v>
      </c>
      <c r="F118" s="35" t="s">
        <v>25</v>
      </c>
      <c r="G118" s="35" t="s">
        <v>25</v>
      </c>
      <c r="H118" s="35" t="s">
        <v>25</v>
      </c>
      <c r="I118" s="54">
        <v>44531</v>
      </c>
      <c r="J118" s="55">
        <f>EFEITO!$J$118*EFEITO!$Y$118</f>
        <v>0</v>
      </c>
      <c r="K118" s="55">
        <f ca="1">EFEITO!$L$118*EFEITO!$Z$118</f>
        <v>261427.69531776017</v>
      </c>
      <c r="L118" s="55">
        <f>EFEITO!$N$118*EFEITO!$AA$118</f>
        <v>154030.50785755453</v>
      </c>
      <c r="M118" s="55">
        <f>$J$118-EFEITO!$K$118*EFEITO!$Y$118</f>
        <v>0</v>
      </c>
      <c r="N118" s="55">
        <f ca="1">$K$118-EFEITO!$M$118*EFEITO!$Z$118</f>
        <v>0</v>
      </c>
      <c r="O118" s="55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35" t="s">
        <v>27</v>
      </c>
      <c r="B119" s="35" t="s">
        <v>22</v>
      </c>
      <c r="C119" s="35" t="s">
        <v>23</v>
      </c>
      <c r="D119" s="35" t="s">
        <v>24</v>
      </c>
      <c r="E119" s="35" t="s">
        <v>24</v>
      </c>
      <c r="F119" s="35" t="s">
        <v>25</v>
      </c>
      <c r="G119" s="35" t="s">
        <v>25</v>
      </c>
      <c r="H119" s="35" t="s">
        <v>25</v>
      </c>
      <c r="I119" s="54">
        <v>44531</v>
      </c>
      <c r="J119" s="55">
        <f>EFEITO!$J$119*EFEITO!$Y$119</f>
        <v>0</v>
      </c>
      <c r="K119" s="55">
        <f ca="1">EFEITO!$L$119*EFEITO!$Z$119</f>
        <v>995.5703289062543</v>
      </c>
      <c r="L119" s="55">
        <f>EFEITO!$N$119*EFEITO!$AA$119</f>
        <v>586.57979286758916</v>
      </c>
      <c r="M119" s="55">
        <f>$J$119-EFEITO!$K$119*EFEITO!$Y$119</f>
        <v>0</v>
      </c>
      <c r="N119" s="55">
        <f ca="1">$K$119-EFEITO!$M$119*EFEITO!$Z$119</f>
        <v>0</v>
      </c>
      <c r="O119" s="55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35" t="s">
        <v>21</v>
      </c>
      <c r="B120" s="35" t="s">
        <v>22</v>
      </c>
      <c r="C120" s="35" t="s">
        <v>23</v>
      </c>
      <c r="D120" s="35" t="s">
        <v>24</v>
      </c>
      <c r="E120" s="35" t="s">
        <v>24</v>
      </c>
      <c r="F120" s="35" t="s">
        <v>25</v>
      </c>
      <c r="G120" s="35" t="s">
        <v>25</v>
      </c>
      <c r="H120" s="35" t="s">
        <v>25</v>
      </c>
      <c r="I120" s="54">
        <v>44562</v>
      </c>
      <c r="J120" s="55">
        <f>EFEITO!$J$120*EFEITO!$Y$120</f>
        <v>0</v>
      </c>
      <c r="K120" s="55">
        <f ca="1">EFEITO!$L$120*EFEITO!$Z$120</f>
        <v>251914.7964642389</v>
      </c>
      <c r="L120" s="55">
        <f>EFEITO!$N$120*EFEITO!$AA$120</f>
        <v>148425.60574561718</v>
      </c>
      <c r="M120" s="55">
        <f>$J$120-EFEITO!$K$120*EFEITO!$Y$120</f>
        <v>0</v>
      </c>
      <c r="N120" s="55">
        <f ca="1">$K$120-EFEITO!$M$120*EFEITO!$Z$120</f>
        <v>0</v>
      </c>
      <c r="O120" s="55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35" t="s">
        <v>27</v>
      </c>
      <c r="B121" s="35" t="s">
        <v>22</v>
      </c>
      <c r="C121" s="35" t="s">
        <v>23</v>
      </c>
      <c r="D121" s="35" t="s">
        <v>24</v>
      </c>
      <c r="E121" s="35" t="s">
        <v>24</v>
      </c>
      <c r="F121" s="35" t="s">
        <v>25</v>
      </c>
      <c r="G121" s="35" t="s">
        <v>25</v>
      </c>
      <c r="H121" s="35" t="s">
        <v>25</v>
      </c>
      <c r="I121" s="54">
        <v>44562</v>
      </c>
      <c r="J121" s="55">
        <f>EFEITO!$J$121*EFEITO!$Y$121</f>
        <v>0</v>
      </c>
      <c r="K121" s="55">
        <f ca="1">EFEITO!$L$121*EFEITO!$Z$121</f>
        <v>1575.4567611963755</v>
      </c>
      <c r="L121" s="55">
        <f>EFEITO!$N$121*EFEITO!$AA$121</f>
        <v>928.24291144722497</v>
      </c>
      <c r="M121" s="55">
        <f>$J$121-EFEITO!$K$121*EFEITO!$Y$121</f>
        <v>0</v>
      </c>
      <c r="N121" s="55">
        <f ca="1">$K$121-EFEITO!$M$121*EFEITO!$Z$121</f>
        <v>0</v>
      </c>
      <c r="O121" s="55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35" t="s">
        <v>21</v>
      </c>
      <c r="B122" s="35" t="s">
        <v>22</v>
      </c>
      <c r="C122" s="35" t="s">
        <v>23</v>
      </c>
      <c r="D122" s="35" t="s">
        <v>24</v>
      </c>
      <c r="E122" s="35" t="s">
        <v>24</v>
      </c>
      <c r="F122" s="35" t="s">
        <v>25</v>
      </c>
      <c r="G122" s="35" t="s">
        <v>25</v>
      </c>
      <c r="H122" s="35" t="s">
        <v>25</v>
      </c>
      <c r="I122" s="54">
        <v>44593</v>
      </c>
      <c r="J122" s="55">
        <f>EFEITO!$J$122*EFEITO!$Y$122</f>
        <v>0</v>
      </c>
      <c r="K122" s="55">
        <f ca="1">EFEITO!$L$122*EFEITO!$Z$122</f>
        <v>336804.54880344454</v>
      </c>
      <c r="L122" s="55">
        <f>EFEITO!$N$122*EFEITO!$AA$122</f>
        <v>198441.77426524065</v>
      </c>
      <c r="M122" s="55">
        <f>$J$122-EFEITO!$K$122*EFEITO!$Y$122</f>
        <v>0</v>
      </c>
      <c r="N122" s="55">
        <f ca="1">$K$122-EFEITO!$M$122*EFEITO!$Z$122</f>
        <v>0</v>
      </c>
      <c r="O122" s="55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35" t="s">
        <v>27</v>
      </c>
      <c r="B123" s="35" t="s">
        <v>22</v>
      </c>
      <c r="C123" s="35" t="s">
        <v>23</v>
      </c>
      <c r="D123" s="35" t="s">
        <v>24</v>
      </c>
      <c r="E123" s="35" t="s">
        <v>24</v>
      </c>
      <c r="F123" s="35" t="s">
        <v>25</v>
      </c>
      <c r="G123" s="35" t="s">
        <v>25</v>
      </c>
      <c r="H123" s="35" t="s">
        <v>25</v>
      </c>
      <c r="I123" s="54">
        <v>44593</v>
      </c>
      <c r="J123" s="55">
        <f>EFEITO!$J$123*EFEITO!$Y$123</f>
        <v>0</v>
      </c>
      <c r="K123" s="55">
        <f ca="1">EFEITO!$L$123*EFEITO!$Z$123</f>
        <v>2261.8529463561113</v>
      </c>
      <c r="L123" s="55">
        <f>EFEITO!$N$123*EFEITO!$AA$123</f>
        <v>1332.6604803782225</v>
      </c>
      <c r="M123" s="55">
        <f>$J$123-EFEITO!$K$123*EFEITO!$Y$123</f>
        <v>0</v>
      </c>
      <c r="N123" s="55">
        <f ca="1">$K$123-EFEITO!$M$123*EFEITO!$Z$123</f>
        <v>0</v>
      </c>
      <c r="O123" s="55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35" t="s">
        <v>21</v>
      </c>
      <c r="B124" s="35" t="s">
        <v>22</v>
      </c>
      <c r="C124" s="35" t="s">
        <v>23</v>
      </c>
      <c r="D124" s="35" t="s">
        <v>24</v>
      </c>
      <c r="E124" s="35" t="s">
        <v>24</v>
      </c>
      <c r="F124" s="35" t="s">
        <v>25</v>
      </c>
      <c r="G124" s="35" t="s">
        <v>25</v>
      </c>
      <c r="H124" s="35" t="s">
        <v>25</v>
      </c>
      <c r="I124" s="54">
        <v>44621</v>
      </c>
      <c r="J124" s="55">
        <f>EFEITO!$J$124*EFEITO!$Y$124</f>
        <v>0</v>
      </c>
      <c r="K124" s="55">
        <f ca="1">EFEITO!$L$124*EFEITO!$Z$124</f>
        <v>268231.49888301449</v>
      </c>
      <c r="L124" s="55">
        <f>EFEITO!$N$124*EFEITO!$AA$124</f>
        <v>158039.2389036105</v>
      </c>
      <c r="M124" s="55">
        <f>$J$124-EFEITO!$K$124*EFEITO!$Y$124</f>
        <v>0</v>
      </c>
      <c r="N124" s="55">
        <f ca="1">$K$124-EFEITO!$M$124*EFEITO!$Z$124</f>
        <v>0</v>
      </c>
      <c r="O124" s="55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35" t="s">
        <v>27</v>
      </c>
      <c r="B125" s="35" t="s">
        <v>22</v>
      </c>
      <c r="C125" s="35" t="s">
        <v>23</v>
      </c>
      <c r="D125" s="35" t="s">
        <v>24</v>
      </c>
      <c r="E125" s="35" t="s">
        <v>24</v>
      </c>
      <c r="F125" s="35" t="s">
        <v>25</v>
      </c>
      <c r="G125" s="35" t="s">
        <v>25</v>
      </c>
      <c r="H125" s="35" t="s">
        <v>25</v>
      </c>
      <c r="I125" s="54">
        <v>44621</v>
      </c>
      <c r="J125" s="55">
        <f>EFEITO!$J$125*EFEITO!$Y$125</f>
        <v>0</v>
      </c>
      <c r="K125" s="55">
        <f ca="1">EFEITO!$L$125*EFEITO!$Z$125</f>
        <v>1797.3520796747384</v>
      </c>
      <c r="L125" s="55">
        <f>EFEITO!$N$125*EFEITO!$AA$125</f>
        <v>1058.9813496792285</v>
      </c>
      <c r="M125" s="55">
        <f>$J$125-EFEITO!$K$125*EFEITO!$Y$125</f>
        <v>0</v>
      </c>
      <c r="N125" s="55">
        <f ca="1">$K$125-EFEITO!$M$125*EFEITO!$Z$125</f>
        <v>0</v>
      </c>
      <c r="O125" s="55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35" t="s">
        <v>21</v>
      </c>
      <c r="B126" s="35" t="s">
        <v>22</v>
      </c>
      <c r="C126" s="35" t="s">
        <v>23</v>
      </c>
      <c r="D126" s="35" t="s">
        <v>24</v>
      </c>
      <c r="E126" s="35" t="s">
        <v>24</v>
      </c>
      <c r="F126" s="35" t="s">
        <v>25</v>
      </c>
      <c r="G126" s="35" t="s">
        <v>25</v>
      </c>
      <c r="H126" s="35" t="s">
        <v>25</v>
      </c>
      <c r="I126" s="54">
        <v>44652</v>
      </c>
      <c r="J126" s="55">
        <f>EFEITO!$J$126*EFEITO!$Y$126</f>
        <v>0</v>
      </c>
      <c r="K126" s="55">
        <f ca="1">EFEITO!$L$126*EFEITO!$Z$126</f>
        <v>289768.16539381666</v>
      </c>
      <c r="L126" s="55">
        <f>EFEITO!$N$126*EFEITO!$AA$126</f>
        <v>170728.42118854602</v>
      </c>
      <c r="M126" s="55">
        <f>$J$126-EFEITO!$K$126*EFEITO!$Y$126</f>
        <v>0</v>
      </c>
      <c r="N126" s="55">
        <f ca="1">$K$126-EFEITO!$M$126*EFEITO!$Z$126</f>
        <v>0</v>
      </c>
      <c r="O126" s="55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35" t="s">
        <v>27</v>
      </c>
      <c r="B127" s="35" t="s">
        <v>22</v>
      </c>
      <c r="C127" s="35" t="s">
        <v>23</v>
      </c>
      <c r="D127" s="35" t="s">
        <v>24</v>
      </c>
      <c r="E127" s="35" t="s">
        <v>24</v>
      </c>
      <c r="F127" s="35" t="s">
        <v>25</v>
      </c>
      <c r="G127" s="35" t="s">
        <v>25</v>
      </c>
      <c r="H127" s="35" t="s">
        <v>25</v>
      </c>
      <c r="I127" s="54">
        <v>44652</v>
      </c>
      <c r="J127" s="55">
        <f>EFEITO!$J$127*EFEITO!$Y$127</f>
        <v>0</v>
      </c>
      <c r="K127" s="55">
        <f ca="1">EFEITO!$L$127*EFEITO!$Z$127</f>
        <v>2983.259281764655</v>
      </c>
      <c r="L127" s="55">
        <f>EFEITO!$N$127*EFEITO!$AA$127</f>
        <v>1757.7056695636029</v>
      </c>
      <c r="M127" s="55">
        <f>$J$127-EFEITO!$K$127*EFEITO!$Y$127</f>
        <v>0</v>
      </c>
      <c r="N127" s="55">
        <f ca="1">$K$127-EFEITO!$M$127*EFEITO!$Z$127</f>
        <v>0</v>
      </c>
      <c r="O127" s="55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35" t="s">
        <v>21</v>
      </c>
      <c r="B128" s="35" t="s">
        <v>22</v>
      </c>
      <c r="C128" s="35" t="s">
        <v>23</v>
      </c>
      <c r="D128" s="35" t="s">
        <v>24</v>
      </c>
      <c r="E128" s="35" t="s">
        <v>24</v>
      </c>
      <c r="F128" s="35" t="s">
        <v>25</v>
      </c>
      <c r="G128" s="35" t="s">
        <v>25</v>
      </c>
      <c r="H128" s="35" t="s">
        <v>25</v>
      </c>
      <c r="I128" s="54">
        <v>44682</v>
      </c>
      <c r="J128" s="55">
        <f>EFEITO!$J$128*EFEITO!$Y$128</f>
        <v>0</v>
      </c>
      <c r="K128" s="55">
        <f ca="1">EFEITO!$L$128*EFEITO!$Z$128</f>
        <v>257636.24397602651</v>
      </c>
      <c r="L128" s="55">
        <f>EFEITO!$N$128*EFEITO!$AA$128</f>
        <v>151796.62374296368</v>
      </c>
      <c r="M128" s="55">
        <f>$J$128-EFEITO!$K$128*EFEITO!$Y$128</f>
        <v>0</v>
      </c>
      <c r="N128" s="55">
        <f ca="1">$K$128-EFEITO!$M$128*EFEITO!$Z$128</f>
        <v>0</v>
      </c>
      <c r="O128" s="55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35" t="s">
        <v>27</v>
      </c>
      <c r="B129" s="35" t="s">
        <v>22</v>
      </c>
      <c r="C129" s="35" t="s">
        <v>23</v>
      </c>
      <c r="D129" s="35" t="s">
        <v>24</v>
      </c>
      <c r="E129" s="35" t="s">
        <v>24</v>
      </c>
      <c r="F129" s="35" t="s">
        <v>25</v>
      </c>
      <c r="G129" s="35" t="s">
        <v>25</v>
      </c>
      <c r="H129" s="35" t="s">
        <v>25</v>
      </c>
      <c r="I129" s="54">
        <v>44682</v>
      </c>
      <c r="J129" s="55">
        <f>EFEITO!$J$129*EFEITO!$Y$129</f>
        <v>0</v>
      </c>
      <c r="K129" s="55">
        <f ca="1">EFEITO!$L$129*EFEITO!$Z$129</f>
        <v>2660.7714189094345</v>
      </c>
      <c r="L129" s="55">
        <f>EFEITO!$N$129*EFEITO!$AA$129</f>
        <v>1567.6991393330911</v>
      </c>
      <c r="M129" s="55">
        <f>$J$129-EFEITO!$K$129*EFEITO!$Y$129</f>
        <v>0</v>
      </c>
      <c r="N129" s="55">
        <f ca="1">$K$129-EFEITO!$M$129*EFEITO!$Z$129</f>
        <v>0</v>
      </c>
      <c r="O129" s="55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35" t="s">
        <v>21</v>
      </c>
      <c r="B130" s="35" t="s">
        <v>22</v>
      </c>
      <c r="C130" s="35" t="s">
        <v>23</v>
      </c>
      <c r="D130" s="35" t="s">
        <v>24</v>
      </c>
      <c r="E130" s="35" t="s">
        <v>24</v>
      </c>
      <c r="F130" s="35" t="s">
        <v>25</v>
      </c>
      <c r="G130" s="35" t="s">
        <v>25</v>
      </c>
      <c r="H130" s="35" t="s">
        <v>25</v>
      </c>
      <c r="I130" s="54">
        <v>44713</v>
      </c>
      <c r="J130" s="55">
        <f>EFEITO!$J$130*EFEITO!$Y$130</f>
        <v>0</v>
      </c>
      <c r="K130" s="55">
        <f ca="1">EFEITO!$L$130*EFEITO!$Z$130</f>
        <v>248765.85534467705</v>
      </c>
      <c r="L130" s="55">
        <f>EFEITO!$N$130*EFEITO!$AA$130</f>
        <v>146570.28204217367</v>
      </c>
      <c r="M130" s="55">
        <f>$J$130-EFEITO!$K$130*EFEITO!$Y$130</f>
        <v>0</v>
      </c>
      <c r="N130" s="55">
        <f ca="1">$K$130-EFEITO!$M$130*EFEITO!$Z$130</f>
        <v>0</v>
      </c>
      <c r="O130" s="55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35" t="s">
        <v>27</v>
      </c>
      <c r="B131" s="35" t="s">
        <v>22</v>
      </c>
      <c r="C131" s="35" t="s">
        <v>23</v>
      </c>
      <c r="D131" s="35" t="s">
        <v>24</v>
      </c>
      <c r="E131" s="35" t="s">
        <v>24</v>
      </c>
      <c r="F131" s="35" t="s">
        <v>25</v>
      </c>
      <c r="G131" s="35" t="s">
        <v>25</v>
      </c>
      <c r="H131" s="35" t="s">
        <v>25</v>
      </c>
      <c r="I131" s="54">
        <v>44713</v>
      </c>
      <c r="J131" s="55">
        <f>EFEITO!$J$131*EFEITO!$Y$131</f>
        <v>0</v>
      </c>
      <c r="K131" s="55">
        <f ca="1">EFEITO!$L$131*EFEITO!$Z$131</f>
        <v>2349.6248723319968</v>
      </c>
      <c r="L131" s="55">
        <f>EFEITO!$N$131*EFEITO!$AA$131</f>
        <v>1384.3747959455484</v>
      </c>
      <c r="M131" s="55">
        <f>$J$131-EFEITO!$K$131*EFEITO!$Y$131</f>
        <v>0</v>
      </c>
      <c r="N131" s="55">
        <f ca="1">$K$131-EFEITO!$M$131*EFEITO!$Z$131</f>
        <v>0</v>
      </c>
      <c r="O131" s="55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35" t="s">
        <v>21</v>
      </c>
      <c r="B132" s="35" t="s">
        <v>22</v>
      </c>
      <c r="C132" s="35" t="s">
        <v>23</v>
      </c>
      <c r="D132" s="35" t="s">
        <v>24</v>
      </c>
      <c r="E132" s="35" t="s">
        <v>24</v>
      </c>
      <c r="F132" s="35" t="s">
        <v>25</v>
      </c>
      <c r="G132" s="35" t="s">
        <v>25</v>
      </c>
      <c r="H132" s="35" t="s">
        <v>25</v>
      </c>
      <c r="I132" s="54">
        <v>44743</v>
      </c>
      <c r="J132" s="55">
        <f>EFEITO!$J$132*EFEITO!$Y$132</f>
        <v>0</v>
      </c>
      <c r="K132" s="55">
        <f ca="1">EFEITO!$L$132*EFEITO!$Z$132</f>
        <v>281519.57675491431</v>
      </c>
      <c r="L132" s="55">
        <f>EFEITO!$N$132*EFEITO!$AA$132</f>
        <v>165868.43764466836</v>
      </c>
      <c r="M132" s="55">
        <f>$J$132-EFEITO!$K$132*EFEITO!$Y$132</f>
        <v>0</v>
      </c>
      <c r="N132" s="55">
        <f ca="1">$K$132-EFEITO!$M$132*EFEITO!$Z$132</f>
        <v>0</v>
      </c>
      <c r="O132" s="55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35" t="s">
        <v>27</v>
      </c>
      <c r="B133" s="35" t="s">
        <v>22</v>
      </c>
      <c r="C133" s="35" t="s">
        <v>23</v>
      </c>
      <c r="D133" s="35" t="s">
        <v>24</v>
      </c>
      <c r="E133" s="35" t="s">
        <v>24</v>
      </c>
      <c r="F133" s="35" t="s">
        <v>25</v>
      </c>
      <c r="G133" s="35" t="s">
        <v>25</v>
      </c>
      <c r="H133" s="35" t="s">
        <v>25</v>
      </c>
      <c r="I133" s="54">
        <v>44743</v>
      </c>
      <c r="J133" s="55">
        <f>EFEITO!$J$133*EFEITO!$Y$133</f>
        <v>0</v>
      </c>
      <c r="K133" s="55">
        <f ca="1">EFEITO!$L$133*EFEITO!$Z$133</f>
        <v>4876.765999446684</v>
      </c>
      <c r="L133" s="55">
        <f>EFEITO!$N$133*EFEITO!$AA$133</f>
        <v>2873.3403424766998</v>
      </c>
      <c r="M133" s="55">
        <f>$J$133-EFEITO!$K$133*EFEITO!$Y$133</f>
        <v>0</v>
      </c>
      <c r="N133" s="55">
        <f ca="1">$K$133-EFEITO!$M$133*EFEITO!$Z$133</f>
        <v>0</v>
      </c>
      <c r="O133" s="55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35" t="s">
        <v>21</v>
      </c>
      <c r="B134" s="35" t="s">
        <v>22</v>
      </c>
      <c r="C134" s="35" t="s">
        <v>23</v>
      </c>
      <c r="D134" s="35" t="s">
        <v>24</v>
      </c>
      <c r="E134" s="35" t="s">
        <v>28</v>
      </c>
      <c r="F134" s="35" t="s">
        <v>25</v>
      </c>
      <c r="G134" s="35" t="s">
        <v>25</v>
      </c>
      <c r="H134" s="35" t="s">
        <v>25</v>
      </c>
      <c r="I134" s="54">
        <v>44409</v>
      </c>
      <c r="J134" s="55">
        <f>EFEITO!$J$134*EFEITO!$Y$110</f>
        <v>0</v>
      </c>
      <c r="K134" s="55">
        <f ca="1">EFEITO!$L$134*EFEITO!$Z$170</f>
        <v>3877.0541037085459</v>
      </c>
      <c r="L134" s="55">
        <f>EFEITO!$N$134*EFEITO!$AA$170</f>
        <v>3050.5635587467486</v>
      </c>
      <c r="M134" s="55">
        <f>$J$134-EFEITO!$K$134*EFEITO!$Y$134</f>
        <v>0</v>
      </c>
      <c r="N134" s="55">
        <f ca="1">$K$134-EFEITO!$M$134*EFEITO!$Z$134</f>
        <v>2520.0851674105552</v>
      </c>
      <c r="O134" s="55">
        <f>$L$134-EFEITO!$O$134*EFEITO!$AA$134</f>
        <v>1982.8663131853866</v>
      </c>
      <c r="P134" s="39"/>
      <c r="Q134" s="39"/>
      <c r="R134" s="39"/>
      <c r="S134" s="39"/>
      <c r="T134" s="39"/>
      <c r="U134" s="39"/>
      <c r="V134" s="39"/>
      <c r="W134" s="39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35" t="s">
        <v>21</v>
      </c>
      <c r="B135" s="35" t="s">
        <v>22</v>
      </c>
      <c r="C135" s="35" t="s">
        <v>23</v>
      </c>
      <c r="D135" s="35" t="s">
        <v>24</v>
      </c>
      <c r="E135" s="35" t="s">
        <v>28</v>
      </c>
      <c r="F135" s="35" t="s">
        <v>25</v>
      </c>
      <c r="G135" s="35" t="s">
        <v>25</v>
      </c>
      <c r="H135" s="35" t="s">
        <v>25</v>
      </c>
      <c r="I135" s="54">
        <v>44440</v>
      </c>
      <c r="J135" s="55">
        <f>EFEITO!$J$135*EFEITO!$Y$110</f>
        <v>0</v>
      </c>
      <c r="K135" s="55">
        <f ca="1">EFEITO!$L$135*EFEITO!$Z$170</f>
        <v>3821.6676165127092</v>
      </c>
      <c r="L135" s="55">
        <f>EFEITO!$N$135*EFEITO!$AA$170</f>
        <v>3006.9840793360809</v>
      </c>
      <c r="M135" s="55">
        <f>$J$135-EFEITO!$K$135*EFEITO!$Y$135</f>
        <v>0</v>
      </c>
      <c r="N135" s="55">
        <f ca="1">$K$135-EFEITO!$M$135*EFEITO!$Z$135</f>
        <v>2484.0839507332612</v>
      </c>
      <c r="O135" s="55">
        <f>$L$135-EFEITO!$O$135*EFEITO!$AA$135</f>
        <v>1954.5396515684527</v>
      </c>
      <c r="P135" s="39"/>
      <c r="Q135" s="39"/>
      <c r="R135" s="39"/>
      <c r="S135" s="39"/>
      <c r="T135" s="39"/>
      <c r="U135" s="39"/>
      <c r="V135" s="39"/>
      <c r="W135" s="39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35" t="s">
        <v>21</v>
      </c>
      <c r="B136" s="35" t="s">
        <v>22</v>
      </c>
      <c r="C136" s="35" t="s">
        <v>23</v>
      </c>
      <c r="D136" s="35" t="s">
        <v>24</v>
      </c>
      <c r="E136" s="35" t="s">
        <v>28</v>
      </c>
      <c r="F136" s="35" t="s">
        <v>25</v>
      </c>
      <c r="G136" s="35" t="s">
        <v>25</v>
      </c>
      <c r="H136" s="35" t="s">
        <v>25</v>
      </c>
      <c r="I136" s="54">
        <v>44470</v>
      </c>
      <c r="J136" s="55">
        <f>EFEITO!$J$136*EFEITO!$Y$110</f>
        <v>0</v>
      </c>
      <c r="K136" s="55">
        <f ca="1">EFEITO!$L$136*EFEITO!$Z$170</f>
        <v>3832.7449139518767</v>
      </c>
      <c r="L136" s="55">
        <f>EFEITO!$N$136*EFEITO!$AA$170</f>
        <v>3015.6999752182146</v>
      </c>
      <c r="M136" s="55">
        <f>$J$136-EFEITO!$K$136*EFEITO!$Y$136</f>
        <v>0</v>
      </c>
      <c r="N136" s="55">
        <f ca="1">$K$136-EFEITO!$M$136*EFEITO!$Z$136</f>
        <v>2491.2841940687199</v>
      </c>
      <c r="O136" s="55">
        <f>$L$136-EFEITO!$O$136*EFEITO!$AA$136</f>
        <v>1960.2049838918394</v>
      </c>
      <c r="P136" s="39"/>
      <c r="Q136" s="39"/>
      <c r="R136" s="39"/>
      <c r="S136" s="39"/>
      <c r="T136" s="39"/>
      <c r="U136" s="39"/>
      <c r="V136" s="39"/>
      <c r="W136" s="39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35" t="s">
        <v>21</v>
      </c>
      <c r="B137" s="35" t="s">
        <v>22</v>
      </c>
      <c r="C137" s="35" t="s">
        <v>23</v>
      </c>
      <c r="D137" s="35" t="s">
        <v>24</v>
      </c>
      <c r="E137" s="35" t="s">
        <v>28</v>
      </c>
      <c r="F137" s="35" t="s">
        <v>25</v>
      </c>
      <c r="G137" s="35" t="s">
        <v>25</v>
      </c>
      <c r="H137" s="35" t="s">
        <v>25</v>
      </c>
      <c r="I137" s="54">
        <v>44501</v>
      </c>
      <c r="J137" s="55">
        <f>EFEITO!$J$137*EFEITO!$Y$110</f>
        <v>0</v>
      </c>
      <c r="K137" s="55">
        <f ca="1">EFEITO!$L$137*EFEITO!$Z$170</f>
        <v>3910.2859960260475</v>
      </c>
      <c r="L137" s="55">
        <f>EFEITO!$N$137*EFEITO!$AA$170</f>
        <v>3076.7112463931494</v>
      </c>
      <c r="M137" s="55">
        <f>$J$137-EFEITO!$K$137*EFEITO!$Y$137</f>
        <v>0</v>
      </c>
      <c r="N137" s="55">
        <f ca="1">$K$137-EFEITO!$M$137*EFEITO!$Z$137</f>
        <v>2541.6858974169309</v>
      </c>
      <c r="O137" s="55">
        <f>$L$137-EFEITO!$O$137*EFEITO!$AA$137</f>
        <v>1999.862310155547</v>
      </c>
      <c r="P137" s="39"/>
      <c r="Q137" s="39"/>
      <c r="R137" s="39"/>
      <c r="S137" s="39"/>
      <c r="T137" s="39"/>
      <c r="U137" s="39"/>
      <c r="V137" s="39"/>
      <c r="W137" s="39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35" t="s">
        <v>21</v>
      </c>
      <c r="B138" s="35" t="s">
        <v>22</v>
      </c>
      <c r="C138" s="35" t="s">
        <v>23</v>
      </c>
      <c r="D138" s="35" t="s">
        <v>24</v>
      </c>
      <c r="E138" s="35" t="s">
        <v>28</v>
      </c>
      <c r="F138" s="35" t="s">
        <v>25</v>
      </c>
      <c r="G138" s="35" t="s">
        <v>25</v>
      </c>
      <c r="H138" s="35" t="s">
        <v>25</v>
      </c>
      <c r="I138" s="54">
        <v>44531</v>
      </c>
      <c r="J138" s="55">
        <f>EFEITO!$J$138*EFEITO!$Y$110</f>
        <v>0</v>
      </c>
      <c r="K138" s="55">
        <f ca="1">EFEITO!$L$138*EFEITO!$Z$170</f>
        <v>3965.6724832218838</v>
      </c>
      <c r="L138" s="55">
        <f>EFEITO!$N$138*EFEITO!$AA$170</f>
        <v>3120.2907258038176</v>
      </c>
      <c r="M138" s="55">
        <f>$J$138-EFEITO!$K$138*EFEITO!$Y$138</f>
        <v>0</v>
      </c>
      <c r="N138" s="55">
        <f ca="1">$K$138-EFEITO!$M$138*EFEITO!$Z$138</f>
        <v>2577.6871140942244</v>
      </c>
      <c r="O138" s="55">
        <f>$L$138-EFEITO!$O$138*EFEITO!$AA$138</f>
        <v>2028.1889717724816</v>
      </c>
      <c r="P138" s="39"/>
      <c r="Q138" s="39"/>
      <c r="R138" s="39"/>
      <c r="S138" s="39"/>
      <c r="T138" s="39"/>
      <c r="U138" s="39"/>
      <c r="V138" s="39"/>
      <c r="W138" s="39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35" t="s">
        <v>21</v>
      </c>
      <c r="B139" s="35" t="s">
        <v>22</v>
      </c>
      <c r="C139" s="35" t="s">
        <v>23</v>
      </c>
      <c r="D139" s="35" t="s">
        <v>24</v>
      </c>
      <c r="E139" s="35" t="s">
        <v>28</v>
      </c>
      <c r="F139" s="35" t="s">
        <v>25</v>
      </c>
      <c r="G139" s="35" t="s">
        <v>25</v>
      </c>
      <c r="H139" s="35" t="s">
        <v>25</v>
      </c>
      <c r="I139" s="54">
        <v>44562</v>
      </c>
      <c r="J139" s="55">
        <f>EFEITO!$J$139*EFEITO!$Y$110</f>
        <v>0</v>
      </c>
      <c r="K139" s="55">
        <f ca="1">EFEITO!$L$139*EFEITO!$Z$170</f>
        <v>3987.8270781002188</v>
      </c>
      <c r="L139" s="55">
        <f>EFEITO!$N$139*EFEITO!$AA$170</f>
        <v>3137.7225175680846</v>
      </c>
      <c r="M139" s="55">
        <f>$J$139-EFEITO!$K$139*EFEITO!$Y$139</f>
        <v>0</v>
      </c>
      <c r="N139" s="55">
        <f ca="1">$K$139-EFEITO!$M$139*EFEITO!$Z$139</f>
        <v>2592.0876007651423</v>
      </c>
      <c r="O139" s="55">
        <f>$L$139-EFEITO!$O$139*EFEITO!$AA$139</f>
        <v>2039.519636419255</v>
      </c>
      <c r="P139" s="39"/>
      <c r="Q139" s="39"/>
      <c r="R139" s="39"/>
      <c r="S139" s="39"/>
      <c r="T139" s="39"/>
      <c r="U139" s="39"/>
      <c r="V139" s="39"/>
      <c r="W139" s="39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35" t="s">
        <v>21</v>
      </c>
      <c r="B140" s="35" t="s">
        <v>22</v>
      </c>
      <c r="C140" s="35" t="s">
        <v>23</v>
      </c>
      <c r="D140" s="35" t="s">
        <v>24</v>
      </c>
      <c r="E140" s="35" t="s">
        <v>28</v>
      </c>
      <c r="F140" s="35" t="s">
        <v>25</v>
      </c>
      <c r="G140" s="35" t="s">
        <v>25</v>
      </c>
      <c r="H140" s="35" t="s">
        <v>25</v>
      </c>
      <c r="I140" s="54">
        <v>44593</v>
      </c>
      <c r="J140" s="55">
        <f>EFEITO!$J$140*EFEITO!$Y$110</f>
        <v>0</v>
      </c>
      <c r="K140" s="55">
        <f ca="1">EFEITO!$L$140*EFEITO!$Z$170</f>
        <v>3987.8270781002188</v>
      </c>
      <c r="L140" s="55">
        <f>EFEITO!$N$140*EFEITO!$AA$170</f>
        <v>3137.7225175680846</v>
      </c>
      <c r="M140" s="55">
        <f>$J$140-EFEITO!$K$140*EFEITO!$Y$140</f>
        <v>0</v>
      </c>
      <c r="N140" s="55">
        <f ca="1">$K$140-EFEITO!$M$140*EFEITO!$Z$140</f>
        <v>2592.0876007651423</v>
      </c>
      <c r="O140" s="55">
        <f>$L$140-EFEITO!$O$140*EFEITO!$AA$140</f>
        <v>2039.519636419255</v>
      </c>
      <c r="P140" s="39"/>
      <c r="Q140" s="39"/>
      <c r="R140" s="39"/>
      <c r="S140" s="39"/>
      <c r="T140" s="39"/>
      <c r="U140" s="39"/>
      <c r="V140" s="39"/>
      <c r="W140" s="39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35" t="s">
        <v>21</v>
      </c>
      <c r="B141" s="35" t="s">
        <v>22</v>
      </c>
      <c r="C141" s="35" t="s">
        <v>23</v>
      </c>
      <c r="D141" s="35" t="s">
        <v>24</v>
      </c>
      <c r="E141" s="35" t="s">
        <v>28</v>
      </c>
      <c r="F141" s="35" t="s">
        <v>25</v>
      </c>
      <c r="G141" s="35" t="s">
        <v>25</v>
      </c>
      <c r="H141" s="35" t="s">
        <v>25</v>
      </c>
      <c r="I141" s="54">
        <v>44621</v>
      </c>
      <c r="J141" s="55">
        <f>EFEITO!$J$141*EFEITO!$Y$110</f>
        <v>0</v>
      </c>
      <c r="K141" s="55">
        <f ca="1">EFEITO!$L$141*EFEITO!$Z$170</f>
        <v>4032.1362678568876</v>
      </c>
      <c r="L141" s="55">
        <f>EFEITO!$N$141*EFEITO!$AA$170</f>
        <v>3172.5861010966187</v>
      </c>
      <c r="M141" s="55">
        <f>$J$141-EFEITO!$K$141*EFEITO!$Y$141</f>
        <v>0</v>
      </c>
      <c r="N141" s="55">
        <f ca="1">$K$141-EFEITO!$M$141*EFEITO!$Z$141</f>
        <v>2620.8885741069771</v>
      </c>
      <c r="O141" s="55">
        <f>$L$141-EFEITO!$O$141*EFEITO!$AA$141</f>
        <v>2062.1809657128024</v>
      </c>
      <c r="P141" s="39"/>
      <c r="Q141" s="39"/>
      <c r="R141" s="39"/>
      <c r="S141" s="39"/>
      <c r="T141" s="39"/>
      <c r="U141" s="39"/>
      <c r="V141" s="39"/>
      <c r="W141" s="39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35" t="s">
        <v>21</v>
      </c>
      <c r="B142" s="35" t="s">
        <v>22</v>
      </c>
      <c r="C142" s="35" t="s">
        <v>23</v>
      </c>
      <c r="D142" s="35" t="s">
        <v>24</v>
      </c>
      <c r="E142" s="35" t="s">
        <v>28</v>
      </c>
      <c r="F142" s="35" t="s">
        <v>25</v>
      </c>
      <c r="G142" s="35" t="s">
        <v>25</v>
      </c>
      <c r="H142" s="35" t="s">
        <v>25</v>
      </c>
      <c r="I142" s="54">
        <v>44652</v>
      </c>
      <c r="J142" s="55">
        <f>EFEITO!$J$142*EFEITO!$Y$110</f>
        <v>0</v>
      </c>
      <c r="K142" s="55">
        <f ca="1">EFEITO!$L$142*EFEITO!$Z$170</f>
        <v>4109.6773499310584</v>
      </c>
      <c r="L142" s="55">
        <f>EFEITO!$N$142*EFEITO!$AA$170</f>
        <v>3233.5973722715539</v>
      </c>
      <c r="M142" s="55">
        <f>$J$142-EFEITO!$K$142*EFEITO!$Y$142</f>
        <v>0</v>
      </c>
      <c r="N142" s="55">
        <f ca="1">$K$142-EFEITO!$M$142*EFEITO!$Z$142</f>
        <v>2671.2902774551876</v>
      </c>
      <c r="O142" s="55">
        <f>$L$142-EFEITO!$O$142*EFEITO!$AA$142</f>
        <v>2101.8382919765099</v>
      </c>
      <c r="P142" s="39"/>
      <c r="Q142" s="39"/>
      <c r="R142" s="39"/>
      <c r="S142" s="39"/>
      <c r="T142" s="39"/>
      <c r="U142" s="39"/>
      <c r="V142" s="39"/>
      <c r="W142" s="39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35" t="s">
        <v>21</v>
      </c>
      <c r="B143" s="35" t="s">
        <v>22</v>
      </c>
      <c r="C143" s="35" t="s">
        <v>23</v>
      </c>
      <c r="D143" s="35" t="s">
        <v>24</v>
      </c>
      <c r="E143" s="35" t="s">
        <v>28</v>
      </c>
      <c r="F143" s="35" t="s">
        <v>25</v>
      </c>
      <c r="G143" s="35" t="s">
        <v>25</v>
      </c>
      <c r="H143" s="35" t="s">
        <v>25</v>
      </c>
      <c r="I143" s="54">
        <v>44682</v>
      </c>
      <c r="J143" s="55">
        <f>EFEITO!$J$143*EFEITO!$Y$110</f>
        <v>0</v>
      </c>
      <c r="K143" s="55">
        <f ca="1">EFEITO!$L$143*EFEITO!$Z$170</f>
        <v>4187.2184320052293</v>
      </c>
      <c r="L143" s="55">
        <f>EFEITO!$N$143*EFEITO!$AA$170</f>
        <v>3294.6086434464887</v>
      </c>
      <c r="M143" s="55">
        <f>$J$143-EFEITO!$K$143*EFEITO!$Y$143</f>
        <v>0</v>
      </c>
      <c r="N143" s="55">
        <f ca="1">$K$143-EFEITO!$M$143*EFEITO!$Z$143</f>
        <v>2721.691980803399</v>
      </c>
      <c r="O143" s="55">
        <f>$L$143-EFEITO!$O$143*EFEITO!$AA$143</f>
        <v>2141.4956182402175</v>
      </c>
      <c r="P143" s="39"/>
      <c r="Q143" s="39"/>
      <c r="R143" s="39"/>
      <c r="S143" s="39"/>
      <c r="T143" s="39"/>
      <c r="U143" s="39"/>
      <c r="V143" s="39"/>
      <c r="W143" s="39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35" t="s">
        <v>21</v>
      </c>
      <c r="B144" s="35" t="s">
        <v>22</v>
      </c>
      <c r="C144" s="35" t="s">
        <v>23</v>
      </c>
      <c r="D144" s="35" t="s">
        <v>24</v>
      </c>
      <c r="E144" s="35" t="s">
        <v>28</v>
      </c>
      <c r="F144" s="35" t="s">
        <v>25</v>
      </c>
      <c r="G144" s="35" t="s">
        <v>25</v>
      </c>
      <c r="H144" s="35" t="s">
        <v>25</v>
      </c>
      <c r="I144" s="54">
        <v>44713</v>
      </c>
      <c r="J144" s="55">
        <f>EFEITO!$J$144*EFEITO!$Y$110</f>
        <v>0</v>
      </c>
      <c r="K144" s="55">
        <f ca="1">EFEITO!$L$144*EFEITO!$Z$170</f>
        <v>3688.7400472427021</v>
      </c>
      <c r="L144" s="55">
        <f>EFEITO!$N$144*EFEITO!$AA$170</f>
        <v>2902.3933287504783</v>
      </c>
      <c r="M144" s="55">
        <f>$J$144-EFEITO!$K$144*EFEITO!$Y$144</f>
        <v>0</v>
      </c>
      <c r="N144" s="55">
        <f ca="1">$K$144-EFEITO!$M$144*EFEITO!$Z$144</f>
        <v>2397.6810307077562</v>
      </c>
      <c r="O144" s="55">
        <f>$L$144-EFEITO!$O$144*EFEITO!$AA$144</f>
        <v>1886.5556636878109</v>
      </c>
      <c r="P144" s="39"/>
      <c r="Q144" s="39"/>
      <c r="R144" s="39"/>
      <c r="S144" s="39"/>
      <c r="T144" s="39"/>
      <c r="U144" s="39"/>
      <c r="V144" s="39"/>
      <c r="W144" s="39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35" t="s">
        <v>21</v>
      </c>
      <c r="B145" s="35" t="s">
        <v>22</v>
      </c>
      <c r="C145" s="35" t="s">
        <v>23</v>
      </c>
      <c r="D145" s="35" t="s">
        <v>24</v>
      </c>
      <c r="E145" s="35" t="s">
        <v>28</v>
      </c>
      <c r="F145" s="35" t="s">
        <v>25</v>
      </c>
      <c r="G145" s="35" t="s">
        <v>25</v>
      </c>
      <c r="H145" s="35" t="s">
        <v>25</v>
      </c>
      <c r="I145" s="54">
        <v>44743</v>
      </c>
      <c r="J145" s="55">
        <f>EFEITO!$J$145*EFEITO!$Y$110</f>
        <v>0</v>
      </c>
      <c r="K145" s="55">
        <f ca="1">EFEITO!$L$145*EFEITO!$Z$170</f>
        <v>3644.4308574860324</v>
      </c>
      <c r="L145" s="55">
        <f>EFEITO!$N$145*EFEITO!$AA$170</f>
        <v>2867.5297452219438</v>
      </c>
      <c r="M145" s="55">
        <f>$J$145-EFEITO!$K$145*EFEITO!$Y$145</f>
        <v>0</v>
      </c>
      <c r="N145" s="55">
        <f ca="1">$K$145-EFEITO!$M$145*EFEITO!$Z$145</f>
        <v>2368.8800573659209</v>
      </c>
      <c r="O145" s="55">
        <f>$L$145-EFEITO!$O$145*EFEITO!$AA$145</f>
        <v>1863.8943343942635</v>
      </c>
      <c r="P145" s="39"/>
      <c r="Q145" s="39"/>
      <c r="R145" s="39"/>
      <c r="S145" s="39"/>
      <c r="T145" s="39"/>
      <c r="U145" s="39"/>
      <c r="V145" s="39"/>
      <c r="W145" s="39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35" t="s">
        <v>21</v>
      </c>
      <c r="B146" s="35" t="s">
        <v>22</v>
      </c>
      <c r="C146" s="35" t="s">
        <v>23</v>
      </c>
      <c r="D146" s="35" t="s">
        <v>24</v>
      </c>
      <c r="E146" s="35" t="s">
        <v>29</v>
      </c>
      <c r="F146" s="35" t="s">
        <v>25</v>
      </c>
      <c r="G146" s="35" t="s">
        <v>25</v>
      </c>
      <c r="H146" s="35" t="s">
        <v>25</v>
      </c>
      <c r="I146" s="54">
        <v>44409</v>
      </c>
      <c r="J146" s="55">
        <f>EFEITO!$J$146*EFEITO!$Y$110</f>
        <v>0</v>
      </c>
      <c r="K146" s="55">
        <f ca="1">EFEITO!$L$146*EFEITO!$Z$170</f>
        <v>7984.5159941517704</v>
      </c>
      <c r="L146" s="55">
        <f>EFEITO!$N$146*EFEITO!$AA$170</f>
        <v>6282.4177518418755</v>
      </c>
      <c r="M146" s="55">
        <f>$J$146-EFEITO!$K$146*EFEITO!$Y$146</f>
        <v>0</v>
      </c>
      <c r="N146" s="55">
        <f ca="1">$K$146-EFEITO!$M$146*EFEITO!$Z$146</f>
        <v>3193.8063976607082</v>
      </c>
      <c r="O146" s="55">
        <f>$L$146-EFEITO!$O$146*EFEITO!$AA$146</f>
        <v>2512.9671007367506</v>
      </c>
      <c r="P146" s="39"/>
      <c r="Q146" s="39"/>
      <c r="R146" s="39"/>
      <c r="S146" s="39"/>
      <c r="T146" s="39"/>
      <c r="U146" s="39"/>
      <c r="V146" s="39"/>
      <c r="W146" s="39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35" t="s">
        <v>21</v>
      </c>
      <c r="B147" s="35" t="s">
        <v>22</v>
      </c>
      <c r="C147" s="35" t="s">
        <v>23</v>
      </c>
      <c r="D147" s="35" t="s">
        <v>24</v>
      </c>
      <c r="E147" s="35" t="s">
        <v>29</v>
      </c>
      <c r="F147" s="35" t="s">
        <v>25</v>
      </c>
      <c r="G147" s="35" t="s">
        <v>25</v>
      </c>
      <c r="H147" s="35" t="s">
        <v>25</v>
      </c>
      <c r="I147" s="54">
        <v>44440</v>
      </c>
      <c r="J147" s="55">
        <f>EFEITO!$J$147*EFEITO!$Y$110</f>
        <v>0</v>
      </c>
      <c r="K147" s="55">
        <f ca="1">EFEITO!$L$147*EFEITO!$Z$170</f>
        <v>8029.9329136523565</v>
      </c>
      <c r="L147" s="55">
        <f>EFEITO!$N$147*EFEITO!$AA$170</f>
        <v>6318.1529249586238</v>
      </c>
      <c r="M147" s="55">
        <f>$J$147-EFEITO!$K$147*EFEITO!$Y$147</f>
        <v>0</v>
      </c>
      <c r="N147" s="55">
        <f ca="1">$K$147-EFEITO!$M$147*EFEITO!$Z$147</f>
        <v>3211.9731654609432</v>
      </c>
      <c r="O147" s="55">
        <f>$L$147-EFEITO!$O$147*EFEITO!$AA$147</f>
        <v>2527.2611699834501</v>
      </c>
      <c r="P147" s="39"/>
      <c r="Q147" s="39"/>
      <c r="R147" s="39"/>
      <c r="S147" s="39"/>
      <c r="T147" s="39"/>
      <c r="U147" s="39"/>
      <c r="V147" s="39"/>
      <c r="W147" s="39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35" t="s">
        <v>21</v>
      </c>
      <c r="B148" s="35" t="s">
        <v>22</v>
      </c>
      <c r="C148" s="35" t="s">
        <v>23</v>
      </c>
      <c r="D148" s="35" t="s">
        <v>24</v>
      </c>
      <c r="E148" s="35" t="s">
        <v>29</v>
      </c>
      <c r="F148" s="35" t="s">
        <v>25</v>
      </c>
      <c r="G148" s="35" t="s">
        <v>25</v>
      </c>
      <c r="H148" s="35" t="s">
        <v>25</v>
      </c>
      <c r="I148" s="54">
        <v>44470</v>
      </c>
      <c r="J148" s="55">
        <f>EFEITO!$J$148*EFEITO!$Y$110</f>
        <v>0</v>
      </c>
      <c r="K148" s="55">
        <f ca="1">EFEITO!$L$148*EFEITO!$Z$170</f>
        <v>8231.1704837972284</v>
      </c>
      <c r="L148" s="55">
        <f>EFEITO!$N$148*EFEITO!$AA$170</f>
        <v>6476.4917001507174</v>
      </c>
      <c r="M148" s="55">
        <f>$J$148-EFEITO!$K$148*EFEITO!$Y$148</f>
        <v>0</v>
      </c>
      <c r="N148" s="55">
        <f ca="1">$K$148-EFEITO!$M$148*EFEITO!$Z$148</f>
        <v>3292.468193518891</v>
      </c>
      <c r="O148" s="55">
        <f>$L$148-EFEITO!$O$148*EFEITO!$AA$148</f>
        <v>2590.5966800602873</v>
      </c>
      <c r="P148" s="39"/>
      <c r="Q148" s="39"/>
      <c r="R148" s="39"/>
      <c r="S148" s="39"/>
      <c r="T148" s="39"/>
      <c r="U148" s="39"/>
      <c r="V148" s="39"/>
      <c r="W148" s="39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35" t="s">
        <v>21</v>
      </c>
      <c r="B149" s="35" t="s">
        <v>22</v>
      </c>
      <c r="C149" s="35" t="s">
        <v>23</v>
      </c>
      <c r="D149" s="35" t="s">
        <v>24</v>
      </c>
      <c r="E149" s="35" t="s">
        <v>29</v>
      </c>
      <c r="F149" s="35" t="s">
        <v>25</v>
      </c>
      <c r="G149" s="35" t="s">
        <v>25</v>
      </c>
      <c r="H149" s="35" t="s">
        <v>25</v>
      </c>
      <c r="I149" s="54">
        <v>44501</v>
      </c>
      <c r="J149" s="55">
        <f>EFEITO!$J$149*EFEITO!$Y$110</f>
        <v>0</v>
      </c>
      <c r="K149" s="55">
        <f ca="1">EFEITO!$L$149*EFEITO!$Z$170</f>
        <v>8372.2214045226247</v>
      </c>
      <c r="L149" s="55">
        <f>EFEITO!$N$149*EFEITO!$AA$170</f>
        <v>6587.4741077165509</v>
      </c>
      <c r="M149" s="55">
        <f>$J$149-EFEITO!$K$149*EFEITO!$Y$149</f>
        <v>0</v>
      </c>
      <c r="N149" s="55">
        <f ca="1">$K$149-EFEITO!$M$149*EFEITO!$Z$149</f>
        <v>3348.8885618090499</v>
      </c>
      <c r="O149" s="55">
        <f>$L$149-EFEITO!$O$149*EFEITO!$AA$149</f>
        <v>2634.9896430866206</v>
      </c>
      <c r="P149" s="39"/>
      <c r="Q149" s="39"/>
      <c r="R149" s="39"/>
      <c r="S149" s="39"/>
      <c r="T149" s="39"/>
      <c r="U149" s="39"/>
      <c r="V149" s="39"/>
      <c r="W149" s="39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35" t="s">
        <v>21</v>
      </c>
      <c r="B150" s="35" t="s">
        <v>22</v>
      </c>
      <c r="C150" s="35" t="s">
        <v>23</v>
      </c>
      <c r="D150" s="35" t="s">
        <v>24</v>
      </c>
      <c r="E150" s="35" t="s">
        <v>29</v>
      </c>
      <c r="F150" s="35" t="s">
        <v>25</v>
      </c>
      <c r="G150" s="35" t="s">
        <v>25</v>
      </c>
      <c r="H150" s="35" t="s">
        <v>25</v>
      </c>
      <c r="I150" s="54">
        <v>44531</v>
      </c>
      <c r="J150" s="55">
        <f>EFEITO!$J$150*EFEITO!$Y$110</f>
        <v>0</v>
      </c>
      <c r="K150" s="55">
        <f ca="1">EFEITO!$L$150*EFEITO!$Z$170</f>
        <v>8642.5074620383057</v>
      </c>
      <c r="L150" s="55">
        <f>EFEITO!$N$150*EFEITO!$AA$170</f>
        <v>6800.1419672406091</v>
      </c>
      <c r="M150" s="55">
        <f>$J$150-EFEITO!$K$150*EFEITO!$Y$150</f>
        <v>0</v>
      </c>
      <c r="N150" s="55">
        <f ca="1">$K$150-EFEITO!$M$150*EFEITO!$Z$150</f>
        <v>3457.0029848153217</v>
      </c>
      <c r="O150" s="55">
        <f>$L$150-EFEITO!$O$150*EFEITO!$AA$150</f>
        <v>2720.0567868962439</v>
      </c>
      <c r="P150" s="39"/>
      <c r="Q150" s="39"/>
      <c r="R150" s="39"/>
      <c r="S150" s="39"/>
      <c r="T150" s="39"/>
      <c r="U150" s="39"/>
      <c r="V150" s="39"/>
      <c r="W150" s="39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35" t="s">
        <v>21</v>
      </c>
      <c r="B151" s="35" t="s">
        <v>22</v>
      </c>
      <c r="C151" s="35" t="s">
        <v>23</v>
      </c>
      <c r="D151" s="35" t="s">
        <v>24</v>
      </c>
      <c r="E151" s="35" t="s">
        <v>29</v>
      </c>
      <c r="F151" s="35" t="s">
        <v>25</v>
      </c>
      <c r="G151" s="35" t="s">
        <v>25</v>
      </c>
      <c r="H151" s="35" t="s">
        <v>25</v>
      </c>
      <c r="I151" s="54">
        <v>44562</v>
      </c>
      <c r="J151" s="55">
        <f>EFEITO!$J$151*EFEITO!$Y$110</f>
        <v>0</v>
      </c>
      <c r="K151" s="55">
        <f ca="1">EFEITO!$L$151*EFEITO!$Z$170</f>
        <v>8642.8767052862786</v>
      </c>
      <c r="L151" s="55">
        <f>EFEITO!$N$151*EFEITO!$AA$170</f>
        <v>6800.4324971033475</v>
      </c>
      <c r="M151" s="55">
        <f>$J$151-EFEITO!$K$151*EFEITO!$Y$151</f>
        <v>0</v>
      </c>
      <c r="N151" s="55">
        <f ca="1">$K$151-EFEITO!$M$151*EFEITO!$Z$151</f>
        <v>3457.1506821145113</v>
      </c>
      <c r="O151" s="55">
        <f>$L$151-EFEITO!$O$151*EFEITO!$AA$151</f>
        <v>2720.1729988413394</v>
      </c>
      <c r="P151" s="39"/>
      <c r="Q151" s="39"/>
      <c r="R151" s="39"/>
      <c r="S151" s="39"/>
      <c r="T151" s="39"/>
      <c r="U151" s="39"/>
      <c r="V151" s="39"/>
      <c r="W151" s="39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35" t="s">
        <v>21</v>
      </c>
      <c r="B152" s="35" t="s">
        <v>22</v>
      </c>
      <c r="C152" s="35" t="s">
        <v>23</v>
      </c>
      <c r="D152" s="35" t="s">
        <v>24</v>
      </c>
      <c r="E152" s="35" t="s">
        <v>29</v>
      </c>
      <c r="F152" s="35" t="s">
        <v>25</v>
      </c>
      <c r="G152" s="35" t="s">
        <v>25</v>
      </c>
      <c r="H152" s="35" t="s">
        <v>25</v>
      </c>
      <c r="I152" s="54">
        <v>44593</v>
      </c>
      <c r="J152" s="55">
        <f>EFEITO!$J$152*EFEITO!$Y$110</f>
        <v>0</v>
      </c>
      <c r="K152" s="55">
        <f ca="1">EFEITO!$L$152*EFEITO!$Z$170</f>
        <v>8943.0714658877114</v>
      </c>
      <c r="L152" s="55">
        <f>EFEITO!$N$152*EFEITO!$AA$170</f>
        <v>7036.6332755091671</v>
      </c>
      <c r="M152" s="55">
        <f>$J$152-EFEITO!$K$152*EFEITO!$Y$152</f>
        <v>0</v>
      </c>
      <c r="N152" s="55">
        <f ca="1">$K$152-EFEITO!$M$152*EFEITO!$Z$152</f>
        <v>3577.2285863550842</v>
      </c>
      <c r="O152" s="55">
        <f>$L$152-EFEITO!$O$152*EFEITO!$AA$152</f>
        <v>2814.6533102036674</v>
      </c>
      <c r="P152" s="39"/>
      <c r="Q152" s="39"/>
      <c r="R152" s="39"/>
      <c r="S152" s="39"/>
      <c r="T152" s="39"/>
      <c r="U152" s="39"/>
      <c r="V152" s="39"/>
      <c r="W152" s="39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35" t="s">
        <v>21</v>
      </c>
      <c r="B153" s="35" t="s">
        <v>22</v>
      </c>
      <c r="C153" s="35" t="s">
        <v>23</v>
      </c>
      <c r="D153" s="35" t="s">
        <v>24</v>
      </c>
      <c r="E153" s="35" t="s">
        <v>29</v>
      </c>
      <c r="F153" s="35" t="s">
        <v>25</v>
      </c>
      <c r="G153" s="35" t="s">
        <v>25</v>
      </c>
      <c r="H153" s="35" t="s">
        <v>25</v>
      </c>
      <c r="I153" s="54">
        <v>44621</v>
      </c>
      <c r="J153" s="55">
        <f>EFEITO!$J$153*EFEITO!$Y$110</f>
        <v>0</v>
      </c>
      <c r="K153" s="55">
        <f ca="1">EFEITO!$L$153*EFEITO!$Z$170</f>
        <v>8903.9316816026549</v>
      </c>
      <c r="L153" s="55">
        <f>EFEITO!$N$153*EFEITO!$AA$170</f>
        <v>7005.837110058962</v>
      </c>
      <c r="M153" s="55">
        <f>$J$153-EFEITO!$K$153*EFEITO!$Y$153</f>
        <v>0</v>
      </c>
      <c r="N153" s="55">
        <f ca="1">$K$153-EFEITO!$M$153*EFEITO!$Z$153</f>
        <v>3561.5726726410621</v>
      </c>
      <c r="O153" s="55">
        <f>$L$153-EFEITO!$O$153*EFEITO!$AA$153</f>
        <v>2802.334844023585</v>
      </c>
      <c r="P153" s="39"/>
      <c r="Q153" s="39"/>
      <c r="R153" s="39"/>
      <c r="S153" s="39"/>
      <c r="T153" s="39"/>
      <c r="U153" s="39"/>
      <c r="V153" s="39"/>
      <c r="W153" s="39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35" t="s">
        <v>21</v>
      </c>
      <c r="B154" s="35" t="s">
        <v>22</v>
      </c>
      <c r="C154" s="35" t="s">
        <v>23</v>
      </c>
      <c r="D154" s="35" t="s">
        <v>24</v>
      </c>
      <c r="E154" s="35" t="s">
        <v>29</v>
      </c>
      <c r="F154" s="35" t="s">
        <v>25</v>
      </c>
      <c r="G154" s="35" t="s">
        <v>25</v>
      </c>
      <c r="H154" s="35" t="s">
        <v>25</v>
      </c>
      <c r="I154" s="54">
        <v>44652</v>
      </c>
      <c r="J154" s="55">
        <f>EFEITO!$J$154*EFEITO!$Y$110</f>
        <v>0</v>
      </c>
      <c r="K154" s="55">
        <f ca="1">EFEITO!$L$154*EFEITO!$Z$170</f>
        <v>9090.0302785806634</v>
      </c>
      <c r="L154" s="55">
        <f>EFEITO!$N$154*EFEITO!$AA$170</f>
        <v>7152.2641608788053</v>
      </c>
      <c r="M154" s="55">
        <f>$J$154-EFEITO!$K$154*EFEITO!$Y$154</f>
        <v>0</v>
      </c>
      <c r="N154" s="55">
        <f ca="1">$K$154-EFEITO!$M$154*EFEITO!$Z$154</f>
        <v>3636.0121114322646</v>
      </c>
      <c r="O154" s="55">
        <f>$L$154-EFEITO!$O$154*EFEITO!$AA$154</f>
        <v>2860.9056643515223</v>
      </c>
      <c r="P154" s="39"/>
      <c r="Q154" s="39"/>
      <c r="R154" s="39"/>
      <c r="S154" s="39"/>
      <c r="T154" s="39"/>
      <c r="U154" s="39"/>
      <c r="V154" s="39"/>
      <c r="W154" s="39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35" t="s">
        <v>21</v>
      </c>
      <c r="B155" s="35" t="s">
        <v>22</v>
      </c>
      <c r="C155" s="35" t="s">
        <v>23</v>
      </c>
      <c r="D155" s="35" t="s">
        <v>24</v>
      </c>
      <c r="E155" s="35" t="s">
        <v>29</v>
      </c>
      <c r="F155" s="35" t="s">
        <v>25</v>
      </c>
      <c r="G155" s="35" t="s">
        <v>25</v>
      </c>
      <c r="H155" s="35" t="s">
        <v>25</v>
      </c>
      <c r="I155" s="54">
        <v>44682</v>
      </c>
      <c r="J155" s="55">
        <f>EFEITO!$J$155*EFEITO!$Y$110</f>
        <v>0</v>
      </c>
      <c r="K155" s="55">
        <f ca="1">EFEITO!$L$155*EFEITO!$Z$170</f>
        <v>9135.8164413292234</v>
      </c>
      <c r="L155" s="55">
        <f>EFEITO!$N$155*EFEITO!$AA$170</f>
        <v>7188.2898638582919</v>
      </c>
      <c r="M155" s="55">
        <f>$J$155-EFEITO!$K$155*EFEITO!$Y$155</f>
        <v>0</v>
      </c>
      <c r="N155" s="55">
        <f ca="1">$K$155-EFEITO!$M$155*EFEITO!$Z$155</f>
        <v>3654.3265765316901</v>
      </c>
      <c r="O155" s="55">
        <f>$L$155-EFEITO!$O$155*EFEITO!$AA$155</f>
        <v>2875.315945543317</v>
      </c>
      <c r="P155" s="39"/>
      <c r="Q155" s="39"/>
      <c r="R155" s="39"/>
      <c r="S155" s="39"/>
      <c r="T155" s="39"/>
      <c r="U155" s="39"/>
      <c r="V155" s="39"/>
      <c r="W155" s="39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35" t="s">
        <v>21</v>
      </c>
      <c r="B156" s="35" t="s">
        <v>22</v>
      </c>
      <c r="C156" s="35" t="s">
        <v>23</v>
      </c>
      <c r="D156" s="35" t="s">
        <v>24</v>
      </c>
      <c r="E156" s="35" t="s">
        <v>29</v>
      </c>
      <c r="F156" s="35" t="s">
        <v>25</v>
      </c>
      <c r="G156" s="35" t="s">
        <v>25</v>
      </c>
      <c r="H156" s="35" t="s">
        <v>25</v>
      </c>
      <c r="I156" s="54">
        <v>44713</v>
      </c>
      <c r="J156" s="55">
        <f>EFEITO!$J$156*EFEITO!$Y$110</f>
        <v>0</v>
      </c>
      <c r="K156" s="55">
        <f ca="1">EFEITO!$L$156*EFEITO!$Z$170</f>
        <v>7954.9765343139916</v>
      </c>
      <c r="L156" s="55">
        <f>EFEITO!$N$156*EFEITO!$AA$170</f>
        <v>6259.1753628228535</v>
      </c>
      <c r="M156" s="55">
        <f>$J$156-EFEITO!$K$156*EFEITO!$Y$156</f>
        <v>0</v>
      </c>
      <c r="N156" s="55">
        <f ca="1">$K$156-EFEITO!$M$156*EFEITO!$Z$156</f>
        <v>3181.9906137255966</v>
      </c>
      <c r="O156" s="55">
        <f>$L$156-EFEITO!$O$156*EFEITO!$AA$156</f>
        <v>2503.6701451291419</v>
      </c>
      <c r="P156" s="39"/>
      <c r="Q156" s="39"/>
      <c r="R156" s="39"/>
      <c r="S156" s="39"/>
      <c r="T156" s="39"/>
      <c r="U156" s="39"/>
      <c r="V156" s="39"/>
      <c r="W156" s="39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35" t="s">
        <v>21</v>
      </c>
      <c r="B157" s="35" t="s">
        <v>22</v>
      </c>
      <c r="C157" s="35" t="s">
        <v>23</v>
      </c>
      <c r="D157" s="35" t="s">
        <v>24</v>
      </c>
      <c r="E157" s="35" t="s">
        <v>29</v>
      </c>
      <c r="F157" s="35" t="s">
        <v>25</v>
      </c>
      <c r="G157" s="35" t="s">
        <v>25</v>
      </c>
      <c r="H157" s="35" t="s">
        <v>25</v>
      </c>
      <c r="I157" s="54">
        <v>44743</v>
      </c>
      <c r="J157" s="55">
        <f>EFEITO!$J$157*EFEITO!$Y$110</f>
        <v>0</v>
      </c>
      <c r="K157" s="55">
        <f ca="1">EFEITO!$L$157*EFEITO!$Z$170</f>
        <v>7769.9856670798972</v>
      </c>
      <c r="L157" s="55">
        <f>EFEITO!$N$157*EFEITO!$AA$170</f>
        <v>6113.6199015912225</v>
      </c>
      <c r="M157" s="55">
        <f>$J$157-EFEITO!$K$157*EFEITO!$Y$157</f>
        <v>0</v>
      </c>
      <c r="N157" s="55">
        <f ca="1">$K$157-EFEITO!$M$157*EFEITO!$Z$157</f>
        <v>3107.9942668319591</v>
      </c>
      <c r="O157" s="55">
        <f>$L$157-EFEITO!$O$157*EFEITO!$AA$157</f>
        <v>2445.4479606364894</v>
      </c>
      <c r="P157" s="39"/>
      <c r="Q157" s="39"/>
      <c r="R157" s="39"/>
      <c r="S157" s="39"/>
      <c r="T157" s="39"/>
      <c r="U157" s="39"/>
      <c r="V157" s="39"/>
      <c r="W157" s="39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35" t="s">
        <v>21</v>
      </c>
      <c r="B158" s="35" t="s">
        <v>22</v>
      </c>
      <c r="C158" s="35" t="s">
        <v>23</v>
      </c>
      <c r="D158" s="35" t="s">
        <v>24</v>
      </c>
      <c r="E158" s="35" t="s">
        <v>30</v>
      </c>
      <c r="F158" s="35" t="s">
        <v>25</v>
      </c>
      <c r="G158" s="35" t="s">
        <v>25</v>
      </c>
      <c r="H158" s="35" t="s">
        <v>25</v>
      </c>
      <c r="I158" s="54">
        <v>44409</v>
      </c>
      <c r="J158" s="55">
        <f>EFEITO!$J$158*EFEITO!$Y$110</f>
        <v>0</v>
      </c>
      <c r="K158" s="55">
        <f ca="1">EFEITO!$L$158*EFEITO!$Z$170</f>
        <v>8760.6653013894247</v>
      </c>
      <c r="L158" s="55">
        <f>EFEITO!$N$158*EFEITO!$AA$170</f>
        <v>6893.1115233167011</v>
      </c>
      <c r="M158" s="55">
        <f>$J$158-EFEITO!$K$158*EFEITO!$Y$158</f>
        <v>0</v>
      </c>
      <c r="N158" s="55">
        <f ca="1">$K$158-EFEITO!$M$158*EFEITO!$Z$158</f>
        <v>876.06653013894356</v>
      </c>
      <c r="O158" s="55">
        <f>$L$158-EFEITO!$O$158*EFEITO!$AA$158</f>
        <v>689.3111523316702</v>
      </c>
      <c r="P158" s="39"/>
      <c r="Q158" s="39"/>
      <c r="R158" s="39"/>
      <c r="S158" s="39"/>
      <c r="T158" s="39"/>
      <c r="U158" s="39"/>
      <c r="V158" s="39"/>
      <c r="W158" s="39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35" t="s">
        <v>21</v>
      </c>
      <c r="B159" s="35" t="s">
        <v>22</v>
      </c>
      <c r="C159" s="35" t="s">
        <v>23</v>
      </c>
      <c r="D159" s="35" t="s">
        <v>24</v>
      </c>
      <c r="E159" s="35" t="s">
        <v>30</v>
      </c>
      <c r="F159" s="35" t="s">
        <v>25</v>
      </c>
      <c r="G159" s="35" t="s">
        <v>25</v>
      </c>
      <c r="H159" s="35" t="s">
        <v>25</v>
      </c>
      <c r="I159" s="54">
        <v>44440</v>
      </c>
      <c r="J159" s="55">
        <f>EFEITO!$J$159*EFEITO!$Y$110</f>
        <v>0</v>
      </c>
      <c r="K159" s="55">
        <f ca="1">EFEITO!$L$159*EFEITO!$Z$170</f>
        <v>7853.4346411216238</v>
      </c>
      <c r="L159" s="55">
        <f>EFEITO!$N$159*EFEITO!$AA$170</f>
        <v>6179.2796505699616</v>
      </c>
      <c r="M159" s="55">
        <f>$J$159-EFEITO!$K$159*EFEITO!$Y$159</f>
        <v>0</v>
      </c>
      <c r="N159" s="55">
        <f ca="1">$K$159-EFEITO!$M$159*EFEITO!$Z$159</f>
        <v>785.34346411216211</v>
      </c>
      <c r="O159" s="55">
        <f>$L$159-EFEITO!$O$159*EFEITO!$AA$159</f>
        <v>617.92796505699607</v>
      </c>
      <c r="P159" s="39"/>
      <c r="Q159" s="39"/>
      <c r="R159" s="39"/>
      <c r="S159" s="39"/>
      <c r="T159" s="39"/>
      <c r="U159" s="39"/>
      <c r="V159" s="39"/>
      <c r="W159" s="39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35" t="s">
        <v>21</v>
      </c>
      <c r="B160" s="35" t="s">
        <v>22</v>
      </c>
      <c r="C160" s="35" t="s">
        <v>23</v>
      </c>
      <c r="D160" s="35" t="s">
        <v>24</v>
      </c>
      <c r="E160" s="35" t="s">
        <v>30</v>
      </c>
      <c r="F160" s="35" t="s">
        <v>25</v>
      </c>
      <c r="G160" s="35" t="s">
        <v>25</v>
      </c>
      <c r="H160" s="35" t="s">
        <v>25</v>
      </c>
      <c r="I160" s="54">
        <v>44470</v>
      </c>
      <c r="J160" s="55">
        <f>EFEITO!$J$160*EFEITO!$Y$110</f>
        <v>0</v>
      </c>
      <c r="K160" s="55">
        <f ca="1">EFEITO!$L$160*EFEITO!$Z$170</f>
        <v>9750.9756924509784</v>
      </c>
      <c r="L160" s="55">
        <f>EFEITO!$N$160*EFEITO!$AA$170</f>
        <v>7672.3126151794422</v>
      </c>
      <c r="M160" s="55">
        <f>$J$160-EFEITO!$K$160*EFEITO!$Y$160</f>
        <v>0</v>
      </c>
      <c r="N160" s="55">
        <f ca="1">$K$160-EFEITO!$M$160*EFEITO!$Z$160</f>
        <v>975.09756924509747</v>
      </c>
      <c r="O160" s="55">
        <f>$L$160-EFEITO!$O$160*EFEITO!$AA$160</f>
        <v>767.2312615179444</v>
      </c>
      <c r="P160" s="39"/>
      <c r="Q160" s="39"/>
      <c r="R160" s="39"/>
      <c r="S160" s="39"/>
      <c r="T160" s="39"/>
      <c r="U160" s="39"/>
      <c r="V160" s="39"/>
      <c r="W160" s="39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35" t="s">
        <v>21</v>
      </c>
      <c r="B161" s="35" t="s">
        <v>22</v>
      </c>
      <c r="C161" s="35" t="s">
        <v>23</v>
      </c>
      <c r="D161" s="35" t="s">
        <v>24</v>
      </c>
      <c r="E161" s="35" t="s">
        <v>30</v>
      </c>
      <c r="F161" s="35" t="s">
        <v>25</v>
      </c>
      <c r="G161" s="35" t="s">
        <v>25</v>
      </c>
      <c r="H161" s="35" t="s">
        <v>25</v>
      </c>
      <c r="I161" s="54">
        <v>44501</v>
      </c>
      <c r="J161" s="55">
        <f>EFEITO!$J$161*EFEITO!$Y$110</f>
        <v>0</v>
      </c>
      <c r="K161" s="55">
        <f ca="1">EFEITO!$L$161*EFEITO!$Z$170</f>
        <v>8346.3743771645677</v>
      </c>
      <c r="L161" s="55">
        <f>EFEITO!$N$161*EFEITO!$AA$170</f>
        <v>6567.1370173249052</v>
      </c>
      <c r="M161" s="55">
        <f>$J$161-EFEITO!$K$161*EFEITO!$Y$161</f>
        <v>0</v>
      </c>
      <c r="N161" s="55">
        <f ca="1">$K$161-EFEITO!$M$161*EFEITO!$Z$161</f>
        <v>834.63743771645659</v>
      </c>
      <c r="O161" s="55">
        <f>$L$161-EFEITO!$O$161*EFEITO!$AA$161</f>
        <v>656.71370173249034</v>
      </c>
      <c r="P161" s="39"/>
      <c r="Q161" s="39"/>
      <c r="R161" s="39"/>
      <c r="S161" s="39"/>
      <c r="T161" s="39"/>
      <c r="U161" s="39"/>
      <c r="V161" s="39"/>
      <c r="W161" s="39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35" t="s">
        <v>21</v>
      </c>
      <c r="B162" s="35" t="s">
        <v>22</v>
      </c>
      <c r="C162" s="35" t="s">
        <v>23</v>
      </c>
      <c r="D162" s="35" t="s">
        <v>24</v>
      </c>
      <c r="E162" s="35" t="s">
        <v>30</v>
      </c>
      <c r="F162" s="35" t="s">
        <v>25</v>
      </c>
      <c r="G162" s="35" t="s">
        <v>25</v>
      </c>
      <c r="H162" s="35" t="s">
        <v>25</v>
      </c>
      <c r="I162" s="54">
        <v>44531</v>
      </c>
      <c r="J162" s="55">
        <f>EFEITO!$J$162*EFEITO!$Y$110</f>
        <v>0</v>
      </c>
      <c r="K162" s="55">
        <f ca="1">EFEITO!$L$162*EFEITO!$Z$170</f>
        <v>9557.1229872655513</v>
      </c>
      <c r="L162" s="55">
        <f>EFEITO!$N$162*EFEITO!$AA$170</f>
        <v>7519.784437242105</v>
      </c>
      <c r="M162" s="55">
        <f>$J$162-EFEITO!$K$162*EFEITO!$Y$162</f>
        <v>0</v>
      </c>
      <c r="N162" s="55">
        <f ca="1">$K$162-EFEITO!$M$162*EFEITO!$Z$162</f>
        <v>955.71229872655567</v>
      </c>
      <c r="O162" s="55">
        <f>$L$162-EFEITO!$O$162*EFEITO!$AA$162</f>
        <v>751.9784437242115</v>
      </c>
      <c r="P162" s="39"/>
      <c r="Q162" s="39"/>
      <c r="R162" s="39"/>
      <c r="S162" s="39"/>
      <c r="T162" s="39"/>
      <c r="U162" s="39"/>
      <c r="V162" s="39"/>
      <c r="W162" s="39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35" t="s">
        <v>21</v>
      </c>
      <c r="B163" s="35" t="s">
        <v>22</v>
      </c>
      <c r="C163" s="35" t="s">
        <v>23</v>
      </c>
      <c r="D163" s="35" t="s">
        <v>24</v>
      </c>
      <c r="E163" s="35" t="s">
        <v>30</v>
      </c>
      <c r="F163" s="35" t="s">
        <v>25</v>
      </c>
      <c r="G163" s="35" t="s">
        <v>25</v>
      </c>
      <c r="H163" s="35" t="s">
        <v>25</v>
      </c>
      <c r="I163" s="54">
        <v>44562</v>
      </c>
      <c r="J163" s="55">
        <f>EFEITO!$J$163*EFEITO!$Y$110</f>
        <v>0</v>
      </c>
      <c r="K163" s="55">
        <f ca="1">EFEITO!$L$163*EFEITO!$Z$170</f>
        <v>9019.5048182179653</v>
      </c>
      <c r="L163" s="55">
        <f>EFEITO!$N$163*EFEITO!$AA$170</f>
        <v>7096.7729570958891</v>
      </c>
      <c r="M163" s="55">
        <f>$J$163-EFEITO!$K$163*EFEITO!$Y$163</f>
        <v>0</v>
      </c>
      <c r="N163" s="55">
        <f ca="1">$K$163-EFEITO!$M$163*EFEITO!$Z$163</f>
        <v>901.95048182179562</v>
      </c>
      <c r="O163" s="55">
        <f>$L$163-EFEITO!$O$163*EFEITO!$AA$163</f>
        <v>709.67729570958909</v>
      </c>
      <c r="P163" s="39"/>
      <c r="Q163" s="39"/>
      <c r="R163" s="39"/>
      <c r="S163" s="39"/>
      <c r="T163" s="39"/>
      <c r="U163" s="39"/>
      <c r="V163" s="39"/>
      <c r="W163" s="39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35" t="s">
        <v>21</v>
      </c>
      <c r="B164" s="35" t="s">
        <v>22</v>
      </c>
      <c r="C164" s="35" t="s">
        <v>23</v>
      </c>
      <c r="D164" s="35" t="s">
        <v>24</v>
      </c>
      <c r="E164" s="35" t="s">
        <v>30</v>
      </c>
      <c r="F164" s="35" t="s">
        <v>25</v>
      </c>
      <c r="G164" s="35" t="s">
        <v>25</v>
      </c>
      <c r="H164" s="35" t="s">
        <v>25</v>
      </c>
      <c r="I164" s="54">
        <v>44593</v>
      </c>
      <c r="J164" s="55">
        <f>EFEITO!$J$164*EFEITO!$Y$110</f>
        <v>0</v>
      </c>
      <c r="K164" s="55">
        <f ca="1">EFEITO!$L$164*EFEITO!$Z$170</f>
        <v>11580.945229401412</v>
      </c>
      <c r="L164" s="55">
        <f>EFEITO!$N$164*EFEITO!$AA$170</f>
        <v>9112.1786149079071</v>
      </c>
      <c r="M164" s="55">
        <f>$J$164-EFEITO!$K$164*EFEITO!$Y$164</f>
        <v>0</v>
      </c>
      <c r="N164" s="55">
        <f ca="1">$K$164-EFEITO!$M$164*EFEITO!$Z$164</f>
        <v>1158.0945229401405</v>
      </c>
      <c r="O164" s="55">
        <f>$L$164-EFEITO!$O$164*EFEITO!$AA$164</f>
        <v>911.2178614907898</v>
      </c>
      <c r="P164" s="39"/>
      <c r="Q164" s="39"/>
      <c r="R164" s="39"/>
      <c r="S164" s="39"/>
      <c r="T164" s="39"/>
      <c r="U164" s="39"/>
      <c r="V164" s="39"/>
      <c r="W164" s="39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35" t="s">
        <v>21</v>
      </c>
      <c r="B165" s="35" t="s">
        <v>22</v>
      </c>
      <c r="C165" s="35" t="s">
        <v>23</v>
      </c>
      <c r="D165" s="35" t="s">
        <v>24</v>
      </c>
      <c r="E165" s="35" t="s">
        <v>30</v>
      </c>
      <c r="F165" s="35" t="s">
        <v>25</v>
      </c>
      <c r="G165" s="35" t="s">
        <v>25</v>
      </c>
      <c r="H165" s="35" t="s">
        <v>25</v>
      </c>
      <c r="I165" s="54">
        <v>44621</v>
      </c>
      <c r="J165" s="55">
        <f>EFEITO!$J$165*EFEITO!$Y$110</f>
        <v>0</v>
      </c>
      <c r="K165" s="55">
        <f ca="1">EFEITO!$L$165*EFEITO!$Z$170</f>
        <v>9790.1154767360367</v>
      </c>
      <c r="L165" s="55">
        <f>EFEITO!$N$165*EFEITO!$AA$170</f>
        <v>7703.1087806296473</v>
      </c>
      <c r="M165" s="55">
        <f>$J$165-EFEITO!$K$165*EFEITO!$Y$165</f>
        <v>0</v>
      </c>
      <c r="N165" s="55">
        <f ca="1">$K$165-EFEITO!$M$165*EFEITO!$Z$165</f>
        <v>979.01154767360458</v>
      </c>
      <c r="O165" s="55">
        <f>$L$165-EFEITO!$O$165*EFEITO!$AA$165</f>
        <v>770.31087806296455</v>
      </c>
      <c r="P165" s="39"/>
      <c r="Q165" s="39"/>
      <c r="R165" s="39"/>
      <c r="S165" s="39"/>
      <c r="T165" s="39"/>
      <c r="U165" s="39"/>
      <c r="V165" s="39"/>
      <c r="W165" s="39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35" t="s">
        <v>21</v>
      </c>
      <c r="B166" s="35" t="s">
        <v>22</v>
      </c>
      <c r="C166" s="35" t="s">
        <v>23</v>
      </c>
      <c r="D166" s="35" t="s">
        <v>24</v>
      </c>
      <c r="E166" s="35" t="s">
        <v>30</v>
      </c>
      <c r="F166" s="35" t="s">
        <v>25</v>
      </c>
      <c r="G166" s="35" t="s">
        <v>25</v>
      </c>
      <c r="H166" s="35" t="s">
        <v>25</v>
      </c>
      <c r="I166" s="54">
        <v>44652</v>
      </c>
      <c r="J166" s="55">
        <f>EFEITO!$J$166*EFEITO!$Y$110</f>
        <v>0</v>
      </c>
      <c r="K166" s="55">
        <f ca="1">EFEITO!$L$166*EFEITO!$Z$170</f>
        <v>10995.694681365409</v>
      </c>
      <c r="L166" s="55">
        <f>EFEITO!$N$166*EFEITO!$AA$170</f>
        <v>8651.6887824685182</v>
      </c>
      <c r="M166" s="55">
        <f>$J$166-EFEITO!$K$166*EFEITO!$Y$166</f>
        <v>0</v>
      </c>
      <c r="N166" s="55">
        <f ca="1">$K$166-EFEITO!$M$166*EFEITO!$Z$166</f>
        <v>1099.5694681365421</v>
      </c>
      <c r="O166" s="55">
        <f>$L$166-EFEITO!$O$166*EFEITO!$AA$166</f>
        <v>865.16887824685273</v>
      </c>
      <c r="P166" s="39"/>
      <c r="Q166" s="39"/>
      <c r="R166" s="39"/>
      <c r="S166" s="39"/>
      <c r="T166" s="39"/>
      <c r="U166" s="39"/>
      <c r="V166" s="39"/>
      <c r="W166" s="39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35" t="s">
        <v>21</v>
      </c>
      <c r="B167" s="35" t="s">
        <v>22</v>
      </c>
      <c r="C167" s="35" t="s">
        <v>23</v>
      </c>
      <c r="D167" s="35" t="s">
        <v>24</v>
      </c>
      <c r="E167" s="35" t="s">
        <v>30</v>
      </c>
      <c r="F167" s="35" t="s">
        <v>25</v>
      </c>
      <c r="G167" s="35" t="s">
        <v>25</v>
      </c>
      <c r="H167" s="35" t="s">
        <v>25</v>
      </c>
      <c r="I167" s="54">
        <v>44682</v>
      </c>
      <c r="J167" s="55">
        <f>EFEITO!$J$167*EFEITO!$Y$110</f>
        <v>0</v>
      </c>
      <c r="K167" s="55">
        <f ca="1">EFEITO!$L$167*EFEITO!$Z$170</f>
        <v>10343.611105446429</v>
      </c>
      <c r="L167" s="55">
        <f>EFEITO!$N$167*EFEITO!$AA$170</f>
        <v>8138.6130448735885</v>
      </c>
      <c r="M167" s="55">
        <f>$J$167-EFEITO!$K$167*EFEITO!$Y$167</f>
        <v>0</v>
      </c>
      <c r="N167" s="55">
        <f ca="1">$K$167-EFEITO!$M$167*EFEITO!$Z$167</f>
        <v>1034.3611105446435</v>
      </c>
      <c r="O167" s="55">
        <f>$L$167-EFEITO!$O$167*EFEITO!$AA$167</f>
        <v>813.86130448735912</v>
      </c>
      <c r="P167" s="39"/>
      <c r="Q167" s="39"/>
      <c r="R167" s="39"/>
      <c r="S167" s="39"/>
      <c r="T167" s="39"/>
      <c r="U167" s="39"/>
      <c r="V167" s="39"/>
      <c r="W167" s="39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35" t="s">
        <v>21</v>
      </c>
      <c r="B168" s="35" t="s">
        <v>22</v>
      </c>
      <c r="C168" s="35" t="s">
        <v>23</v>
      </c>
      <c r="D168" s="35" t="s">
        <v>24</v>
      </c>
      <c r="E168" s="35" t="s">
        <v>30</v>
      </c>
      <c r="F168" s="35" t="s">
        <v>25</v>
      </c>
      <c r="G168" s="35" t="s">
        <v>25</v>
      </c>
      <c r="H168" s="35" t="s">
        <v>25</v>
      </c>
      <c r="I168" s="54">
        <v>44713</v>
      </c>
      <c r="J168" s="55">
        <f>EFEITO!$J$168*EFEITO!$Y$110</f>
        <v>0</v>
      </c>
      <c r="K168" s="55">
        <f ca="1">EFEITO!$L$168*EFEITO!$Z$170</f>
        <v>8261.8176733789242</v>
      </c>
      <c r="L168" s="55">
        <f>EFEITO!$N$168*EFEITO!$AA$170</f>
        <v>6500.6056787579528</v>
      </c>
      <c r="M168" s="55">
        <f>$J$168-EFEITO!$K$168*EFEITO!$Y$168</f>
        <v>0</v>
      </c>
      <c r="N168" s="55">
        <f ca="1">$K$168-EFEITO!$M$168*EFEITO!$Z$168</f>
        <v>826.18176733789187</v>
      </c>
      <c r="O168" s="55">
        <f>$L$168-EFEITO!$O$168*EFEITO!$AA$168</f>
        <v>650.06056787579564</v>
      </c>
      <c r="P168" s="39"/>
      <c r="Q168" s="39"/>
      <c r="R168" s="39"/>
      <c r="S168" s="39"/>
      <c r="T168" s="39"/>
      <c r="U168" s="39"/>
      <c r="V168" s="39"/>
      <c r="W168" s="39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35" t="s">
        <v>21</v>
      </c>
      <c r="B169" s="35" t="s">
        <v>22</v>
      </c>
      <c r="C169" s="35" t="s">
        <v>23</v>
      </c>
      <c r="D169" s="35" t="s">
        <v>24</v>
      </c>
      <c r="E169" s="35" t="s">
        <v>30</v>
      </c>
      <c r="F169" s="35" t="s">
        <v>25</v>
      </c>
      <c r="G169" s="35" t="s">
        <v>25</v>
      </c>
      <c r="H169" s="35" t="s">
        <v>25</v>
      </c>
      <c r="I169" s="54">
        <v>44743</v>
      </c>
      <c r="J169" s="55">
        <f>EFEITO!$J$169*EFEITO!$Y$110</f>
        <v>0</v>
      </c>
      <c r="K169" s="55">
        <f ca="1">EFEITO!$L$169*EFEITO!$Z$170</f>
        <v>8372.5906477705976</v>
      </c>
      <c r="L169" s="55">
        <f>EFEITO!$N$169*EFEITO!$AA$170</f>
        <v>6587.7646375792892</v>
      </c>
      <c r="M169" s="55">
        <f>$J$169-EFEITO!$K$169*EFEITO!$Y$169</f>
        <v>0</v>
      </c>
      <c r="N169" s="55">
        <f ca="1">$K$169-EFEITO!$M$169*EFEITO!$Z$169</f>
        <v>837.25906477705939</v>
      </c>
      <c r="O169" s="55">
        <f>$L$169-EFEITO!$O$169*EFEITO!$AA$169</f>
        <v>658.77646375792938</v>
      </c>
      <c r="P169" s="39"/>
      <c r="Q169" s="39"/>
      <c r="R169" s="39"/>
      <c r="S169" s="39"/>
      <c r="T169" s="39"/>
      <c r="U169" s="39"/>
      <c r="V169" s="39"/>
      <c r="W169" s="39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35" t="s">
        <v>21</v>
      </c>
      <c r="B170" s="35" t="s">
        <v>22</v>
      </c>
      <c r="C170" s="35" t="s">
        <v>23</v>
      </c>
      <c r="D170" s="35" t="s">
        <v>24</v>
      </c>
      <c r="E170" s="35" t="s">
        <v>31</v>
      </c>
      <c r="F170" s="35" t="s">
        <v>25</v>
      </c>
      <c r="G170" s="35" t="s">
        <v>25</v>
      </c>
      <c r="H170" s="35" t="s">
        <v>25</v>
      </c>
      <c r="I170" s="54">
        <v>44409</v>
      </c>
      <c r="J170" s="55">
        <f>EFEITO!$J$170*EFEITO!$Y$110</f>
        <v>0</v>
      </c>
      <c r="K170" s="55">
        <f ca="1">EFEITO!$L$170*EFEITO!$Z$170</f>
        <v>2941.7609565948555</v>
      </c>
      <c r="L170" s="55">
        <f>EFEITO!$N$170*EFEITO!$AA$170</f>
        <v>2314.6514164319378</v>
      </c>
      <c r="M170" s="55">
        <f>$J$170-EFEITO!$K$170*EFEITO!$Y$170</f>
        <v>0</v>
      </c>
      <c r="N170" s="55">
        <f ca="1">$K$170-EFEITO!$M$170*EFEITO!$Z$170</f>
        <v>0</v>
      </c>
      <c r="O170" s="55">
        <f>$L$170-EFEITO!$O$170*EFEITO!$AA$170</f>
        <v>0</v>
      </c>
      <c r="P170" s="39"/>
      <c r="Q170" s="39"/>
      <c r="R170" s="39"/>
      <c r="S170" s="39"/>
      <c r="T170" s="39"/>
      <c r="U170" s="39"/>
      <c r="V170" s="39"/>
      <c r="W170" s="39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35" t="s">
        <v>21</v>
      </c>
      <c r="B171" s="35" t="s">
        <v>22</v>
      </c>
      <c r="C171" s="35" t="s">
        <v>23</v>
      </c>
      <c r="D171" s="35" t="s">
        <v>24</v>
      </c>
      <c r="E171" s="35" t="s">
        <v>31</v>
      </c>
      <c r="F171" s="35" t="s">
        <v>25</v>
      </c>
      <c r="G171" s="35" t="s">
        <v>25</v>
      </c>
      <c r="H171" s="35" t="s">
        <v>25</v>
      </c>
      <c r="I171" s="54">
        <v>44440</v>
      </c>
      <c r="J171" s="55">
        <f>EFEITO!$J$171*EFEITO!$Y$110</f>
        <v>0</v>
      </c>
      <c r="K171" s="55">
        <f ca="1">EFEITO!$L$171*EFEITO!$Z$170</f>
        <v>1989.4826200744421</v>
      </c>
      <c r="L171" s="55">
        <f>EFEITO!$N$171*EFEITO!$AA$170</f>
        <v>1565.3749004311887</v>
      </c>
      <c r="M171" s="55">
        <f>$J$171-EFEITO!$K$171*EFEITO!$Y$171</f>
        <v>0</v>
      </c>
      <c r="N171" s="55">
        <f ca="1">$K$171-EFEITO!$M$171*EFEITO!$Z$171</f>
        <v>0</v>
      </c>
      <c r="O171" s="55">
        <f>$L$171-EFEITO!$O$171*EFEITO!$AA$171</f>
        <v>0</v>
      </c>
      <c r="P171" s="39"/>
      <c r="Q171" s="39"/>
      <c r="R171" s="39"/>
      <c r="S171" s="39"/>
      <c r="T171" s="39"/>
      <c r="U171" s="39"/>
      <c r="V171" s="39"/>
      <c r="W171" s="39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35" t="s">
        <v>21</v>
      </c>
      <c r="B172" s="35" t="s">
        <v>22</v>
      </c>
      <c r="C172" s="35" t="s">
        <v>23</v>
      </c>
      <c r="D172" s="35" t="s">
        <v>24</v>
      </c>
      <c r="E172" s="35" t="s">
        <v>31</v>
      </c>
      <c r="F172" s="35" t="s">
        <v>25</v>
      </c>
      <c r="G172" s="35" t="s">
        <v>25</v>
      </c>
      <c r="H172" s="35" t="s">
        <v>25</v>
      </c>
      <c r="I172" s="54">
        <v>44470</v>
      </c>
      <c r="J172" s="55">
        <f>EFEITO!$J$172*EFEITO!$Y$110</f>
        <v>0</v>
      </c>
      <c r="K172" s="55">
        <f ca="1">EFEITO!$L$172*EFEITO!$Z$170</f>
        <v>3433.5929628938825</v>
      </c>
      <c r="L172" s="55">
        <f>EFEITO!$N$172*EFEITO!$AA$170</f>
        <v>2701.6371935986681</v>
      </c>
      <c r="M172" s="55">
        <f>$J$172-EFEITO!$K$172*EFEITO!$Y$172</f>
        <v>0</v>
      </c>
      <c r="N172" s="55">
        <f ca="1">$K$172-EFEITO!$M$172*EFEITO!$Z$172</f>
        <v>0</v>
      </c>
      <c r="O172" s="55">
        <f>$L$172-EFEITO!$O$172*EFEITO!$AA$172</f>
        <v>0</v>
      </c>
      <c r="P172" s="39"/>
      <c r="Q172" s="39"/>
      <c r="R172" s="39"/>
      <c r="S172" s="39"/>
      <c r="T172" s="39"/>
      <c r="U172" s="39"/>
      <c r="V172" s="39"/>
      <c r="W172" s="39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35" t="s">
        <v>21</v>
      </c>
      <c r="B173" s="35" t="s">
        <v>22</v>
      </c>
      <c r="C173" s="35" t="s">
        <v>23</v>
      </c>
      <c r="D173" s="35" t="s">
        <v>24</v>
      </c>
      <c r="E173" s="35" t="s">
        <v>31</v>
      </c>
      <c r="F173" s="35" t="s">
        <v>25</v>
      </c>
      <c r="G173" s="35" t="s">
        <v>25</v>
      </c>
      <c r="H173" s="35" t="s">
        <v>25</v>
      </c>
      <c r="I173" s="54">
        <v>44501</v>
      </c>
      <c r="J173" s="55">
        <f>EFEITO!$J$173*EFEITO!$Y$110</f>
        <v>0</v>
      </c>
      <c r="K173" s="55">
        <f ca="1">EFEITO!$L$173*EFEITO!$Z$170</f>
        <v>1989.8518633224146</v>
      </c>
      <c r="L173" s="55">
        <f>EFEITO!$N$173*EFEITO!$AA$170</f>
        <v>1565.6654302939266</v>
      </c>
      <c r="M173" s="55">
        <f>$J$173-EFEITO!$K$173*EFEITO!$Y$173</f>
        <v>0</v>
      </c>
      <c r="N173" s="55">
        <f ca="1">$K$173-EFEITO!$M$173*EFEITO!$Z$173</f>
        <v>0</v>
      </c>
      <c r="O173" s="55">
        <f>$L$173-EFEITO!$O$173*EFEITO!$AA$173</f>
        <v>0</v>
      </c>
      <c r="P173" s="39"/>
      <c r="Q173" s="39"/>
      <c r="R173" s="39"/>
      <c r="S173" s="39"/>
      <c r="T173" s="39"/>
      <c r="U173" s="39"/>
      <c r="V173" s="39"/>
      <c r="W173" s="39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35" t="s">
        <v>21</v>
      </c>
      <c r="B174" s="35" t="s">
        <v>22</v>
      </c>
      <c r="C174" s="35" t="s">
        <v>23</v>
      </c>
      <c r="D174" s="35" t="s">
        <v>24</v>
      </c>
      <c r="E174" s="35" t="s">
        <v>31</v>
      </c>
      <c r="F174" s="35" t="s">
        <v>25</v>
      </c>
      <c r="G174" s="35" t="s">
        <v>25</v>
      </c>
      <c r="H174" s="35" t="s">
        <v>25</v>
      </c>
      <c r="I174" s="54">
        <v>44531</v>
      </c>
      <c r="J174" s="55">
        <f>EFEITO!$J$174*EFEITO!$Y$110</f>
        <v>0</v>
      </c>
      <c r="K174" s="55">
        <f ca="1">EFEITO!$L$174*EFEITO!$Z$170</f>
        <v>2988.6548490873301</v>
      </c>
      <c r="L174" s="55">
        <f>EFEITO!$N$174*EFEITO!$AA$170</f>
        <v>2351.5487089996363</v>
      </c>
      <c r="M174" s="55">
        <f>$J$174-EFEITO!$K$174*EFEITO!$Y$174</f>
        <v>0</v>
      </c>
      <c r="N174" s="55">
        <f ca="1">$K$174-EFEITO!$M$174*EFEITO!$Z$174</f>
        <v>0</v>
      </c>
      <c r="O174" s="55">
        <f>$L$174-EFEITO!$O$174*EFEITO!$AA$174</f>
        <v>0</v>
      </c>
      <c r="P174" s="39"/>
      <c r="Q174" s="39"/>
      <c r="R174" s="39"/>
      <c r="S174" s="39"/>
      <c r="T174" s="39"/>
      <c r="U174" s="39"/>
      <c r="V174" s="39"/>
      <c r="W174" s="39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35" t="s">
        <v>21</v>
      </c>
      <c r="B175" s="35" t="s">
        <v>22</v>
      </c>
      <c r="C175" s="35" t="s">
        <v>23</v>
      </c>
      <c r="D175" s="35" t="s">
        <v>24</v>
      </c>
      <c r="E175" s="35" t="s">
        <v>31</v>
      </c>
      <c r="F175" s="35" t="s">
        <v>25</v>
      </c>
      <c r="G175" s="35" t="s">
        <v>25</v>
      </c>
      <c r="H175" s="35" t="s">
        <v>25</v>
      </c>
      <c r="I175" s="54">
        <v>44562</v>
      </c>
      <c r="J175" s="55">
        <f>EFEITO!$J$175*EFEITO!$Y$110</f>
        <v>0</v>
      </c>
      <c r="K175" s="55">
        <f ca="1">EFEITO!$L$175*EFEITO!$Z$170</f>
        <v>2552.9478164800839</v>
      </c>
      <c r="L175" s="55">
        <f>EFEITO!$N$175*EFEITO!$AA$170</f>
        <v>2008.7234709690497</v>
      </c>
      <c r="M175" s="55">
        <f>$J$175-EFEITO!$K$175*EFEITO!$Y$175</f>
        <v>0</v>
      </c>
      <c r="N175" s="55">
        <f ca="1">$K$175-EFEITO!$M$175*EFEITO!$Z$175</f>
        <v>0</v>
      </c>
      <c r="O175" s="55">
        <f>$L$175-EFEITO!$O$175*EFEITO!$AA$175</f>
        <v>0</v>
      </c>
      <c r="P175" s="39"/>
      <c r="Q175" s="39"/>
      <c r="R175" s="39"/>
      <c r="S175" s="39"/>
      <c r="T175" s="39"/>
      <c r="U175" s="39"/>
      <c r="V175" s="39"/>
      <c r="W175" s="39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35" t="s">
        <v>21</v>
      </c>
      <c r="B176" s="35" t="s">
        <v>22</v>
      </c>
      <c r="C176" s="35" t="s">
        <v>23</v>
      </c>
      <c r="D176" s="35" t="s">
        <v>24</v>
      </c>
      <c r="E176" s="35" t="s">
        <v>31</v>
      </c>
      <c r="F176" s="35" t="s">
        <v>25</v>
      </c>
      <c r="G176" s="35" t="s">
        <v>25</v>
      </c>
      <c r="H176" s="35" t="s">
        <v>25</v>
      </c>
      <c r="I176" s="54">
        <v>44593</v>
      </c>
      <c r="J176" s="55">
        <f>EFEITO!$J$176*EFEITO!$Y$110</f>
        <v>0</v>
      </c>
      <c r="K176" s="55">
        <f ca="1">EFEITO!$L$176*EFEITO!$Z$170</f>
        <v>6733.8891132697845</v>
      </c>
      <c r="L176" s="55">
        <f>EFEITO!$N$176*EFEITO!$AA$170</f>
        <v>5298.3931067489957</v>
      </c>
      <c r="M176" s="55">
        <f>$J$176-EFEITO!$K$176*EFEITO!$Y$176</f>
        <v>0</v>
      </c>
      <c r="N176" s="55">
        <f ca="1">$K$176-EFEITO!$M$176*EFEITO!$Z$176</f>
        <v>0</v>
      </c>
      <c r="O176" s="55">
        <f>$L$176-EFEITO!$O$176*EFEITO!$AA$176</f>
        <v>0</v>
      </c>
      <c r="P176" s="39"/>
      <c r="Q176" s="39"/>
      <c r="R176" s="39"/>
      <c r="S176" s="39"/>
      <c r="T176" s="39"/>
      <c r="U176" s="39"/>
      <c r="V176" s="39"/>
      <c r="W176" s="39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35" t="s">
        <v>21</v>
      </c>
      <c r="B177" s="35" t="s">
        <v>22</v>
      </c>
      <c r="C177" s="35" t="s">
        <v>23</v>
      </c>
      <c r="D177" s="35" t="s">
        <v>24</v>
      </c>
      <c r="E177" s="35" t="s">
        <v>31</v>
      </c>
      <c r="F177" s="35" t="s">
        <v>25</v>
      </c>
      <c r="G177" s="35" t="s">
        <v>25</v>
      </c>
      <c r="H177" s="35" t="s">
        <v>25</v>
      </c>
      <c r="I177" s="54">
        <v>44621</v>
      </c>
      <c r="J177" s="55">
        <f>EFEITO!$J$177*EFEITO!$Y$110</f>
        <v>0</v>
      </c>
      <c r="K177" s="55">
        <f ca="1">EFEITO!$L$177*EFEITO!$Z$170</f>
        <v>3512.6110179599423</v>
      </c>
      <c r="L177" s="55">
        <f>EFEITO!$N$177*EFEITO!$AA$170</f>
        <v>2763.8105842245545</v>
      </c>
      <c r="M177" s="55">
        <f>$J$177-EFEITO!$K$177*EFEITO!$Y$177</f>
        <v>0</v>
      </c>
      <c r="N177" s="55">
        <f ca="1">$K$177-EFEITO!$M$177*EFEITO!$Z$177</f>
        <v>0</v>
      </c>
      <c r="O177" s="55">
        <f>$L$177-EFEITO!$O$177*EFEITO!$AA$177</f>
        <v>0</v>
      </c>
      <c r="P177" s="39"/>
      <c r="Q177" s="39"/>
      <c r="R177" s="39"/>
      <c r="S177" s="39"/>
      <c r="T177" s="39"/>
      <c r="U177" s="39"/>
      <c r="V177" s="39"/>
      <c r="W177" s="39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35" t="s">
        <v>21</v>
      </c>
      <c r="B178" s="35" t="s">
        <v>22</v>
      </c>
      <c r="C178" s="35" t="s">
        <v>23</v>
      </c>
      <c r="D178" s="35" t="s">
        <v>24</v>
      </c>
      <c r="E178" s="35" t="s">
        <v>31</v>
      </c>
      <c r="F178" s="35" t="s">
        <v>25</v>
      </c>
      <c r="G178" s="35" t="s">
        <v>25</v>
      </c>
      <c r="H178" s="35" t="s">
        <v>25</v>
      </c>
      <c r="I178" s="54">
        <v>44652</v>
      </c>
      <c r="J178" s="55">
        <f>EFEITO!$J$178*EFEITO!$Y$110</f>
        <v>0</v>
      </c>
      <c r="K178" s="55">
        <f ca="1">EFEITO!$L$178*EFEITO!$Z$170</f>
        <v>5024.2928751583031</v>
      </c>
      <c r="L178" s="55">
        <f>EFEITO!$N$178*EFEITO!$AA$170</f>
        <v>3953.2398422730485</v>
      </c>
      <c r="M178" s="55">
        <f>$J$178-EFEITO!$K$178*EFEITO!$Y$178</f>
        <v>0</v>
      </c>
      <c r="N178" s="55">
        <f ca="1">$K$178-EFEITO!$M$178*EFEITO!$Z$178</f>
        <v>0</v>
      </c>
      <c r="O178" s="55">
        <f>$L$178-EFEITO!$O$178*EFEITO!$AA$178</f>
        <v>0</v>
      </c>
      <c r="P178" s="39"/>
      <c r="Q178" s="39"/>
      <c r="R178" s="39"/>
      <c r="S178" s="39"/>
      <c r="T178" s="39"/>
      <c r="U178" s="39"/>
      <c r="V178" s="39"/>
      <c r="W178" s="39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35" t="s">
        <v>21</v>
      </c>
      <c r="B179" s="35" t="s">
        <v>22</v>
      </c>
      <c r="C179" s="35" t="s">
        <v>23</v>
      </c>
      <c r="D179" s="35" t="s">
        <v>24</v>
      </c>
      <c r="E179" s="35" t="s">
        <v>31</v>
      </c>
      <c r="F179" s="35" t="s">
        <v>25</v>
      </c>
      <c r="G179" s="35" t="s">
        <v>25</v>
      </c>
      <c r="H179" s="35" t="s">
        <v>25</v>
      </c>
      <c r="I179" s="54">
        <v>44682</v>
      </c>
      <c r="J179" s="55">
        <f>EFEITO!$J$179*EFEITO!$Y$110</f>
        <v>0</v>
      </c>
      <c r="K179" s="55">
        <f ca="1">EFEITO!$L$179*EFEITO!$Z$170</f>
        <v>3269.2797175462342</v>
      </c>
      <c r="L179" s="55">
        <f>EFEITO!$N$179*EFEITO!$AA$170</f>
        <v>2572.3514046803534</v>
      </c>
      <c r="M179" s="55">
        <f>$J$179-EFEITO!$K$179*EFEITO!$Y$179</f>
        <v>0</v>
      </c>
      <c r="N179" s="55">
        <f ca="1">$K$179-EFEITO!$M$179*EFEITO!$Z$179</f>
        <v>0</v>
      </c>
      <c r="O179" s="55">
        <f>$L$179-EFEITO!$O$179*EFEITO!$AA$179</f>
        <v>0</v>
      </c>
      <c r="P179" s="39"/>
      <c r="Q179" s="39"/>
      <c r="R179" s="39"/>
      <c r="S179" s="39"/>
      <c r="T179" s="39"/>
      <c r="U179" s="39"/>
      <c r="V179" s="39"/>
      <c r="W179" s="39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35" t="s">
        <v>21</v>
      </c>
      <c r="B180" s="35" t="s">
        <v>22</v>
      </c>
      <c r="C180" s="35" t="s">
        <v>23</v>
      </c>
      <c r="D180" s="35" t="s">
        <v>24</v>
      </c>
      <c r="E180" s="35" t="s">
        <v>31</v>
      </c>
      <c r="F180" s="35" t="s">
        <v>25</v>
      </c>
      <c r="G180" s="35" t="s">
        <v>25</v>
      </c>
      <c r="H180" s="35" t="s">
        <v>25</v>
      </c>
      <c r="I180" s="54">
        <v>44713</v>
      </c>
      <c r="J180" s="55">
        <f>EFEITO!$J$180*EFEITO!$Y$110</f>
        <v>0</v>
      </c>
      <c r="K180" s="55">
        <f ca="1">EFEITO!$L$180*EFEITO!$Z$170</f>
        <v>2208.8131093699544</v>
      </c>
      <c r="L180" s="55">
        <f>EFEITO!$N$180*EFEITO!$AA$170</f>
        <v>1737.9496388974335</v>
      </c>
      <c r="M180" s="55">
        <f>$J$180-EFEITO!$K$180*EFEITO!$Y$180</f>
        <v>0</v>
      </c>
      <c r="N180" s="55">
        <f ca="1">$K$180-EFEITO!$M$180*EFEITO!$Z$180</f>
        <v>0</v>
      </c>
      <c r="O180" s="55">
        <f>$L$180-EFEITO!$O$180*EFEITO!$AA$180</f>
        <v>0</v>
      </c>
      <c r="P180" s="39"/>
      <c r="Q180" s="39"/>
      <c r="R180" s="39"/>
      <c r="S180" s="39"/>
      <c r="T180" s="39"/>
      <c r="U180" s="39"/>
      <c r="V180" s="39"/>
      <c r="W180" s="39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35" t="s">
        <v>21</v>
      </c>
      <c r="B181" s="35" t="s">
        <v>22</v>
      </c>
      <c r="C181" s="35" t="s">
        <v>23</v>
      </c>
      <c r="D181" s="35" t="s">
        <v>24</v>
      </c>
      <c r="E181" s="35" t="s">
        <v>31</v>
      </c>
      <c r="F181" s="35" t="s">
        <v>25</v>
      </c>
      <c r="G181" s="35" t="s">
        <v>25</v>
      </c>
      <c r="H181" s="35" t="s">
        <v>25</v>
      </c>
      <c r="I181" s="54">
        <v>44743</v>
      </c>
      <c r="J181" s="55">
        <f>EFEITO!$J$181*EFEITO!$Y$110</f>
        <v>0</v>
      </c>
      <c r="K181" s="55">
        <f ca="1">EFEITO!$L$181*EFEITO!$Z$170</f>
        <v>3780.3123727398179</v>
      </c>
      <c r="L181" s="55">
        <f>EFEITO!$N$181*EFEITO!$AA$170</f>
        <v>2974.4447347094488</v>
      </c>
      <c r="M181" s="55">
        <f>$J$181-EFEITO!$K$181*EFEITO!$Y$181</f>
        <v>0</v>
      </c>
      <c r="N181" s="55">
        <f ca="1">$K$181-EFEITO!$M$181*EFEITO!$Z$181</f>
        <v>0</v>
      </c>
      <c r="O181" s="55">
        <f>$L$181-EFEITO!$O$181*EFEITO!$AA$181</f>
        <v>0</v>
      </c>
      <c r="P181" s="39"/>
      <c r="Q181" s="39"/>
      <c r="R181" s="39"/>
      <c r="S181" s="39"/>
      <c r="T181" s="39"/>
      <c r="U181" s="39"/>
      <c r="V181" s="39"/>
      <c r="W181" s="39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35" t="s">
        <v>21</v>
      </c>
      <c r="B182" s="35" t="s">
        <v>41</v>
      </c>
      <c r="C182" s="35" t="s">
        <v>23</v>
      </c>
      <c r="D182" s="35" t="s">
        <v>42</v>
      </c>
      <c r="E182" s="35" t="s">
        <v>25</v>
      </c>
      <c r="F182" s="35" t="s">
        <v>25</v>
      </c>
      <c r="G182" s="35" t="s">
        <v>25</v>
      </c>
      <c r="H182" s="35" t="s">
        <v>25</v>
      </c>
      <c r="I182" s="54">
        <v>44409</v>
      </c>
      <c r="J182" s="55">
        <f>EFEITO!$J$182*EFEITO!$Y$110</f>
        <v>0</v>
      </c>
      <c r="K182" s="55">
        <f ca="1">EFEITO!$L$182*EFEITO!$Z$110</f>
        <v>420.61490369342988</v>
      </c>
      <c r="L182" s="55">
        <f>EFEITO!$N$182*EFEITO!$AA$110</f>
        <v>247.82197291533112</v>
      </c>
      <c r="M182" s="55">
        <f>$J$182-EFEITO!$K$182*EFEITO!$Y$182</f>
        <v>0</v>
      </c>
      <c r="N182" s="55">
        <f ca="1">$K$182-EFEITO!$M$182*EFEITO!$Z$182</f>
        <v>25.236894221605837</v>
      </c>
      <c r="O182" s="55">
        <f>$L$182-EFEITO!$O$182*EFEITO!$AA$182</f>
        <v>14.869318374919857</v>
      </c>
      <c r="P182" s="39"/>
      <c r="Q182" s="39"/>
      <c r="R182" s="39"/>
      <c r="S182" s="39"/>
      <c r="T182" s="39"/>
      <c r="U182" s="39"/>
      <c r="V182" s="39"/>
      <c r="W182" s="39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35" t="s">
        <v>21</v>
      </c>
      <c r="B183" s="35" t="s">
        <v>41</v>
      </c>
      <c r="C183" s="35" t="s">
        <v>23</v>
      </c>
      <c r="D183" s="35" t="s">
        <v>42</v>
      </c>
      <c r="E183" s="35" t="s">
        <v>25</v>
      </c>
      <c r="F183" s="35" t="s">
        <v>25</v>
      </c>
      <c r="G183" s="35" t="s">
        <v>25</v>
      </c>
      <c r="H183" s="35" t="s">
        <v>25</v>
      </c>
      <c r="I183" s="54">
        <v>44440</v>
      </c>
      <c r="J183" s="55">
        <f>EFEITO!$J$183*EFEITO!$Y$110</f>
        <v>0</v>
      </c>
      <c r="K183" s="55">
        <f ca="1">EFEITO!$L$183*EFEITO!$Z$110</f>
        <v>455.13195323450856</v>
      </c>
      <c r="L183" s="55">
        <f>EFEITO!$N$183*EFEITO!$AA$110</f>
        <v>268.15906330697612</v>
      </c>
      <c r="M183" s="55">
        <f>$J$183-EFEITO!$K$183*EFEITO!$Y$183</f>
        <v>0</v>
      </c>
      <c r="N183" s="55">
        <f ca="1">$K$183-EFEITO!$M$183*EFEITO!$Z$183</f>
        <v>27.307917194070569</v>
      </c>
      <c r="O183" s="55">
        <f>$L$183-EFEITO!$O$183*EFEITO!$AA$183</f>
        <v>16.089543798418561</v>
      </c>
      <c r="P183" s="39"/>
      <c r="Q183" s="39"/>
      <c r="R183" s="39"/>
      <c r="S183" s="39"/>
      <c r="T183" s="39"/>
      <c r="U183" s="39"/>
      <c r="V183" s="39"/>
      <c r="W183" s="39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35" t="s">
        <v>21</v>
      </c>
      <c r="B184" s="35" t="s">
        <v>41</v>
      </c>
      <c r="C184" s="35" t="s">
        <v>23</v>
      </c>
      <c r="D184" s="35" t="s">
        <v>42</v>
      </c>
      <c r="E184" s="35" t="s">
        <v>25</v>
      </c>
      <c r="F184" s="35" t="s">
        <v>25</v>
      </c>
      <c r="G184" s="35" t="s">
        <v>25</v>
      </c>
      <c r="H184" s="35" t="s">
        <v>25</v>
      </c>
      <c r="I184" s="54">
        <v>44470</v>
      </c>
      <c r="J184" s="55">
        <f>EFEITO!$J$184*EFEITO!$Y$110</f>
        <v>0</v>
      </c>
      <c r="K184" s="55">
        <f ca="1">EFEITO!$L$184*EFEITO!$Z$110</f>
        <v>502.4696211765592</v>
      </c>
      <c r="L184" s="55">
        <f>EFEITO!$N$184*EFEITO!$AA$110</f>
        <v>296.0499301298035</v>
      </c>
      <c r="M184" s="55">
        <f>$J$184-EFEITO!$K$184*EFEITO!$Y$184</f>
        <v>0</v>
      </c>
      <c r="N184" s="55">
        <f ca="1">$K$184-EFEITO!$M$184*EFEITO!$Z$184</f>
        <v>30.148177270593578</v>
      </c>
      <c r="O184" s="55">
        <f>$L$184-EFEITO!$O$184*EFEITO!$AA$184</f>
        <v>17.762995807788172</v>
      </c>
      <c r="P184" s="39"/>
      <c r="Q184" s="39"/>
      <c r="R184" s="39"/>
      <c r="S184" s="39"/>
      <c r="T184" s="39"/>
      <c r="U184" s="39"/>
      <c r="V184" s="39"/>
      <c r="W184" s="39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35" t="s">
        <v>21</v>
      </c>
      <c r="B185" s="35" t="s">
        <v>41</v>
      </c>
      <c r="C185" s="35" t="s">
        <v>23</v>
      </c>
      <c r="D185" s="35" t="s">
        <v>42</v>
      </c>
      <c r="E185" s="35" t="s">
        <v>25</v>
      </c>
      <c r="F185" s="35" t="s">
        <v>25</v>
      </c>
      <c r="G185" s="35" t="s">
        <v>25</v>
      </c>
      <c r="H185" s="35" t="s">
        <v>25</v>
      </c>
      <c r="I185" s="54">
        <v>44501</v>
      </c>
      <c r="J185" s="55">
        <f>EFEITO!$J$185*EFEITO!$Y$110</f>
        <v>0</v>
      </c>
      <c r="K185" s="55">
        <f ca="1">EFEITO!$L$185*EFEITO!$Z$110</f>
        <v>459.07675889634612</v>
      </c>
      <c r="L185" s="55">
        <f>EFEITO!$N$185*EFEITO!$AA$110</f>
        <v>270.4833022088784</v>
      </c>
      <c r="M185" s="55">
        <f>$J$185-EFEITO!$K$185*EFEITO!$Y$185</f>
        <v>0</v>
      </c>
      <c r="N185" s="55">
        <f ca="1">$K$185-EFEITO!$M$185*EFEITO!$Z$185</f>
        <v>27.544605533780782</v>
      </c>
      <c r="O185" s="55">
        <f>$L$185-EFEITO!$O$185*EFEITO!$AA$185</f>
        <v>16.228998132532695</v>
      </c>
      <c r="P185" s="39"/>
      <c r="Q185" s="39"/>
      <c r="R185" s="39"/>
      <c r="S185" s="39"/>
      <c r="T185" s="39"/>
      <c r="U185" s="39"/>
      <c r="V185" s="39"/>
      <c r="W185" s="39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35" t="s">
        <v>21</v>
      </c>
      <c r="B186" s="35" t="s">
        <v>41</v>
      </c>
      <c r="C186" s="35" t="s">
        <v>23</v>
      </c>
      <c r="D186" s="35" t="s">
        <v>42</v>
      </c>
      <c r="E186" s="35" t="s">
        <v>25</v>
      </c>
      <c r="F186" s="35" t="s">
        <v>25</v>
      </c>
      <c r="G186" s="35" t="s">
        <v>25</v>
      </c>
      <c r="H186" s="35" t="s">
        <v>25</v>
      </c>
      <c r="I186" s="54">
        <v>44531</v>
      </c>
      <c r="J186" s="55">
        <f>EFEITO!$J$186*EFEITO!$Y$110</f>
        <v>0</v>
      </c>
      <c r="K186" s="55">
        <f ca="1">EFEITO!$L$186*EFEITO!$Z$110</f>
        <v>577.91402945920254</v>
      </c>
      <c r="L186" s="55">
        <f>EFEITO!$N$186*EFEITO!$AA$110</f>
        <v>340.50099912868473</v>
      </c>
      <c r="M186" s="55">
        <f>$J$186-EFEITO!$K$186*EFEITO!$Y$186</f>
        <v>0</v>
      </c>
      <c r="N186" s="55">
        <f ca="1">$K$186-EFEITO!$M$186*EFEITO!$Z$186</f>
        <v>34.674841767552152</v>
      </c>
      <c r="O186" s="55">
        <f>$L$186-EFEITO!$O$186*EFEITO!$AA$186</f>
        <v>20.430059947721077</v>
      </c>
      <c r="P186" s="39"/>
      <c r="Q186" s="39"/>
      <c r="R186" s="39"/>
      <c r="S186" s="39"/>
      <c r="T186" s="39"/>
      <c r="U186" s="39"/>
      <c r="V186" s="39"/>
      <c r="W186" s="39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35" t="s">
        <v>21</v>
      </c>
      <c r="B187" s="35" t="s">
        <v>41</v>
      </c>
      <c r="C187" s="35" t="s">
        <v>23</v>
      </c>
      <c r="D187" s="35" t="s">
        <v>42</v>
      </c>
      <c r="E187" s="35" t="s">
        <v>25</v>
      </c>
      <c r="F187" s="35" t="s">
        <v>25</v>
      </c>
      <c r="G187" s="35" t="s">
        <v>25</v>
      </c>
      <c r="H187" s="35" t="s">
        <v>25</v>
      </c>
      <c r="I187" s="54">
        <v>44562</v>
      </c>
      <c r="J187" s="55">
        <f>EFEITO!$J$187*EFEITO!$Y$110</f>
        <v>0</v>
      </c>
      <c r="K187" s="55">
        <f ca="1">EFEITO!$L$187*EFEITO!$Z$110</f>
        <v>559.17620256547411</v>
      </c>
      <c r="L187" s="55">
        <f>EFEITO!$N$187*EFEITO!$AA$110</f>
        <v>329.46086434464883</v>
      </c>
      <c r="M187" s="55">
        <f>$J$187-EFEITO!$K$187*EFEITO!$Y$187</f>
        <v>0</v>
      </c>
      <c r="N187" s="55">
        <f ca="1">$K$187-EFEITO!$M$187*EFEITO!$Z$187</f>
        <v>33.550572153928442</v>
      </c>
      <c r="O187" s="55">
        <f>$L$187-EFEITO!$O$187*EFEITO!$AA$187</f>
        <v>19.767651860678882</v>
      </c>
      <c r="P187" s="39"/>
      <c r="Q187" s="39"/>
      <c r="R187" s="39"/>
      <c r="S187" s="39"/>
      <c r="T187" s="39"/>
      <c r="U187" s="39"/>
      <c r="V187" s="39"/>
      <c r="W187" s="39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35" t="s">
        <v>21</v>
      </c>
      <c r="B188" s="35" t="s">
        <v>41</v>
      </c>
      <c r="C188" s="35" t="s">
        <v>23</v>
      </c>
      <c r="D188" s="35" t="s">
        <v>42</v>
      </c>
      <c r="E188" s="35" t="s">
        <v>25</v>
      </c>
      <c r="F188" s="35" t="s">
        <v>25</v>
      </c>
      <c r="G188" s="35" t="s">
        <v>25</v>
      </c>
      <c r="H188" s="35" t="s">
        <v>25</v>
      </c>
      <c r="I188" s="54">
        <v>44593</v>
      </c>
      <c r="J188" s="55">
        <f>EFEITO!$J$188*EFEITO!$Y$110</f>
        <v>0</v>
      </c>
      <c r="K188" s="55">
        <f ca="1">EFEITO!$L$188*EFEITO!$Z$110</f>
        <v>728.80284602448921</v>
      </c>
      <c r="L188" s="55">
        <f>EFEITO!$N$188*EFEITO!$AA$110</f>
        <v>429.40313712644712</v>
      </c>
      <c r="M188" s="55">
        <f>$J$188-EFEITO!$K$188*EFEITO!$Y$188</f>
        <v>0</v>
      </c>
      <c r="N188" s="55">
        <f ca="1">$K$188-EFEITO!$M$188*EFEITO!$Z$188</f>
        <v>43.7281707614693</v>
      </c>
      <c r="O188" s="55">
        <f>$L$188-EFEITO!$O$188*EFEITO!$AA$188</f>
        <v>25.764188227586828</v>
      </c>
      <c r="P188" s="39"/>
      <c r="Q188" s="39"/>
      <c r="R188" s="39"/>
      <c r="S188" s="39"/>
      <c r="T188" s="39"/>
      <c r="U188" s="39"/>
      <c r="V188" s="39"/>
      <c r="W188" s="39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35" t="s">
        <v>21</v>
      </c>
      <c r="B189" s="35" t="s">
        <v>41</v>
      </c>
      <c r="C189" s="35" t="s">
        <v>23</v>
      </c>
      <c r="D189" s="35" t="s">
        <v>42</v>
      </c>
      <c r="E189" s="35" t="s">
        <v>25</v>
      </c>
      <c r="F189" s="35" t="s">
        <v>25</v>
      </c>
      <c r="G189" s="35" t="s">
        <v>25</v>
      </c>
      <c r="H189" s="35" t="s">
        <v>25</v>
      </c>
      <c r="I189" s="54">
        <v>44621</v>
      </c>
      <c r="J189" s="55">
        <f>EFEITO!$J$189*EFEITO!$Y$110</f>
        <v>0</v>
      </c>
      <c r="K189" s="55">
        <f ca="1">EFEITO!$L$189*EFEITO!$Z$110</f>
        <v>528.60395868623311</v>
      </c>
      <c r="L189" s="55">
        <f>EFEITO!$N$189*EFEITO!$AA$110</f>
        <v>311.44801285490621</v>
      </c>
      <c r="M189" s="55">
        <f>$J$189-EFEITO!$K$189*EFEITO!$Y$189</f>
        <v>0</v>
      </c>
      <c r="N189" s="55">
        <f ca="1">$K$189-EFEITO!$M$189*EFEITO!$Z$189</f>
        <v>31.71623752117398</v>
      </c>
      <c r="O189" s="55">
        <f>$L$189-EFEITO!$O$189*EFEITO!$AA$189</f>
        <v>18.686880771294398</v>
      </c>
      <c r="P189" s="39"/>
      <c r="Q189" s="39"/>
      <c r="R189" s="39"/>
      <c r="S189" s="39"/>
      <c r="T189" s="39"/>
      <c r="U189" s="39"/>
      <c r="V189" s="39"/>
      <c r="W189" s="39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35" t="s">
        <v>21</v>
      </c>
      <c r="B190" s="35" t="s">
        <v>41</v>
      </c>
      <c r="C190" s="35" t="s">
        <v>23</v>
      </c>
      <c r="D190" s="35" t="s">
        <v>42</v>
      </c>
      <c r="E190" s="35" t="s">
        <v>25</v>
      </c>
      <c r="F190" s="35" t="s">
        <v>25</v>
      </c>
      <c r="G190" s="35" t="s">
        <v>25</v>
      </c>
      <c r="H190" s="35" t="s">
        <v>25</v>
      </c>
      <c r="I190" s="54">
        <v>44652</v>
      </c>
      <c r="J190" s="55">
        <f>EFEITO!$J$190*EFEITO!$Y$110</f>
        <v>0</v>
      </c>
      <c r="K190" s="55">
        <f ca="1">EFEITO!$L$190*EFEITO!$Z$110</f>
        <v>563.61410893504149</v>
      </c>
      <c r="L190" s="55">
        <f>EFEITO!$N$190*EFEITO!$AA$110</f>
        <v>332.07563310928896</v>
      </c>
      <c r="M190" s="55">
        <f>$J$190-EFEITO!$K$190*EFEITO!$Y$190</f>
        <v>0</v>
      </c>
      <c r="N190" s="55">
        <f ca="1">$K$190-EFEITO!$M$190*EFEITO!$Z$190</f>
        <v>33.816846536102503</v>
      </c>
      <c r="O190" s="55">
        <f>$L$190-EFEITO!$O$190*EFEITO!$AA$190</f>
        <v>19.924537986557311</v>
      </c>
      <c r="P190" s="39"/>
      <c r="Q190" s="39"/>
      <c r="R190" s="39"/>
      <c r="S190" s="39"/>
      <c r="T190" s="39"/>
      <c r="U190" s="39"/>
      <c r="V190" s="39"/>
      <c r="W190" s="39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35" t="s">
        <v>21</v>
      </c>
      <c r="B191" s="35" t="s">
        <v>41</v>
      </c>
      <c r="C191" s="35" t="s">
        <v>23</v>
      </c>
      <c r="D191" s="35" t="s">
        <v>42</v>
      </c>
      <c r="E191" s="35" t="s">
        <v>25</v>
      </c>
      <c r="F191" s="35" t="s">
        <v>25</v>
      </c>
      <c r="G191" s="35" t="s">
        <v>25</v>
      </c>
      <c r="H191" s="35" t="s">
        <v>25</v>
      </c>
      <c r="I191" s="54">
        <v>44682</v>
      </c>
      <c r="J191" s="55">
        <f>EFEITO!$J$191*EFEITO!$Y$110</f>
        <v>0</v>
      </c>
      <c r="K191" s="55">
        <f ca="1">EFEITO!$L$191*EFEITO!$Z$110</f>
        <v>380.18064565959492</v>
      </c>
      <c r="L191" s="55">
        <f>EFEITO!$N$191*EFEITO!$AA$110</f>
        <v>223.9985241708327</v>
      </c>
      <c r="M191" s="55">
        <f>$J$191-EFEITO!$K$191*EFEITO!$Y$191</f>
        <v>0</v>
      </c>
      <c r="N191" s="55">
        <f ca="1">$K$191-EFEITO!$M$191*EFEITO!$Z$191</f>
        <v>22.810838739575729</v>
      </c>
      <c r="O191" s="55">
        <f>$L$191-EFEITO!$O$191*EFEITO!$AA$191</f>
        <v>13.439911450249951</v>
      </c>
      <c r="P191" s="39"/>
      <c r="Q191" s="39"/>
      <c r="R191" s="39"/>
      <c r="S191" s="39"/>
      <c r="T191" s="39"/>
      <c r="U191" s="39"/>
      <c r="V191" s="39"/>
      <c r="W191" s="39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35" t="s">
        <v>21</v>
      </c>
      <c r="B192" s="35" t="s">
        <v>41</v>
      </c>
      <c r="C192" s="35" t="s">
        <v>23</v>
      </c>
      <c r="D192" s="35" t="s">
        <v>42</v>
      </c>
      <c r="E192" s="35" t="s">
        <v>25</v>
      </c>
      <c r="F192" s="35" t="s">
        <v>25</v>
      </c>
      <c r="G192" s="35" t="s">
        <v>25</v>
      </c>
      <c r="H192" s="35" t="s">
        <v>25</v>
      </c>
      <c r="I192" s="54">
        <v>44713</v>
      </c>
      <c r="J192" s="55">
        <f>EFEITO!$J$192*EFEITO!$Y$110</f>
        <v>0</v>
      </c>
      <c r="K192" s="55">
        <f ca="1">EFEITO!$L$192*EFEITO!$Z$110</f>
        <v>341.71879045667862</v>
      </c>
      <c r="L192" s="55">
        <f>EFEITO!$N$192*EFEITO!$AA$110</f>
        <v>201.33719487728541</v>
      </c>
      <c r="M192" s="55">
        <f>$J$192-EFEITO!$K$192*EFEITO!$Y$192</f>
        <v>0</v>
      </c>
      <c r="N192" s="55">
        <f ca="1">$K$192-EFEITO!$M$192*EFEITO!$Z$192</f>
        <v>20.503127427400727</v>
      </c>
      <c r="O192" s="55">
        <f>$L$192-EFEITO!$O$192*EFEITO!$AA$192</f>
        <v>12.080231692637113</v>
      </c>
      <c r="P192" s="39"/>
      <c r="Q192" s="39"/>
      <c r="R192" s="39"/>
      <c r="S192" s="39"/>
      <c r="T192" s="39"/>
      <c r="U192" s="39"/>
      <c r="V192" s="39"/>
      <c r="W192" s="39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35" t="s">
        <v>21</v>
      </c>
      <c r="B193" s="35" t="s">
        <v>41</v>
      </c>
      <c r="C193" s="35" t="s">
        <v>23</v>
      </c>
      <c r="D193" s="35" t="s">
        <v>42</v>
      </c>
      <c r="E193" s="35" t="s">
        <v>25</v>
      </c>
      <c r="F193" s="35" t="s">
        <v>25</v>
      </c>
      <c r="G193" s="35" t="s">
        <v>25</v>
      </c>
      <c r="H193" s="35" t="s">
        <v>25</v>
      </c>
      <c r="I193" s="54">
        <v>44743</v>
      </c>
      <c r="J193" s="55">
        <f>EFEITO!$J$193*EFEITO!$Y$110</f>
        <v>0</v>
      </c>
      <c r="K193" s="55">
        <f ca="1">EFEITO!$L$193*EFEITO!$Z$110</f>
        <v>321.00856073203147</v>
      </c>
      <c r="L193" s="55">
        <f>EFEITO!$N$193*EFEITO!$AA$110</f>
        <v>189.13494064229843</v>
      </c>
      <c r="M193" s="55">
        <f>$J$193-EFEITO!$K$193*EFEITO!$Y$193</f>
        <v>0</v>
      </c>
      <c r="N193" s="55">
        <f ca="1">$K$193-EFEITO!$M$193*EFEITO!$Z$193</f>
        <v>19.260513643921911</v>
      </c>
      <c r="O193" s="55">
        <f>$L$193-EFEITO!$O$193*EFEITO!$AA$193</f>
        <v>11.348096438537908</v>
      </c>
      <c r="P193" s="39"/>
      <c r="Q193" s="39"/>
      <c r="R193" s="39"/>
      <c r="S193" s="39"/>
      <c r="T193" s="39"/>
      <c r="U193" s="39"/>
      <c r="V193" s="39"/>
      <c r="W193" s="39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35" t="s">
        <v>21</v>
      </c>
      <c r="B194" s="35" t="s">
        <v>32</v>
      </c>
      <c r="C194" s="35" t="s">
        <v>38</v>
      </c>
      <c r="D194" s="35" t="s">
        <v>40</v>
      </c>
      <c r="E194" s="35" t="s">
        <v>25</v>
      </c>
      <c r="F194" s="35" t="s">
        <v>25</v>
      </c>
      <c r="G194" s="35" t="s">
        <v>25</v>
      </c>
      <c r="H194" s="35" t="s">
        <v>37</v>
      </c>
      <c r="I194" s="54">
        <v>44409</v>
      </c>
      <c r="J194" s="55">
        <f>EFEITO!$J$194*EFEITO!$Y$194</f>
        <v>0</v>
      </c>
      <c r="K194" s="55">
        <f ca="1">EFEITO!$L$194*EFEITO!$Z$194</f>
        <v>3345.3193787109208</v>
      </c>
      <c r="L194" s="55">
        <f>EFEITO!$N$194*EFEITO!$AA$194</f>
        <v>2275.9579353956638</v>
      </c>
      <c r="M194" s="55">
        <f>$J$194-EFEITO!$K$194*EFEITO!$Y$194</f>
        <v>0</v>
      </c>
      <c r="N194" s="55">
        <f ca="1">$K$194-EFEITO!$M$194*EFEITO!$Z$194</f>
        <v>0</v>
      </c>
      <c r="O194" s="55">
        <f>$L$194-EFEITO!$O$194*EFEITO!$AA$194</f>
        <v>0</v>
      </c>
      <c r="P194" s="39"/>
      <c r="Q194" s="39"/>
      <c r="R194" s="39"/>
      <c r="S194" s="39"/>
      <c r="T194" s="39"/>
      <c r="U194" s="39"/>
      <c r="V194" s="39"/>
      <c r="W194" s="39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35" t="s">
        <v>21</v>
      </c>
      <c r="B195" s="35" t="s">
        <v>32</v>
      </c>
      <c r="C195" s="35" t="s">
        <v>38</v>
      </c>
      <c r="D195" s="35" t="s">
        <v>40</v>
      </c>
      <c r="E195" s="35" t="s">
        <v>25</v>
      </c>
      <c r="F195" s="35" t="s">
        <v>25</v>
      </c>
      <c r="G195" s="35" t="s">
        <v>25</v>
      </c>
      <c r="H195" s="35" t="s">
        <v>37</v>
      </c>
      <c r="I195" s="54">
        <v>44440</v>
      </c>
      <c r="J195" s="55">
        <f>EFEITO!$J$195*EFEITO!$Y$195</f>
        <v>0</v>
      </c>
      <c r="K195" s="55">
        <f ca="1">EFEITO!$L$195*EFEITO!$Z$195</f>
        <v>3398.528459080826</v>
      </c>
      <c r="L195" s="55">
        <f>EFEITO!$N$195*EFEITO!$AA$195</f>
        <v>2312.1582544066559</v>
      </c>
      <c r="M195" s="55">
        <f>$J$195-EFEITO!$K$195*EFEITO!$Y$195</f>
        <v>0</v>
      </c>
      <c r="N195" s="55">
        <f ca="1">$K$195-EFEITO!$M$195*EFEITO!$Z$195</f>
        <v>0</v>
      </c>
      <c r="O195" s="55">
        <f>$L$195-EFEITO!$O$195*EFEITO!$AA$195</f>
        <v>0</v>
      </c>
      <c r="P195" s="39"/>
      <c r="Q195" s="39"/>
      <c r="R195" s="39"/>
      <c r="S195" s="39"/>
      <c r="T195" s="39"/>
      <c r="U195" s="39"/>
      <c r="V195" s="39"/>
      <c r="W195" s="39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35" t="s">
        <v>21</v>
      </c>
      <c r="B196" s="35" t="s">
        <v>32</v>
      </c>
      <c r="C196" s="35" t="s">
        <v>38</v>
      </c>
      <c r="D196" s="35" t="s">
        <v>40</v>
      </c>
      <c r="E196" s="35" t="s">
        <v>25</v>
      </c>
      <c r="F196" s="35" t="s">
        <v>25</v>
      </c>
      <c r="G196" s="35" t="s">
        <v>25</v>
      </c>
      <c r="H196" s="35" t="s">
        <v>37</v>
      </c>
      <c r="I196" s="54">
        <v>44470</v>
      </c>
      <c r="J196" s="55">
        <f>EFEITO!$J$196*EFEITO!$Y$196</f>
        <v>0</v>
      </c>
      <c r="K196" s="55">
        <f ca="1">EFEITO!$L$196*EFEITO!$Z$196</f>
        <v>3075.6460850179933</v>
      </c>
      <c r="L196" s="55">
        <f>EFEITO!$N$196*EFEITO!$AA$196</f>
        <v>2092.4881367717694</v>
      </c>
      <c r="M196" s="55">
        <f>$J$196-EFEITO!$K$196*EFEITO!$Y$196</f>
        <v>0</v>
      </c>
      <c r="N196" s="55">
        <f ca="1">$K$196-EFEITO!$M$196*EFEITO!$Z$196</f>
        <v>0</v>
      </c>
      <c r="O196" s="55">
        <f>$L$196-EFEITO!$O$196*EFEITO!$AA$196</f>
        <v>0</v>
      </c>
      <c r="P196" s="39"/>
      <c r="Q196" s="39"/>
      <c r="R196" s="39"/>
      <c r="S196" s="39"/>
      <c r="T196" s="39"/>
      <c r="U196" s="39"/>
      <c r="V196" s="39"/>
      <c r="W196" s="39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35" t="s">
        <v>21</v>
      </c>
      <c r="B197" s="35" t="s">
        <v>32</v>
      </c>
      <c r="C197" s="35" t="s">
        <v>38</v>
      </c>
      <c r="D197" s="35" t="s">
        <v>40</v>
      </c>
      <c r="E197" s="35" t="s">
        <v>25</v>
      </c>
      <c r="F197" s="35" t="s">
        <v>25</v>
      </c>
      <c r="G197" s="35" t="s">
        <v>25</v>
      </c>
      <c r="H197" s="35" t="s">
        <v>37</v>
      </c>
      <c r="I197" s="54">
        <v>44501</v>
      </c>
      <c r="J197" s="55">
        <f>EFEITO!$J$197*EFEITO!$Y$197</f>
        <v>0</v>
      </c>
      <c r="K197" s="55">
        <f ca="1">EFEITO!$L$197*EFEITO!$Z$197</f>
        <v>3120.7931835136706</v>
      </c>
      <c r="L197" s="55">
        <f>EFEITO!$N$197*EFEITO!$AA$197</f>
        <v>2123.2035589629145</v>
      </c>
      <c r="M197" s="55">
        <f>$J$197-EFEITO!$K$197*EFEITO!$Y$197</f>
        <v>0</v>
      </c>
      <c r="N197" s="55">
        <f ca="1">$K$197-EFEITO!$M$197*EFEITO!$Z$197</f>
        <v>0</v>
      </c>
      <c r="O197" s="55">
        <f>$L$197-EFEITO!$O$197*EFEITO!$AA$197</f>
        <v>0</v>
      </c>
      <c r="P197" s="39"/>
      <c r="Q197" s="39"/>
      <c r="R197" s="39"/>
      <c r="S197" s="39"/>
      <c r="T197" s="39"/>
      <c r="U197" s="39"/>
      <c r="V197" s="39"/>
      <c r="W197" s="39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35" t="s">
        <v>21</v>
      </c>
      <c r="B198" s="35" t="s">
        <v>32</v>
      </c>
      <c r="C198" s="35" t="s">
        <v>38</v>
      </c>
      <c r="D198" s="35" t="s">
        <v>40</v>
      </c>
      <c r="E198" s="35" t="s">
        <v>25</v>
      </c>
      <c r="F198" s="35" t="s">
        <v>25</v>
      </c>
      <c r="G198" s="35" t="s">
        <v>25</v>
      </c>
      <c r="H198" s="35" t="s">
        <v>37</v>
      </c>
      <c r="I198" s="54">
        <v>44531</v>
      </c>
      <c r="J198" s="55">
        <f>EFEITO!$J$198*EFEITO!$Y$198</f>
        <v>0</v>
      </c>
      <c r="K198" s="55">
        <f ca="1">EFEITO!$L$198*EFEITO!$Z$198</f>
        <v>3517.8457908194009</v>
      </c>
      <c r="L198" s="55">
        <f>EFEITO!$N$198*EFEITO!$AA$198</f>
        <v>2393.3347273403974</v>
      </c>
      <c r="M198" s="55">
        <f>$J$198-EFEITO!$K$198*EFEITO!$Y$198</f>
        <v>0</v>
      </c>
      <c r="N198" s="55">
        <f ca="1">$K$198-EFEITO!$M$198*EFEITO!$Z$198</f>
        <v>0</v>
      </c>
      <c r="O198" s="55">
        <f>$L$198-EFEITO!$O$198*EFEITO!$AA$198</f>
        <v>0</v>
      </c>
      <c r="P198" s="39"/>
      <c r="Q198" s="39"/>
      <c r="R198" s="39"/>
      <c r="S198" s="39"/>
      <c r="T198" s="39"/>
      <c r="U198" s="39"/>
      <c r="V198" s="39"/>
      <c r="W198" s="3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35" t="s">
        <v>21</v>
      </c>
      <c r="B199" s="35" t="s">
        <v>32</v>
      </c>
      <c r="C199" s="35" t="s">
        <v>38</v>
      </c>
      <c r="D199" s="35" t="s">
        <v>40</v>
      </c>
      <c r="E199" s="35" t="s">
        <v>25</v>
      </c>
      <c r="F199" s="35" t="s">
        <v>25</v>
      </c>
      <c r="G199" s="35" t="s">
        <v>25</v>
      </c>
      <c r="H199" s="35" t="s">
        <v>37</v>
      </c>
      <c r="I199" s="54">
        <v>44562</v>
      </c>
      <c r="J199" s="55">
        <f>EFEITO!$J$199*EFEITO!$Y$199</f>
        <v>0</v>
      </c>
      <c r="K199" s="55">
        <f ca="1">EFEITO!$L$199*EFEITO!$Z$199</f>
        <v>2885.3833127862122</v>
      </c>
      <c r="L199" s="55">
        <f>EFEITO!$N$199*EFEITO!$AA$199</f>
        <v>1963.0445718233718</v>
      </c>
      <c r="M199" s="55">
        <f>$J$199-EFEITO!$K$199*EFEITO!$Y$199</f>
        <v>0</v>
      </c>
      <c r="N199" s="55">
        <f ca="1">$K$199-EFEITO!$M$199*EFEITO!$Z$199</f>
        <v>0</v>
      </c>
      <c r="O199" s="55">
        <f>$L$199-EFEITO!$O$199*EFEITO!$AA$199</f>
        <v>0</v>
      </c>
      <c r="P199" s="39"/>
      <c r="Q199" s="39"/>
      <c r="R199" s="39"/>
      <c r="S199" s="39"/>
      <c r="T199" s="39"/>
      <c r="U199" s="39"/>
      <c r="V199" s="39"/>
      <c r="W199" s="3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35" t="s">
        <v>21</v>
      </c>
      <c r="B200" s="35" t="s">
        <v>32</v>
      </c>
      <c r="C200" s="35" t="s">
        <v>38</v>
      </c>
      <c r="D200" s="35" t="s">
        <v>40</v>
      </c>
      <c r="E200" s="35" t="s">
        <v>25</v>
      </c>
      <c r="F200" s="35" t="s">
        <v>25</v>
      </c>
      <c r="G200" s="35" t="s">
        <v>25</v>
      </c>
      <c r="H200" s="35" t="s">
        <v>37</v>
      </c>
      <c r="I200" s="54">
        <v>44593</v>
      </c>
      <c r="J200" s="55">
        <f>EFEITO!$J$200*EFEITO!$Y$200</f>
        <v>0</v>
      </c>
      <c r="K200" s="55">
        <f ca="1">EFEITO!$L$200*EFEITO!$Z$200</f>
        <v>3962.8671902767878</v>
      </c>
      <c r="L200" s="55">
        <f>EFEITO!$N$200*EFEITO!$AA$200</f>
        <v>2696.1010317959717</v>
      </c>
      <c r="M200" s="55">
        <f>$J$200-EFEITO!$K$200*EFEITO!$Y$200</f>
        <v>0</v>
      </c>
      <c r="N200" s="55">
        <f ca="1">$K$200-EFEITO!$M$200*EFEITO!$Z$200</f>
        <v>0</v>
      </c>
      <c r="O200" s="55">
        <f>$L$200-EFEITO!$O$200*EFEITO!$AA$200</f>
        <v>0</v>
      </c>
      <c r="P200" s="39"/>
      <c r="Q200" s="39"/>
      <c r="R200" s="39"/>
      <c r="S200" s="39"/>
      <c r="T200" s="39"/>
      <c r="U200" s="39"/>
      <c r="V200" s="39"/>
      <c r="W200" s="3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35" t="s">
        <v>21</v>
      </c>
      <c r="B201" s="35" t="s">
        <v>32</v>
      </c>
      <c r="C201" s="35" t="s">
        <v>38</v>
      </c>
      <c r="D201" s="35" t="s">
        <v>40</v>
      </c>
      <c r="E201" s="35" t="s">
        <v>25</v>
      </c>
      <c r="F201" s="35" t="s">
        <v>25</v>
      </c>
      <c r="G201" s="35" t="s">
        <v>25</v>
      </c>
      <c r="H201" s="35" t="s">
        <v>37</v>
      </c>
      <c r="I201" s="54">
        <v>44621</v>
      </c>
      <c r="J201" s="55">
        <f>EFEITO!$J$201*EFEITO!$Y$201</f>
        <v>0</v>
      </c>
      <c r="K201" s="55">
        <f ca="1">EFEITO!$L$201*EFEITO!$Z$201</f>
        <v>4035.8281262385522</v>
      </c>
      <c r="L201" s="55">
        <f>EFEITO!$N$201*EFEITO!$AA$201</f>
        <v>2745.7393480155906</v>
      </c>
      <c r="M201" s="55">
        <f>$J$201-EFEITO!$K$201*EFEITO!$Y$201</f>
        <v>0</v>
      </c>
      <c r="N201" s="55">
        <f ca="1">$K$201-EFEITO!$M$201*EFEITO!$Z$201</f>
        <v>0</v>
      </c>
      <c r="O201" s="55">
        <f>$L$201-EFEITO!$O$201*EFEITO!$AA$201</f>
        <v>0</v>
      </c>
      <c r="P201" s="39"/>
      <c r="Q201" s="39"/>
      <c r="R201" s="39"/>
      <c r="S201" s="39"/>
      <c r="T201" s="39"/>
      <c r="U201" s="39"/>
      <c r="V201" s="39"/>
      <c r="W201" s="3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35" t="s">
        <v>21</v>
      </c>
      <c r="B202" s="35" t="s">
        <v>32</v>
      </c>
      <c r="C202" s="35" t="s">
        <v>38</v>
      </c>
      <c r="D202" s="35" t="s">
        <v>40</v>
      </c>
      <c r="E202" s="35" t="s">
        <v>25</v>
      </c>
      <c r="F202" s="35" t="s">
        <v>25</v>
      </c>
      <c r="G202" s="35" t="s">
        <v>25</v>
      </c>
      <c r="H202" s="35" t="s">
        <v>37</v>
      </c>
      <c r="I202" s="54">
        <v>44652</v>
      </c>
      <c r="J202" s="55">
        <f>EFEITO!$J$202*EFEITO!$Y$202</f>
        <v>0</v>
      </c>
      <c r="K202" s="55">
        <f ca="1">EFEITO!$L$202*EFEITO!$Z$202</f>
        <v>4208.7576374407436</v>
      </c>
      <c r="L202" s="55">
        <f>EFEITO!$N$202*EFEITO!$AA$202</f>
        <v>2863.3903848013165</v>
      </c>
      <c r="M202" s="55">
        <f>$J$202-EFEITO!$K$202*EFEITO!$Y$202</f>
        <v>0</v>
      </c>
      <c r="N202" s="55">
        <f ca="1">$K$202-EFEITO!$M$202*EFEITO!$Z$202</f>
        <v>0</v>
      </c>
      <c r="O202" s="55">
        <f>$L$202-EFEITO!$O$202*EFEITO!$AA$202</f>
        <v>0</v>
      </c>
      <c r="P202" s="39"/>
      <c r="Q202" s="39"/>
      <c r="R202" s="39"/>
      <c r="S202" s="39"/>
      <c r="T202" s="39"/>
      <c r="U202" s="39"/>
      <c r="V202" s="39"/>
      <c r="W202" s="3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35" t="s">
        <v>21</v>
      </c>
      <c r="B203" s="35" t="s">
        <v>32</v>
      </c>
      <c r="C203" s="35" t="s">
        <v>38</v>
      </c>
      <c r="D203" s="35" t="s">
        <v>40</v>
      </c>
      <c r="E203" s="35" t="s">
        <v>25</v>
      </c>
      <c r="F203" s="35" t="s">
        <v>25</v>
      </c>
      <c r="G203" s="35" t="s">
        <v>25</v>
      </c>
      <c r="H203" s="35" t="s">
        <v>37</v>
      </c>
      <c r="I203" s="54">
        <v>44682</v>
      </c>
      <c r="J203" s="55">
        <f>EFEITO!$J$203*EFEITO!$Y$203</f>
        <v>0</v>
      </c>
      <c r="K203" s="55">
        <f ca="1">EFEITO!$L$203*EFEITO!$Z$203</f>
        <v>3175.2115611647096</v>
      </c>
      <c r="L203" s="55">
        <f>EFEITO!$N$203*EFEITO!$AA$203</f>
        <v>2160.2266124968842</v>
      </c>
      <c r="M203" s="55">
        <f>$J$203-EFEITO!$K$203*EFEITO!$Y$203</f>
        <v>0</v>
      </c>
      <c r="N203" s="55">
        <f ca="1">$K$203-EFEITO!$M$203*EFEITO!$Z$203</f>
        <v>0</v>
      </c>
      <c r="O203" s="55">
        <f>$L$203-EFEITO!$O$203*EFEITO!$AA$203</f>
        <v>0</v>
      </c>
      <c r="P203" s="39"/>
      <c r="Q203" s="39"/>
      <c r="R203" s="39"/>
      <c r="S203" s="39"/>
      <c r="T203" s="39"/>
      <c r="U203" s="39"/>
      <c r="V203" s="39"/>
      <c r="W203" s="3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35" t="s">
        <v>21</v>
      </c>
      <c r="B204" s="35" t="s">
        <v>32</v>
      </c>
      <c r="C204" s="35" t="s">
        <v>38</v>
      </c>
      <c r="D204" s="35" t="s">
        <v>40</v>
      </c>
      <c r="E204" s="35" t="s">
        <v>25</v>
      </c>
      <c r="F204" s="35" t="s">
        <v>25</v>
      </c>
      <c r="G204" s="35" t="s">
        <v>25</v>
      </c>
      <c r="H204" s="35" t="s">
        <v>37</v>
      </c>
      <c r="I204" s="54">
        <v>44713</v>
      </c>
      <c r="J204" s="55">
        <f>EFEITO!$J$204*EFEITO!$Y$204</f>
        <v>0</v>
      </c>
      <c r="K204" s="55">
        <f ca="1">EFEITO!$L$204*EFEITO!$Z$204</f>
        <v>3203.8315968182192</v>
      </c>
      <c r="L204" s="55">
        <f>EFEITO!$N$204*EFEITO!$AA$204</f>
        <v>2179.6979962073428</v>
      </c>
      <c r="M204" s="55">
        <f>$J$204-EFEITO!$K$204*EFEITO!$Y$204</f>
        <v>0</v>
      </c>
      <c r="N204" s="55">
        <f ca="1">$K$204-EFEITO!$M$204*EFEITO!$Z$204</f>
        <v>0</v>
      </c>
      <c r="O204" s="55">
        <f>$L$204-EFEITO!$O$204*EFEITO!$AA$204</f>
        <v>0</v>
      </c>
      <c r="P204" s="39"/>
      <c r="Q204" s="39"/>
      <c r="R204" s="39"/>
      <c r="S204" s="39"/>
      <c r="T204" s="39"/>
      <c r="U204" s="39"/>
      <c r="V204" s="39"/>
      <c r="W204" s="39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35" t="s">
        <v>21</v>
      </c>
      <c r="B205" s="35" t="s">
        <v>32</v>
      </c>
      <c r="C205" s="35" t="s">
        <v>38</v>
      </c>
      <c r="D205" s="35" t="s">
        <v>40</v>
      </c>
      <c r="E205" s="35" t="s">
        <v>25</v>
      </c>
      <c r="F205" s="35" t="s">
        <v>25</v>
      </c>
      <c r="G205" s="35" t="s">
        <v>25</v>
      </c>
      <c r="H205" s="35" t="s">
        <v>37</v>
      </c>
      <c r="I205" s="54">
        <v>44743</v>
      </c>
      <c r="J205" s="55">
        <f>EFEITO!$J$205*EFEITO!$Y$205</f>
        <v>0</v>
      </c>
      <c r="K205" s="55">
        <f ca="1">EFEITO!$L$205*EFEITO!$Z$205</f>
        <v>2979.7085007146802</v>
      </c>
      <c r="L205" s="55">
        <f>EFEITO!$N$205*EFEITO!$AA$205</f>
        <v>2027.217864615586</v>
      </c>
      <c r="M205" s="55">
        <f>$J$205-EFEITO!$K$205*EFEITO!$Y$205</f>
        <v>0</v>
      </c>
      <c r="N205" s="55">
        <f ca="1">$K$205-EFEITO!$M$205*EFEITO!$Z$205</f>
        <v>0</v>
      </c>
      <c r="O205" s="55">
        <f>$L$205-EFEITO!$O$205*EFEITO!$AA$205</f>
        <v>0</v>
      </c>
      <c r="P205" s="39"/>
      <c r="Q205" s="39"/>
      <c r="R205" s="39"/>
      <c r="S205" s="39"/>
      <c r="T205" s="39"/>
      <c r="U205" s="39"/>
      <c r="V205" s="39"/>
      <c r="W205" s="39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35" t="s">
        <v>21</v>
      </c>
      <c r="B206" s="35" t="s">
        <v>32</v>
      </c>
      <c r="C206" s="35" t="s">
        <v>38</v>
      </c>
      <c r="D206" s="35" t="s">
        <v>40</v>
      </c>
      <c r="E206" s="35" t="s">
        <v>25</v>
      </c>
      <c r="F206" s="35" t="s">
        <v>25</v>
      </c>
      <c r="G206" s="35" t="s">
        <v>25</v>
      </c>
      <c r="H206" s="35" t="s">
        <v>39</v>
      </c>
      <c r="I206" s="54">
        <v>44409</v>
      </c>
      <c r="J206" s="55">
        <f>EFEITO!$J$206*EFEITO!$Y$206</f>
        <v>0</v>
      </c>
      <c r="K206" s="55">
        <f ca="1">EFEITO!$L$206*EFEITO!$Z$206</f>
        <v>349.68882441824763</v>
      </c>
      <c r="L206" s="55">
        <f>EFEITO!$N$206*EFEITO!$AA$206</f>
        <v>104.76152925908465</v>
      </c>
      <c r="M206" s="55">
        <f>$J$206-EFEITO!$K$206*EFEITO!$Y$206</f>
        <v>0</v>
      </c>
      <c r="N206" s="55">
        <f ca="1">$K$206-EFEITO!$M$206*EFEITO!$Z$206</f>
        <v>0</v>
      </c>
      <c r="O206" s="55">
        <f>$L$206-EFEITO!$O$206*EFEITO!$AA$206</f>
        <v>0</v>
      </c>
      <c r="P206" s="39"/>
      <c r="Q206" s="39"/>
      <c r="R206" s="39"/>
      <c r="S206" s="39"/>
      <c r="T206" s="39"/>
      <c r="U206" s="39"/>
      <c r="V206" s="39"/>
      <c r="W206" s="3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35" t="s">
        <v>21</v>
      </c>
      <c r="B207" s="35" t="s">
        <v>32</v>
      </c>
      <c r="C207" s="35" t="s">
        <v>38</v>
      </c>
      <c r="D207" s="35" t="s">
        <v>40</v>
      </c>
      <c r="E207" s="35" t="s">
        <v>25</v>
      </c>
      <c r="F207" s="35" t="s">
        <v>25</v>
      </c>
      <c r="G207" s="35" t="s">
        <v>25</v>
      </c>
      <c r="H207" s="35" t="s">
        <v>39</v>
      </c>
      <c r="I207" s="54">
        <v>44440</v>
      </c>
      <c r="J207" s="55">
        <f>EFEITO!$J$207*EFEITO!$Y$207</f>
        <v>0</v>
      </c>
      <c r="K207" s="55">
        <f ca="1">EFEITO!$L$207*EFEITO!$Z$207</f>
        <v>291.10221509163023</v>
      </c>
      <c r="L207" s="55">
        <f>EFEITO!$N$207*EFEITO!$AA$207</f>
        <v>87.209859435573094</v>
      </c>
      <c r="M207" s="55">
        <f>$J$207-EFEITO!$K$207*EFEITO!$Y$207</f>
        <v>0</v>
      </c>
      <c r="N207" s="55">
        <f ca="1">$K$207-EFEITO!$M$207*EFEITO!$Z$207</f>
        <v>0</v>
      </c>
      <c r="O207" s="55">
        <f>$L$207-EFEITO!$O$207*EFEITO!$AA$207</f>
        <v>0</v>
      </c>
      <c r="P207" s="39"/>
      <c r="Q207" s="39"/>
      <c r="R207" s="39"/>
      <c r="S207" s="39"/>
      <c r="T207" s="39"/>
      <c r="U207" s="39"/>
      <c r="V207" s="39"/>
      <c r="W207" s="3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35" t="s">
        <v>21</v>
      </c>
      <c r="B208" s="35" t="s">
        <v>32</v>
      </c>
      <c r="C208" s="35" t="s">
        <v>38</v>
      </c>
      <c r="D208" s="35" t="s">
        <v>40</v>
      </c>
      <c r="E208" s="35" t="s">
        <v>25</v>
      </c>
      <c r="F208" s="35" t="s">
        <v>25</v>
      </c>
      <c r="G208" s="35" t="s">
        <v>25</v>
      </c>
      <c r="H208" s="35" t="s">
        <v>39</v>
      </c>
      <c r="I208" s="54">
        <v>44470</v>
      </c>
      <c r="J208" s="55">
        <f>EFEITO!$J$208*EFEITO!$Y$208</f>
        <v>0</v>
      </c>
      <c r="K208" s="55">
        <f ca="1">EFEITO!$L$208*EFEITO!$Z$208</f>
        <v>257.23183157467957</v>
      </c>
      <c r="L208" s="55">
        <f>EFEITO!$N$208*EFEITO!$AA$208</f>
        <v>77.06280031885548</v>
      </c>
      <c r="M208" s="55">
        <f>$J$208-EFEITO!$K$208*EFEITO!$Y$208</f>
        <v>0</v>
      </c>
      <c r="N208" s="55">
        <f ca="1">$K$208-EFEITO!$M$208*EFEITO!$Z$208</f>
        <v>0</v>
      </c>
      <c r="O208" s="55">
        <f>$L$208-EFEITO!$O$208*EFEITO!$AA$208</f>
        <v>0</v>
      </c>
      <c r="P208" s="39"/>
      <c r="Q208" s="39"/>
      <c r="R208" s="39"/>
      <c r="S208" s="39"/>
      <c r="T208" s="39"/>
      <c r="U208" s="39"/>
      <c r="V208" s="39"/>
      <c r="W208" s="3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35" t="s">
        <v>21</v>
      </c>
      <c r="B209" s="35" t="s">
        <v>32</v>
      </c>
      <c r="C209" s="35" t="s">
        <v>38</v>
      </c>
      <c r="D209" s="35" t="s">
        <v>40</v>
      </c>
      <c r="E209" s="35" t="s">
        <v>25</v>
      </c>
      <c r="F209" s="35" t="s">
        <v>25</v>
      </c>
      <c r="G209" s="35" t="s">
        <v>25</v>
      </c>
      <c r="H209" s="35" t="s">
        <v>39</v>
      </c>
      <c r="I209" s="54">
        <v>44501</v>
      </c>
      <c r="J209" s="55">
        <f>EFEITO!$J$209*EFEITO!$Y$209</f>
        <v>0</v>
      </c>
      <c r="K209" s="55">
        <f ca="1">EFEITO!$L$209*EFEITO!$Z$209</f>
        <v>272.79389967706231</v>
      </c>
      <c r="L209" s="55">
        <f>EFEITO!$N$209*EFEITO!$AA$209</f>
        <v>81.72496261572573</v>
      </c>
      <c r="M209" s="55">
        <f>$J$209-EFEITO!$K$209*EFEITO!$Y$209</f>
        <v>0</v>
      </c>
      <c r="N209" s="55">
        <f ca="1">$K$209-EFEITO!$M$209*EFEITO!$Z$209</f>
        <v>0</v>
      </c>
      <c r="O209" s="55">
        <f>$L$209-EFEITO!$O$209*EFEITO!$AA$209</f>
        <v>0</v>
      </c>
      <c r="P209" s="39"/>
      <c r="Q209" s="39"/>
      <c r="R209" s="39"/>
      <c r="S209" s="39"/>
      <c r="T209" s="39"/>
      <c r="U209" s="39"/>
      <c r="V209" s="39"/>
      <c r="W209" s="39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35" t="s">
        <v>21</v>
      </c>
      <c r="B210" s="35" t="s">
        <v>32</v>
      </c>
      <c r="C210" s="35" t="s">
        <v>38</v>
      </c>
      <c r="D210" s="35" t="s">
        <v>40</v>
      </c>
      <c r="E210" s="35" t="s">
        <v>25</v>
      </c>
      <c r="F210" s="35" t="s">
        <v>25</v>
      </c>
      <c r="G210" s="35" t="s">
        <v>25</v>
      </c>
      <c r="H210" s="35" t="s">
        <v>39</v>
      </c>
      <c r="I210" s="54">
        <v>44531</v>
      </c>
      <c r="J210" s="55">
        <f>EFEITO!$J$210*EFEITO!$Y$210</f>
        <v>0</v>
      </c>
      <c r="K210" s="55">
        <f ca="1">EFEITO!$L$210*EFEITO!$Z$210</f>
        <v>343.28091402314885</v>
      </c>
      <c r="L210" s="55">
        <f>EFEITO!$N$210*EFEITO!$AA$210</f>
        <v>102.84181537213809</v>
      </c>
      <c r="M210" s="55">
        <f>$J$210-EFEITO!$K$210*EFEITO!$Y$210</f>
        <v>0</v>
      </c>
      <c r="N210" s="55">
        <f ca="1">$K$210-EFEITO!$M$210*EFEITO!$Z$210</f>
        <v>0</v>
      </c>
      <c r="O210" s="55">
        <f>$L$210-EFEITO!$O$210*EFEITO!$AA$210</f>
        <v>0</v>
      </c>
      <c r="P210" s="39"/>
      <c r="Q210" s="39"/>
      <c r="R210" s="39"/>
      <c r="S210" s="39"/>
      <c r="T210" s="39"/>
      <c r="U210" s="39"/>
      <c r="V210" s="39"/>
      <c r="W210" s="39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35" t="s">
        <v>21</v>
      </c>
      <c r="B211" s="35" t="s">
        <v>32</v>
      </c>
      <c r="C211" s="35" t="s">
        <v>38</v>
      </c>
      <c r="D211" s="35" t="s">
        <v>40</v>
      </c>
      <c r="E211" s="35" t="s">
        <v>25</v>
      </c>
      <c r="F211" s="35" t="s">
        <v>25</v>
      </c>
      <c r="G211" s="35" t="s">
        <v>25</v>
      </c>
      <c r="H211" s="35" t="s">
        <v>39</v>
      </c>
      <c r="I211" s="54">
        <v>44562</v>
      </c>
      <c r="J211" s="55">
        <f>EFEITO!$J$211*EFEITO!$Y$211</f>
        <v>0</v>
      </c>
      <c r="K211" s="55">
        <f ca="1">EFEITO!$L$211*EFEITO!$Z$211</f>
        <v>312.15677781838338</v>
      </c>
      <c r="L211" s="55">
        <f>EFEITO!$N$211*EFEITO!$AA$211</f>
        <v>93.517490778397573</v>
      </c>
      <c r="M211" s="55">
        <f>$J$211-EFEITO!$K$211*EFEITO!$Y$211</f>
        <v>0</v>
      </c>
      <c r="N211" s="55">
        <f ca="1">$K$211-EFEITO!$M$211*EFEITO!$Z$211</f>
        <v>0</v>
      </c>
      <c r="O211" s="55">
        <f>$L$211-EFEITO!$O$211*EFEITO!$AA$211</f>
        <v>0</v>
      </c>
      <c r="P211" s="39"/>
      <c r="Q211" s="39"/>
      <c r="R211" s="39"/>
      <c r="S211" s="39"/>
      <c r="T211" s="39"/>
      <c r="U211" s="39"/>
      <c r="V211" s="39"/>
      <c r="W211" s="39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35" t="s">
        <v>21</v>
      </c>
      <c r="B212" s="35" t="s">
        <v>32</v>
      </c>
      <c r="C212" s="35" t="s">
        <v>38</v>
      </c>
      <c r="D212" s="35" t="s">
        <v>40</v>
      </c>
      <c r="E212" s="35" t="s">
        <v>25</v>
      </c>
      <c r="F212" s="35" t="s">
        <v>25</v>
      </c>
      <c r="G212" s="35" t="s">
        <v>25</v>
      </c>
      <c r="H212" s="35" t="s">
        <v>39</v>
      </c>
      <c r="I212" s="54">
        <v>44593</v>
      </c>
      <c r="J212" s="55">
        <f>EFEITO!$J$212*EFEITO!$Y$212</f>
        <v>0</v>
      </c>
      <c r="K212" s="55">
        <f ca="1">EFEITO!$L$212*EFEITO!$Z$212</f>
        <v>329.54967746222292</v>
      </c>
      <c r="L212" s="55">
        <f>EFEITO!$N$212*EFEITO!$AA$212</f>
        <v>98.728142757252556</v>
      </c>
      <c r="M212" s="55">
        <f>$J$212-EFEITO!$K$212*EFEITO!$Y$212</f>
        <v>0</v>
      </c>
      <c r="N212" s="55">
        <f ca="1">$K$212-EFEITO!$M$212*EFEITO!$Z$212</f>
        <v>0</v>
      </c>
      <c r="O212" s="55">
        <f>$L$212-EFEITO!$O$212*EFEITO!$AA$212</f>
        <v>0</v>
      </c>
      <c r="P212" s="39"/>
      <c r="Q212" s="39"/>
      <c r="R212" s="39"/>
      <c r="S212" s="39"/>
      <c r="T212" s="39"/>
      <c r="U212" s="39"/>
      <c r="V212" s="39"/>
      <c r="W212" s="39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35" t="s">
        <v>21</v>
      </c>
      <c r="B213" s="35" t="s">
        <v>32</v>
      </c>
      <c r="C213" s="35" t="s">
        <v>38</v>
      </c>
      <c r="D213" s="35" t="s">
        <v>40</v>
      </c>
      <c r="E213" s="35" t="s">
        <v>25</v>
      </c>
      <c r="F213" s="35" t="s">
        <v>25</v>
      </c>
      <c r="G213" s="35" t="s">
        <v>25</v>
      </c>
      <c r="H213" s="35" t="s">
        <v>39</v>
      </c>
      <c r="I213" s="54">
        <v>44621</v>
      </c>
      <c r="J213" s="55">
        <f>EFEITO!$J$213*EFEITO!$Y$213</f>
        <v>0</v>
      </c>
      <c r="K213" s="55">
        <f ca="1">EFEITO!$L$213*EFEITO!$Z$213</f>
        <v>293.84846240381546</v>
      </c>
      <c r="L213" s="55">
        <f>EFEITO!$N$213*EFEITO!$AA$213</f>
        <v>88.032593958550194</v>
      </c>
      <c r="M213" s="55">
        <f>$J$213-EFEITO!$K$213*EFEITO!$Y$213</f>
        <v>0</v>
      </c>
      <c r="N213" s="55">
        <f ca="1">$K$213-EFEITO!$M$213*EFEITO!$Z$213</f>
        <v>0</v>
      </c>
      <c r="O213" s="55">
        <f>$L$213-EFEITO!$O$213*EFEITO!$AA$213</f>
        <v>0</v>
      </c>
      <c r="P213" s="39"/>
      <c r="Q213" s="39"/>
      <c r="R213" s="39"/>
      <c r="S213" s="39"/>
      <c r="T213" s="39"/>
      <c r="U213" s="39"/>
      <c r="V213" s="39"/>
      <c r="W213" s="39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35" t="s">
        <v>21</v>
      </c>
      <c r="B214" s="35" t="s">
        <v>32</v>
      </c>
      <c r="C214" s="35" t="s">
        <v>38</v>
      </c>
      <c r="D214" s="35" t="s">
        <v>40</v>
      </c>
      <c r="E214" s="35" t="s">
        <v>25</v>
      </c>
      <c r="F214" s="35" t="s">
        <v>25</v>
      </c>
      <c r="G214" s="35" t="s">
        <v>25</v>
      </c>
      <c r="H214" s="35" t="s">
        <v>39</v>
      </c>
      <c r="I214" s="54">
        <v>44652</v>
      </c>
      <c r="J214" s="55">
        <f>EFEITO!$J$214*EFEITO!$Y$214</f>
        <v>0</v>
      </c>
      <c r="K214" s="55">
        <f ca="1">EFEITO!$L$214*EFEITO!$Z$214</f>
        <v>240.75434770156841</v>
      </c>
      <c r="L214" s="55">
        <f>EFEITO!$N$214*EFEITO!$AA$214</f>
        <v>72.126393180992849</v>
      </c>
      <c r="M214" s="55">
        <f>$J$214-EFEITO!$K$214*EFEITO!$Y$214</f>
        <v>0</v>
      </c>
      <c r="N214" s="55">
        <f ca="1">$K$214-EFEITO!$M$214*EFEITO!$Z$214</f>
        <v>0</v>
      </c>
      <c r="O214" s="55">
        <f>$L$214-EFEITO!$O$214*EFEITO!$AA$214</f>
        <v>0</v>
      </c>
      <c r="P214" s="39"/>
      <c r="Q214" s="39"/>
      <c r="R214" s="39"/>
      <c r="S214" s="39"/>
      <c r="T214" s="39"/>
      <c r="U214" s="39"/>
      <c r="V214" s="39"/>
      <c r="W214" s="39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35" t="s">
        <v>21</v>
      </c>
      <c r="B215" s="35" t="s">
        <v>32</v>
      </c>
      <c r="C215" s="35" t="s">
        <v>38</v>
      </c>
      <c r="D215" s="35" t="s">
        <v>40</v>
      </c>
      <c r="E215" s="35" t="s">
        <v>25</v>
      </c>
      <c r="F215" s="35" t="s">
        <v>25</v>
      </c>
      <c r="G215" s="35" t="s">
        <v>25</v>
      </c>
      <c r="H215" s="35" t="s">
        <v>39</v>
      </c>
      <c r="I215" s="54">
        <v>44682</v>
      </c>
      <c r="J215" s="55">
        <f>EFEITO!$J$215*EFEITO!$Y$215</f>
        <v>0</v>
      </c>
      <c r="K215" s="55">
        <f ca="1">EFEITO!$L$215*EFEITO!$Z$215</f>
        <v>179.42149106276582</v>
      </c>
      <c r="L215" s="55">
        <f>EFEITO!$N$215*EFEITO!$AA$215</f>
        <v>53.751988834504168</v>
      </c>
      <c r="M215" s="55">
        <f>$J$215-EFEITO!$K$215*EFEITO!$Y$215</f>
        <v>0</v>
      </c>
      <c r="N215" s="55">
        <f ca="1">$K$215-EFEITO!$M$215*EFEITO!$Z$215</f>
        <v>0</v>
      </c>
      <c r="O215" s="55">
        <f>$L$215-EFEITO!$O$215*EFEITO!$AA$215</f>
        <v>0</v>
      </c>
      <c r="P215" s="39"/>
      <c r="Q215" s="39"/>
      <c r="R215" s="39"/>
      <c r="S215" s="39"/>
      <c r="T215" s="39"/>
      <c r="U215" s="39"/>
      <c r="V215" s="39"/>
      <c r="W215" s="39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35" t="s">
        <v>21</v>
      </c>
      <c r="B216" s="35" t="s">
        <v>32</v>
      </c>
      <c r="C216" s="35" t="s">
        <v>38</v>
      </c>
      <c r="D216" s="35" t="s">
        <v>40</v>
      </c>
      <c r="E216" s="35" t="s">
        <v>25</v>
      </c>
      <c r="F216" s="35" t="s">
        <v>25</v>
      </c>
      <c r="G216" s="35" t="s">
        <v>25</v>
      </c>
      <c r="H216" s="35" t="s">
        <v>39</v>
      </c>
      <c r="I216" s="54">
        <v>44713</v>
      </c>
      <c r="J216" s="55">
        <f>EFEITO!$J$216*EFEITO!$Y$216</f>
        <v>0</v>
      </c>
      <c r="K216" s="55">
        <f ca="1">EFEITO!$L$216*EFEITO!$Z$216</f>
        <v>161.11317564819785</v>
      </c>
      <c r="L216" s="55">
        <f>EFEITO!$N$216*EFEITO!$AA$216</f>
        <v>48.267092014656804</v>
      </c>
      <c r="M216" s="55">
        <f>$J$216-EFEITO!$K$216*EFEITO!$Y$216</f>
        <v>0</v>
      </c>
      <c r="N216" s="55">
        <f ca="1">$K$216-EFEITO!$M$216*EFEITO!$Z$216</f>
        <v>0</v>
      </c>
      <c r="O216" s="55">
        <f>$L$216-EFEITO!$O$216*EFEITO!$AA$216</f>
        <v>0</v>
      </c>
      <c r="P216" s="39"/>
      <c r="Q216" s="39"/>
      <c r="R216" s="39"/>
      <c r="S216" s="39"/>
      <c r="T216" s="39"/>
      <c r="U216" s="39"/>
      <c r="V216" s="39"/>
      <c r="W216" s="39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35" t="s">
        <v>21</v>
      </c>
      <c r="B217" s="35" t="s">
        <v>32</v>
      </c>
      <c r="C217" s="35" t="s">
        <v>38</v>
      </c>
      <c r="D217" s="35" t="s">
        <v>40</v>
      </c>
      <c r="E217" s="35" t="s">
        <v>25</v>
      </c>
      <c r="F217" s="35" t="s">
        <v>25</v>
      </c>
      <c r="G217" s="35" t="s">
        <v>25</v>
      </c>
      <c r="H217" s="35" t="s">
        <v>39</v>
      </c>
      <c r="I217" s="54">
        <v>44743</v>
      </c>
      <c r="J217" s="55">
        <f>EFEITO!$J$217*EFEITO!$Y$217</f>
        <v>0</v>
      </c>
      <c r="K217" s="55">
        <f ca="1">EFEITO!$L$217*EFEITO!$Z$217</f>
        <v>167.52108604329663</v>
      </c>
      <c r="L217" s="55">
        <f>EFEITO!$N$217*EFEITO!$AA$217</f>
        <v>50.186805901603378</v>
      </c>
      <c r="M217" s="55">
        <f>$J$217-EFEITO!$K$217*EFEITO!$Y$217</f>
        <v>0</v>
      </c>
      <c r="N217" s="55">
        <f ca="1">$K$217-EFEITO!$M$217*EFEITO!$Z$217</f>
        <v>0</v>
      </c>
      <c r="O217" s="55">
        <f>$L$217-EFEITO!$O$217*EFEITO!$AA$217</f>
        <v>0</v>
      </c>
      <c r="P217" s="39"/>
      <c r="Q217" s="39"/>
      <c r="R217" s="39"/>
      <c r="S217" s="39"/>
      <c r="T217" s="39"/>
      <c r="U217" s="39"/>
      <c r="V217" s="39"/>
      <c r="W217" s="39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35" t="s">
        <v>21</v>
      </c>
      <c r="B218" s="35" t="s">
        <v>32</v>
      </c>
      <c r="C218" s="35" t="s">
        <v>38</v>
      </c>
      <c r="D218" s="35" t="s">
        <v>40</v>
      </c>
      <c r="E218" s="35" t="s">
        <v>25</v>
      </c>
      <c r="F218" s="35" t="s">
        <v>25</v>
      </c>
      <c r="G218" s="35" t="s">
        <v>25</v>
      </c>
      <c r="H218" s="35" t="s">
        <v>36</v>
      </c>
      <c r="I218" s="54">
        <v>44409</v>
      </c>
      <c r="J218" s="55">
        <f>EFEITO!$J$218*EFEITO!$Y$218</f>
        <v>0</v>
      </c>
      <c r="K218" s="55">
        <f ca="1">EFEITO!$L$218*EFEITO!$Z$218</f>
        <v>1049.3833490928632</v>
      </c>
      <c r="L218" s="55">
        <f>EFEITO!$N$218*EFEITO!$AA$218</f>
        <v>345.20384992397186</v>
      </c>
      <c r="M218" s="55">
        <f>$J$218-EFEITO!$K$218*EFEITO!$Y$218</f>
        <v>0</v>
      </c>
      <c r="N218" s="55">
        <f ca="1">$K$218-EFEITO!$M$218*EFEITO!$Z$218</f>
        <v>0</v>
      </c>
      <c r="O218" s="55">
        <f>$L$218-EFEITO!$O$218*EFEITO!$AA$218</f>
        <v>0</v>
      </c>
      <c r="P218" s="39"/>
      <c r="Q218" s="39"/>
      <c r="R218" s="39"/>
      <c r="S218" s="39"/>
      <c r="T218" s="39"/>
      <c r="U218" s="39"/>
      <c r="V218" s="39"/>
      <c r="W218" s="39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35" t="s">
        <v>21</v>
      </c>
      <c r="B219" s="35" t="s">
        <v>32</v>
      </c>
      <c r="C219" s="35" t="s">
        <v>38</v>
      </c>
      <c r="D219" s="35" t="s">
        <v>40</v>
      </c>
      <c r="E219" s="35" t="s">
        <v>25</v>
      </c>
      <c r="F219" s="35" t="s">
        <v>25</v>
      </c>
      <c r="G219" s="35" t="s">
        <v>25</v>
      </c>
      <c r="H219" s="35" t="s">
        <v>36</v>
      </c>
      <c r="I219" s="54">
        <v>44440</v>
      </c>
      <c r="J219" s="55">
        <f>EFEITO!$J$219*EFEITO!$Y$219</f>
        <v>0</v>
      </c>
      <c r="K219" s="55">
        <f ca="1">EFEITO!$L$219*EFEITO!$Z$219</f>
        <v>758.12592975280324</v>
      </c>
      <c r="L219" s="55">
        <f>EFEITO!$N$219*EFEITO!$AA$219</f>
        <v>249.39216912874701</v>
      </c>
      <c r="M219" s="55">
        <f>$J$219-EFEITO!$K$219*EFEITO!$Y$219</f>
        <v>0</v>
      </c>
      <c r="N219" s="55">
        <f ca="1">$K$219-EFEITO!$M$219*EFEITO!$Z$219</f>
        <v>0</v>
      </c>
      <c r="O219" s="55">
        <f>$L$219-EFEITO!$O$219*EFEITO!$AA$219</f>
        <v>0</v>
      </c>
      <c r="P219" s="39"/>
      <c r="Q219" s="39"/>
      <c r="R219" s="39"/>
      <c r="S219" s="39"/>
      <c r="T219" s="39"/>
      <c r="U219" s="39"/>
      <c r="V219" s="39"/>
      <c r="W219" s="39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35" t="s">
        <v>21</v>
      </c>
      <c r="B220" s="35" t="s">
        <v>32</v>
      </c>
      <c r="C220" s="35" t="s">
        <v>38</v>
      </c>
      <c r="D220" s="35" t="s">
        <v>40</v>
      </c>
      <c r="E220" s="35" t="s">
        <v>25</v>
      </c>
      <c r="F220" s="35" t="s">
        <v>25</v>
      </c>
      <c r="G220" s="35" t="s">
        <v>25</v>
      </c>
      <c r="H220" s="35" t="s">
        <v>36</v>
      </c>
      <c r="I220" s="54">
        <v>44470</v>
      </c>
      <c r="J220" s="55">
        <f>EFEITO!$J$220*EFEITO!$Y$220</f>
        <v>0</v>
      </c>
      <c r="K220" s="55">
        <f ca="1">EFEITO!$L$220*EFEITO!$Z$220</f>
        <v>661.04012330611658</v>
      </c>
      <c r="L220" s="55">
        <f>EFEITO!$N$220*EFEITO!$AA$220</f>
        <v>217.45494219700541</v>
      </c>
      <c r="M220" s="55">
        <f>$J$220-EFEITO!$K$220*EFEITO!$Y$220</f>
        <v>0</v>
      </c>
      <c r="N220" s="55">
        <f ca="1">$K$220-EFEITO!$M$220*EFEITO!$Z$220</f>
        <v>0</v>
      </c>
      <c r="O220" s="55">
        <f>$L$220-EFEITO!$O$220*EFEITO!$AA$220</f>
        <v>0</v>
      </c>
      <c r="P220" s="39"/>
      <c r="Q220" s="39"/>
      <c r="R220" s="39"/>
      <c r="S220" s="39"/>
      <c r="T220" s="39"/>
      <c r="U220" s="39"/>
      <c r="V220" s="39"/>
      <c r="W220" s="39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35" t="s">
        <v>21</v>
      </c>
      <c r="B221" s="35" t="s">
        <v>32</v>
      </c>
      <c r="C221" s="35" t="s">
        <v>38</v>
      </c>
      <c r="D221" s="35" t="s">
        <v>40</v>
      </c>
      <c r="E221" s="35" t="s">
        <v>25</v>
      </c>
      <c r="F221" s="35" t="s">
        <v>25</v>
      </c>
      <c r="G221" s="35" t="s">
        <v>25</v>
      </c>
      <c r="H221" s="35" t="s">
        <v>36</v>
      </c>
      <c r="I221" s="54">
        <v>44501</v>
      </c>
      <c r="J221" s="55">
        <f>EFEITO!$J$221*EFEITO!$Y$221</f>
        <v>0</v>
      </c>
      <c r="K221" s="55">
        <f ca="1">EFEITO!$L$221*EFEITO!$Z$221</f>
        <v>736.70994303662235</v>
      </c>
      <c r="L221" s="55">
        <f>EFEITO!$N$221*EFEITO!$AA$221</f>
        <v>242.34719259968637</v>
      </c>
      <c r="M221" s="55">
        <f>$J$221-EFEITO!$K$221*EFEITO!$Y$221</f>
        <v>0</v>
      </c>
      <c r="N221" s="55">
        <f ca="1">$K$221-EFEITO!$M$221*EFEITO!$Z$221</f>
        <v>0</v>
      </c>
      <c r="O221" s="55">
        <f>$L$221-EFEITO!$O$221*EFEITO!$AA$221</f>
        <v>0</v>
      </c>
      <c r="P221" s="39"/>
      <c r="Q221" s="39"/>
      <c r="R221" s="39"/>
      <c r="S221" s="39"/>
      <c r="T221" s="39"/>
      <c r="U221" s="39"/>
      <c r="V221" s="39"/>
      <c r="W221" s="39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35" t="s">
        <v>21</v>
      </c>
      <c r="B222" s="35" t="s">
        <v>32</v>
      </c>
      <c r="C222" s="35" t="s">
        <v>38</v>
      </c>
      <c r="D222" s="35" t="s">
        <v>40</v>
      </c>
      <c r="E222" s="35" t="s">
        <v>25</v>
      </c>
      <c r="F222" s="35" t="s">
        <v>25</v>
      </c>
      <c r="G222" s="35" t="s">
        <v>25</v>
      </c>
      <c r="H222" s="35" t="s">
        <v>36</v>
      </c>
      <c r="I222" s="54">
        <v>44531</v>
      </c>
      <c r="J222" s="55">
        <f>EFEITO!$J$222*EFEITO!$Y$222</f>
        <v>0</v>
      </c>
      <c r="K222" s="55">
        <f ca="1">EFEITO!$L$222*EFEITO!$Z$222</f>
        <v>873.77225802017995</v>
      </c>
      <c r="L222" s="55">
        <f>EFEITO!$N$222*EFEITO!$AA$222</f>
        <v>287.43504238567454</v>
      </c>
      <c r="M222" s="55">
        <f>$J$222-EFEITO!$K$222*EFEITO!$Y$222</f>
        <v>0</v>
      </c>
      <c r="N222" s="55">
        <f ca="1">$K$222-EFEITO!$M$222*EFEITO!$Z$222</f>
        <v>0</v>
      </c>
      <c r="O222" s="55">
        <f>$L$222-EFEITO!$O$222*EFEITO!$AA$222</f>
        <v>0</v>
      </c>
      <c r="P222" s="39"/>
      <c r="Q222" s="39"/>
      <c r="R222" s="39"/>
      <c r="S222" s="39"/>
      <c r="T222" s="39"/>
      <c r="U222" s="39"/>
      <c r="V222" s="39"/>
      <c r="W222" s="39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35" t="s">
        <v>21</v>
      </c>
      <c r="B223" s="35" t="s">
        <v>32</v>
      </c>
      <c r="C223" s="35" t="s">
        <v>38</v>
      </c>
      <c r="D223" s="35" t="s">
        <v>40</v>
      </c>
      <c r="E223" s="35" t="s">
        <v>25</v>
      </c>
      <c r="F223" s="35" t="s">
        <v>25</v>
      </c>
      <c r="G223" s="35" t="s">
        <v>25</v>
      </c>
      <c r="H223" s="35" t="s">
        <v>36</v>
      </c>
      <c r="I223" s="54">
        <v>44562</v>
      </c>
      <c r="J223" s="55">
        <f>EFEITO!$J$223*EFEITO!$Y$223</f>
        <v>0</v>
      </c>
      <c r="K223" s="55">
        <f ca="1">EFEITO!$L$223*EFEITO!$Z$223</f>
        <v>869.48906067694384</v>
      </c>
      <c r="L223" s="55">
        <f>EFEITO!$N$223*EFEITO!$AA$223</f>
        <v>286.02604707986239</v>
      </c>
      <c r="M223" s="55">
        <f>$J$223-EFEITO!$K$223*EFEITO!$Y$223</f>
        <v>0</v>
      </c>
      <c r="N223" s="55">
        <f ca="1">$K$223-EFEITO!$M$223*EFEITO!$Z$223</f>
        <v>0</v>
      </c>
      <c r="O223" s="55">
        <f>$L$223-EFEITO!$O$223*EFEITO!$AA$223</f>
        <v>0</v>
      </c>
      <c r="P223" s="39"/>
      <c r="Q223" s="39"/>
      <c r="R223" s="39"/>
      <c r="S223" s="39"/>
      <c r="T223" s="39"/>
      <c r="U223" s="39"/>
      <c r="V223" s="39"/>
      <c r="W223" s="39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35" t="s">
        <v>21</v>
      </c>
      <c r="B224" s="35" t="s">
        <v>32</v>
      </c>
      <c r="C224" s="35" t="s">
        <v>38</v>
      </c>
      <c r="D224" s="35" t="s">
        <v>40</v>
      </c>
      <c r="E224" s="35" t="s">
        <v>25</v>
      </c>
      <c r="F224" s="35" t="s">
        <v>25</v>
      </c>
      <c r="G224" s="35" t="s">
        <v>25</v>
      </c>
      <c r="H224" s="35" t="s">
        <v>36</v>
      </c>
      <c r="I224" s="54">
        <v>44593</v>
      </c>
      <c r="J224" s="55">
        <f>EFEITO!$J$224*EFEITO!$Y$224</f>
        <v>0</v>
      </c>
      <c r="K224" s="55">
        <f ca="1">EFEITO!$L$224*EFEITO!$Z$224</f>
        <v>431.17519921910844</v>
      </c>
      <c r="L224" s="55">
        <f>EFEITO!$N$224*EFEITO!$AA$224</f>
        <v>141.83886078508775</v>
      </c>
      <c r="M224" s="55">
        <f>$J$224-EFEITO!$K$224*EFEITO!$Y$224</f>
        <v>0</v>
      </c>
      <c r="N224" s="55">
        <f ca="1">$K$224-EFEITO!$M$224*EFEITO!$Z$224</f>
        <v>0</v>
      </c>
      <c r="O224" s="55">
        <f>$L$224-EFEITO!$O$224*EFEITO!$AA$224</f>
        <v>0</v>
      </c>
      <c r="P224" s="39"/>
      <c r="Q224" s="39"/>
      <c r="R224" s="39"/>
      <c r="S224" s="39"/>
      <c r="T224" s="39"/>
      <c r="U224" s="39"/>
      <c r="V224" s="39"/>
      <c r="W224" s="39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35" t="s">
        <v>21</v>
      </c>
      <c r="B225" s="35" t="s">
        <v>32</v>
      </c>
      <c r="C225" s="35" t="s">
        <v>38</v>
      </c>
      <c r="D225" s="35" t="s">
        <v>40</v>
      </c>
      <c r="E225" s="35" t="s">
        <v>25</v>
      </c>
      <c r="F225" s="35" t="s">
        <v>25</v>
      </c>
      <c r="G225" s="35" t="s">
        <v>25</v>
      </c>
      <c r="H225" s="35" t="s">
        <v>36</v>
      </c>
      <c r="I225" s="54">
        <v>44621</v>
      </c>
      <c r="J225" s="55">
        <f>EFEITO!$J$225*EFEITO!$Y$225</f>
        <v>0</v>
      </c>
      <c r="K225" s="55">
        <f ca="1">EFEITO!$L$225*EFEITO!$Z$225</f>
        <v>302.67927892202312</v>
      </c>
      <c r="L225" s="55">
        <f>EFEITO!$N$225*EFEITO!$AA$225</f>
        <v>99.569001610723859</v>
      </c>
      <c r="M225" s="55">
        <f>$J$225-EFEITO!$K$225*EFEITO!$Y$225</f>
        <v>0</v>
      </c>
      <c r="N225" s="55">
        <f ca="1">$K$225-EFEITO!$M$225*EFEITO!$Z$225</f>
        <v>0</v>
      </c>
      <c r="O225" s="55">
        <f>$L$225-EFEITO!$O$225*EFEITO!$AA$225</f>
        <v>0</v>
      </c>
      <c r="P225" s="39"/>
      <c r="Q225" s="39"/>
      <c r="R225" s="39"/>
      <c r="S225" s="39"/>
      <c r="T225" s="39"/>
      <c r="U225" s="39"/>
      <c r="V225" s="39"/>
      <c r="W225" s="39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35" t="s">
        <v>21</v>
      </c>
      <c r="B226" s="35" t="s">
        <v>32</v>
      </c>
      <c r="C226" s="35" t="s">
        <v>38</v>
      </c>
      <c r="D226" s="35" t="s">
        <v>40</v>
      </c>
      <c r="E226" s="35" t="s">
        <v>25</v>
      </c>
      <c r="F226" s="35" t="s">
        <v>25</v>
      </c>
      <c r="G226" s="35" t="s">
        <v>25</v>
      </c>
      <c r="H226" s="35" t="s">
        <v>36</v>
      </c>
      <c r="I226" s="54">
        <v>44652</v>
      </c>
      <c r="J226" s="55">
        <f>EFEITO!$J$226*EFEITO!$Y$226</f>
        <v>0</v>
      </c>
      <c r="K226" s="55">
        <f ca="1">EFEITO!$L$226*EFEITO!$Z$226</f>
        <v>251.28091080318902</v>
      </c>
      <c r="L226" s="55">
        <f>EFEITO!$N$226*EFEITO!$AA$226</f>
        <v>82.661057940978296</v>
      </c>
      <c r="M226" s="55">
        <f>$J$226-EFEITO!$K$226*EFEITO!$Y$226</f>
        <v>0</v>
      </c>
      <c r="N226" s="55">
        <f ca="1">$K$226-EFEITO!$M$226*EFEITO!$Z$226</f>
        <v>0</v>
      </c>
      <c r="O226" s="55">
        <f>$L$226-EFEITO!$O$226*EFEITO!$AA$226</f>
        <v>0</v>
      </c>
      <c r="P226" s="39"/>
      <c r="Q226" s="39"/>
      <c r="R226" s="39"/>
      <c r="S226" s="39"/>
      <c r="T226" s="39"/>
      <c r="U226" s="39"/>
      <c r="V226" s="39"/>
      <c r="W226" s="39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35" t="s">
        <v>21</v>
      </c>
      <c r="B227" s="35" t="s">
        <v>32</v>
      </c>
      <c r="C227" s="35" t="s">
        <v>38</v>
      </c>
      <c r="D227" s="35" t="s">
        <v>40</v>
      </c>
      <c r="E227" s="35" t="s">
        <v>25</v>
      </c>
      <c r="F227" s="35" t="s">
        <v>25</v>
      </c>
      <c r="G227" s="35" t="s">
        <v>25</v>
      </c>
      <c r="H227" s="35" t="s">
        <v>36</v>
      </c>
      <c r="I227" s="54">
        <v>44682</v>
      </c>
      <c r="J227" s="55">
        <f>EFEITO!$J$227*EFEITO!$Y$227</f>
        <v>0</v>
      </c>
      <c r="K227" s="55">
        <f ca="1">EFEITO!$L$227*EFEITO!$Z$227</f>
        <v>198.45481023660952</v>
      </c>
      <c r="L227" s="55">
        <f>EFEITO!$N$227*EFEITO!$AA$227</f>
        <v>65.283449169295366</v>
      </c>
      <c r="M227" s="55">
        <f>$J$227-EFEITO!$K$227*EFEITO!$Y$227</f>
        <v>0</v>
      </c>
      <c r="N227" s="55">
        <f ca="1">$K$227-EFEITO!$M$227*EFEITO!$Z$227</f>
        <v>0</v>
      </c>
      <c r="O227" s="55">
        <f>$L$227-EFEITO!$O$227*EFEITO!$AA$227</f>
        <v>0</v>
      </c>
      <c r="P227" s="39"/>
      <c r="Q227" s="39"/>
      <c r="R227" s="39"/>
      <c r="S227" s="39"/>
      <c r="T227" s="39"/>
      <c r="U227" s="39"/>
      <c r="V227" s="39"/>
      <c r="W227" s="39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35" t="s">
        <v>21</v>
      </c>
      <c r="B228" s="35" t="s">
        <v>32</v>
      </c>
      <c r="C228" s="35" t="s">
        <v>38</v>
      </c>
      <c r="D228" s="35" t="s">
        <v>40</v>
      </c>
      <c r="E228" s="35" t="s">
        <v>25</v>
      </c>
      <c r="F228" s="35" t="s">
        <v>25</v>
      </c>
      <c r="G228" s="35" t="s">
        <v>25</v>
      </c>
      <c r="H228" s="35" t="s">
        <v>36</v>
      </c>
      <c r="I228" s="54">
        <v>44713</v>
      </c>
      <c r="J228" s="55">
        <f>EFEITO!$J$228*EFEITO!$Y$228</f>
        <v>0</v>
      </c>
      <c r="K228" s="55">
        <f ca="1">EFEITO!$L$228*EFEITO!$Z$228</f>
        <v>209.87666981857262</v>
      </c>
      <c r="L228" s="55">
        <f>EFEITO!$N$228*EFEITO!$AA$228</f>
        <v>69.040769984794366</v>
      </c>
      <c r="M228" s="55">
        <f>$J$228-EFEITO!$K$228*EFEITO!$Y$228</f>
        <v>0</v>
      </c>
      <c r="N228" s="55">
        <f ca="1">$K$228-EFEITO!$M$228*EFEITO!$Z$228</f>
        <v>0</v>
      </c>
      <c r="O228" s="55">
        <f>$L$228-EFEITO!$O$228*EFEITO!$AA$228</f>
        <v>0</v>
      </c>
      <c r="P228" s="39"/>
      <c r="Q228" s="39"/>
      <c r="R228" s="39"/>
      <c r="S228" s="39"/>
      <c r="T228" s="39"/>
      <c r="U228" s="39"/>
      <c r="V228" s="39"/>
      <c r="W228" s="39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35" t="s">
        <v>21</v>
      </c>
      <c r="B229" s="35" t="s">
        <v>32</v>
      </c>
      <c r="C229" s="35" t="s">
        <v>38</v>
      </c>
      <c r="D229" s="35" t="s">
        <v>40</v>
      </c>
      <c r="E229" s="35" t="s">
        <v>25</v>
      </c>
      <c r="F229" s="35" t="s">
        <v>25</v>
      </c>
      <c r="G229" s="35" t="s">
        <v>25</v>
      </c>
      <c r="H229" s="35" t="s">
        <v>36</v>
      </c>
      <c r="I229" s="54">
        <v>44743</v>
      </c>
      <c r="J229" s="55">
        <f>EFEITO!$J$229*EFEITO!$Y$229</f>
        <v>0</v>
      </c>
      <c r="K229" s="55">
        <f ca="1">EFEITO!$L$229*EFEITO!$Z$229</f>
        <v>207.02120492308185</v>
      </c>
      <c r="L229" s="55">
        <f>EFEITO!$N$229*EFEITO!$AA$229</f>
        <v>68.10143978091962</v>
      </c>
      <c r="M229" s="55">
        <f>$J$229-EFEITO!$K$229*EFEITO!$Y$229</f>
        <v>0</v>
      </c>
      <c r="N229" s="55">
        <f ca="1">$K$229-EFEITO!$M$229*EFEITO!$Z$229</f>
        <v>0</v>
      </c>
      <c r="O229" s="55">
        <f>$L$229-EFEITO!$O$229*EFEITO!$AA$229</f>
        <v>0</v>
      </c>
      <c r="P229" s="39"/>
      <c r="Q229" s="39"/>
      <c r="R229" s="39"/>
      <c r="S229" s="39"/>
      <c r="T229" s="39"/>
      <c r="U229" s="39"/>
      <c r="V229" s="39"/>
      <c r="W229" s="39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35" t="s">
        <v>21</v>
      </c>
      <c r="B230" s="35" t="s">
        <v>32</v>
      </c>
      <c r="C230" s="35" t="s">
        <v>38</v>
      </c>
      <c r="D230" s="35" t="s">
        <v>33</v>
      </c>
      <c r="E230" s="35" t="s">
        <v>25</v>
      </c>
      <c r="F230" s="35" t="s">
        <v>25</v>
      </c>
      <c r="G230" s="35" t="s">
        <v>25</v>
      </c>
      <c r="H230" s="35" t="s">
        <v>37</v>
      </c>
      <c r="I230" s="54">
        <v>44409</v>
      </c>
      <c r="J230" s="55">
        <f>EFEITO!$J$230*EFEITO!$Y$230</f>
        <v>0</v>
      </c>
      <c r="K230" s="55">
        <f ca="1">EFEITO!$L$230*EFEITO!$Z$230</f>
        <v>828.36863757693015</v>
      </c>
      <c r="L230" s="55">
        <f>EFEITO!$N$230*EFEITO!$AA$230</f>
        <v>563.57314823931677</v>
      </c>
      <c r="M230" s="55">
        <f>$J$230-EFEITO!$K$230*EFEITO!$Y$230</f>
        <v>0</v>
      </c>
      <c r="N230" s="55">
        <f ca="1">$K$230-EFEITO!$M$230*EFEITO!$Z$230</f>
        <v>0</v>
      </c>
      <c r="O230" s="55">
        <f>$L$230-EFEITO!$O$230*EFEITO!$AA$230</f>
        <v>0</v>
      </c>
      <c r="P230" s="39"/>
      <c r="Q230" s="39"/>
      <c r="R230" s="39"/>
      <c r="S230" s="39"/>
      <c r="T230" s="39"/>
      <c r="U230" s="39"/>
      <c r="V230" s="39"/>
      <c r="W230" s="39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35" t="s">
        <v>21</v>
      </c>
      <c r="B231" s="35" t="s">
        <v>32</v>
      </c>
      <c r="C231" s="35" t="s">
        <v>38</v>
      </c>
      <c r="D231" s="35" t="s">
        <v>33</v>
      </c>
      <c r="E231" s="35" t="s">
        <v>25</v>
      </c>
      <c r="F231" s="35" t="s">
        <v>25</v>
      </c>
      <c r="G231" s="35" t="s">
        <v>25</v>
      </c>
      <c r="H231" s="35" t="s">
        <v>37</v>
      </c>
      <c r="I231" s="54">
        <v>44440</v>
      </c>
      <c r="J231" s="55">
        <f>EFEITO!$J$231*EFEITO!$Y$231</f>
        <v>0</v>
      </c>
      <c r="K231" s="55">
        <f ca="1">EFEITO!$L$231*EFEITO!$Z$231</f>
        <v>894.87998803931146</v>
      </c>
      <c r="L231" s="55">
        <f>EFEITO!$N$231*EFEITO!$AA$231</f>
        <v>608.82354700305746</v>
      </c>
      <c r="M231" s="55">
        <f>$J$231-EFEITO!$K$231*EFEITO!$Y$231</f>
        <v>0</v>
      </c>
      <c r="N231" s="55">
        <f ca="1">$K$231-EFEITO!$M$231*EFEITO!$Z$231</f>
        <v>0</v>
      </c>
      <c r="O231" s="55">
        <f>$L$231-EFEITO!$O$231*EFEITO!$AA$231</f>
        <v>0</v>
      </c>
      <c r="P231" s="39"/>
      <c r="Q231" s="39"/>
      <c r="R231" s="39"/>
      <c r="S231" s="39"/>
      <c r="T231" s="39"/>
      <c r="U231" s="39"/>
      <c r="V231" s="39"/>
      <c r="W231" s="39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35" t="s">
        <v>21</v>
      </c>
      <c r="B232" s="35" t="s">
        <v>32</v>
      </c>
      <c r="C232" s="35" t="s">
        <v>38</v>
      </c>
      <c r="D232" s="35" t="s">
        <v>33</v>
      </c>
      <c r="E232" s="35" t="s">
        <v>25</v>
      </c>
      <c r="F232" s="35" t="s">
        <v>25</v>
      </c>
      <c r="G232" s="35" t="s">
        <v>25</v>
      </c>
      <c r="H232" s="35" t="s">
        <v>37</v>
      </c>
      <c r="I232" s="54">
        <v>44470</v>
      </c>
      <c r="J232" s="55">
        <f>EFEITO!$J$232*EFEITO!$Y$232</f>
        <v>0</v>
      </c>
      <c r="K232" s="55">
        <f ca="1">EFEITO!$L$232*EFEITO!$Z$232</f>
        <v>1328.2115137790679</v>
      </c>
      <c r="L232" s="55">
        <f>EFEITO!$N$232*EFEITO!$AA$232</f>
        <v>903.63675106985329</v>
      </c>
      <c r="M232" s="55">
        <f>$J$232-EFEITO!$K$232*EFEITO!$Y$232</f>
        <v>0</v>
      </c>
      <c r="N232" s="55">
        <f ca="1">$K$232-EFEITO!$M$232*EFEITO!$Z$232</f>
        <v>0</v>
      </c>
      <c r="O232" s="55">
        <f>$L$232-EFEITO!$O$232*EFEITO!$AA$232</f>
        <v>0</v>
      </c>
      <c r="P232" s="39"/>
      <c r="Q232" s="39"/>
      <c r="R232" s="39"/>
      <c r="S232" s="39"/>
      <c r="T232" s="39"/>
      <c r="U232" s="39"/>
      <c r="V232" s="39"/>
      <c r="W232" s="39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35" t="s">
        <v>21</v>
      </c>
      <c r="B233" s="35" t="s">
        <v>32</v>
      </c>
      <c r="C233" s="35" t="s">
        <v>38</v>
      </c>
      <c r="D233" s="35" t="s">
        <v>33</v>
      </c>
      <c r="E233" s="35" t="s">
        <v>25</v>
      </c>
      <c r="F233" s="35" t="s">
        <v>25</v>
      </c>
      <c r="G233" s="35" t="s">
        <v>25</v>
      </c>
      <c r="H233" s="35" t="s">
        <v>37</v>
      </c>
      <c r="I233" s="54">
        <v>44501</v>
      </c>
      <c r="J233" s="55">
        <f>EFEITO!$J$233*EFEITO!$Y$233</f>
        <v>0</v>
      </c>
      <c r="K233" s="55">
        <f ca="1">EFEITO!$L$233*EFEITO!$Z$233</f>
        <v>1047.6545445559325</v>
      </c>
      <c r="L233" s="55">
        <f>EFEITO!$N$233*EFEITO!$AA$233</f>
        <v>712.76234173916498</v>
      </c>
      <c r="M233" s="55">
        <f>$J$233-EFEITO!$K$233*EFEITO!$Y$233</f>
        <v>0</v>
      </c>
      <c r="N233" s="55">
        <f ca="1">$K$233-EFEITO!$M$233*EFEITO!$Z$233</f>
        <v>0</v>
      </c>
      <c r="O233" s="55">
        <f>$L$233-EFEITO!$O$233*EFEITO!$AA$233</f>
        <v>0</v>
      </c>
      <c r="P233" s="39"/>
      <c r="Q233" s="39"/>
      <c r="R233" s="39"/>
      <c r="S233" s="39"/>
      <c r="T233" s="39"/>
      <c r="U233" s="39"/>
      <c r="V233" s="39"/>
      <c r="W233" s="39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35" t="s">
        <v>21</v>
      </c>
      <c r="B234" s="35" t="s">
        <v>32</v>
      </c>
      <c r="C234" s="35" t="s">
        <v>38</v>
      </c>
      <c r="D234" s="35" t="s">
        <v>33</v>
      </c>
      <c r="E234" s="35" t="s">
        <v>25</v>
      </c>
      <c r="F234" s="35" t="s">
        <v>25</v>
      </c>
      <c r="G234" s="35" t="s">
        <v>25</v>
      </c>
      <c r="H234" s="35" t="s">
        <v>37</v>
      </c>
      <c r="I234" s="54">
        <v>44531</v>
      </c>
      <c r="J234" s="55">
        <f>EFEITO!$J$234*EFEITO!$Y$234</f>
        <v>0</v>
      </c>
      <c r="K234" s="55">
        <f ca="1">EFEITO!$L$234*EFEITO!$Z$234</f>
        <v>1348.7695675583495</v>
      </c>
      <c r="L234" s="55">
        <f>EFEITO!$N$234*EFEITO!$AA$234</f>
        <v>917.62323796046405</v>
      </c>
      <c r="M234" s="55">
        <f>$J$234-EFEITO!$K$234*EFEITO!$Y$234</f>
        <v>0</v>
      </c>
      <c r="N234" s="55">
        <f ca="1">$K$234-EFEITO!$M$234*EFEITO!$Z$234</f>
        <v>0</v>
      </c>
      <c r="O234" s="55">
        <f>$L$234-EFEITO!$O$234*EFEITO!$AA$234</f>
        <v>0</v>
      </c>
      <c r="P234" s="39"/>
      <c r="Q234" s="39"/>
      <c r="R234" s="39"/>
      <c r="S234" s="39"/>
      <c r="T234" s="39"/>
      <c r="U234" s="39"/>
      <c r="V234" s="39"/>
      <c r="W234" s="39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35" t="s">
        <v>21</v>
      </c>
      <c r="B235" s="35" t="s">
        <v>32</v>
      </c>
      <c r="C235" s="35" t="s">
        <v>38</v>
      </c>
      <c r="D235" s="35" t="s">
        <v>33</v>
      </c>
      <c r="E235" s="35" t="s">
        <v>25</v>
      </c>
      <c r="F235" s="35" t="s">
        <v>25</v>
      </c>
      <c r="G235" s="35" t="s">
        <v>25</v>
      </c>
      <c r="H235" s="35" t="s">
        <v>37</v>
      </c>
      <c r="I235" s="54">
        <v>44562</v>
      </c>
      <c r="J235" s="55">
        <f>EFEITO!$J$235*EFEITO!$Y$235</f>
        <v>0</v>
      </c>
      <c r="K235" s="55">
        <f ca="1">EFEITO!$L$235*EFEITO!$Z$235</f>
        <v>634.47797350174596</v>
      </c>
      <c r="L235" s="55">
        <f>EFEITO!$N$235*EFEITO!$AA$235</f>
        <v>431.6613797219876</v>
      </c>
      <c r="M235" s="55">
        <f>$J$235-EFEITO!$K$235*EFEITO!$Y$235</f>
        <v>0</v>
      </c>
      <c r="N235" s="55">
        <f ca="1">$K$235-EFEITO!$M$235*EFEITO!$Z$235</f>
        <v>0</v>
      </c>
      <c r="O235" s="55">
        <f>$L$235-EFEITO!$O$235*EFEITO!$AA$235</f>
        <v>0</v>
      </c>
      <c r="P235" s="39"/>
      <c r="Q235" s="39"/>
      <c r="R235" s="39"/>
      <c r="S235" s="39"/>
      <c r="T235" s="39"/>
      <c r="U235" s="39"/>
      <c r="V235" s="39"/>
      <c r="W235" s="39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35" t="s">
        <v>21</v>
      </c>
      <c r="B236" s="35" t="s">
        <v>32</v>
      </c>
      <c r="C236" s="35" t="s">
        <v>38</v>
      </c>
      <c r="D236" s="35" t="s">
        <v>33</v>
      </c>
      <c r="E236" s="35" t="s">
        <v>25</v>
      </c>
      <c r="F236" s="35" t="s">
        <v>25</v>
      </c>
      <c r="G236" s="35" t="s">
        <v>25</v>
      </c>
      <c r="H236" s="35" t="s">
        <v>39</v>
      </c>
      <c r="I236" s="54">
        <v>44409</v>
      </c>
      <c r="J236" s="55">
        <f>EFEITO!$J$236*EFEITO!$Y$236</f>
        <v>0</v>
      </c>
      <c r="K236" s="55">
        <f ca="1">EFEITO!$L$236*EFEITO!$Z$236</f>
        <v>1.8308315414567939</v>
      </c>
      <c r="L236" s="55">
        <f>EFEITO!$N$236*EFEITO!$AA$236</f>
        <v>0.54848968198473647</v>
      </c>
      <c r="M236" s="55">
        <f>$J$236-EFEITO!$K$236*EFEITO!$Y$236</f>
        <v>0</v>
      </c>
      <c r="N236" s="55">
        <f ca="1">$K$236-EFEITO!$M$236*EFEITO!$Z$236</f>
        <v>0</v>
      </c>
      <c r="O236" s="55">
        <f>$L$236-EFEITO!$O$236*EFEITO!$AA$236</f>
        <v>0</v>
      </c>
      <c r="P236" s="39"/>
      <c r="Q236" s="39"/>
      <c r="R236" s="39"/>
      <c r="S236" s="39"/>
      <c r="T236" s="39"/>
      <c r="U236" s="39"/>
      <c r="V236" s="39"/>
      <c r="W236" s="39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35" t="s">
        <v>21</v>
      </c>
      <c r="B237" s="35" t="s">
        <v>32</v>
      </c>
      <c r="C237" s="35" t="s">
        <v>38</v>
      </c>
      <c r="D237" s="35" t="s">
        <v>33</v>
      </c>
      <c r="E237" s="35" t="s">
        <v>25</v>
      </c>
      <c r="F237" s="35" t="s">
        <v>25</v>
      </c>
      <c r="G237" s="35" t="s">
        <v>25</v>
      </c>
      <c r="H237" s="35" t="s">
        <v>39</v>
      </c>
      <c r="I237" s="54">
        <v>44440</v>
      </c>
      <c r="J237" s="55">
        <f>EFEITO!$J$237*EFEITO!$Y$237</f>
        <v>0</v>
      </c>
      <c r="K237" s="55">
        <f ca="1">EFEITO!$L$237*EFEITO!$Z$237</f>
        <v>2.7462473121851909</v>
      </c>
      <c r="L237" s="55">
        <f>EFEITO!$N$237*EFEITO!$AA$237</f>
        <v>0.8227345229771047</v>
      </c>
      <c r="M237" s="55">
        <f>$J$237-EFEITO!$K$237*EFEITO!$Y$237</f>
        <v>0</v>
      </c>
      <c r="N237" s="55">
        <f ca="1">$K$237-EFEITO!$M$237*EFEITO!$Z$237</f>
        <v>0</v>
      </c>
      <c r="O237" s="55">
        <f>$L$237-EFEITO!$O$237*EFEITO!$AA$237</f>
        <v>0</v>
      </c>
      <c r="P237" s="39"/>
      <c r="Q237" s="39"/>
      <c r="R237" s="39"/>
      <c r="S237" s="39"/>
      <c r="T237" s="39"/>
      <c r="U237" s="39"/>
      <c r="V237" s="39"/>
      <c r="W237" s="39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35" t="s">
        <v>21</v>
      </c>
      <c r="B238" s="35" t="s">
        <v>32</v>
      </c>
      <c r="C238" s="35" t="s">
        <v>38</v>
      </c>
      <c r="D238" s="35" t="s">
        <v>33</v>
      </c>
      <c r="E238" s="35" t="s">
        <v>25</v>
      </c>
      <c r="F238" s="35" t="s">
        <v>25</v>
      </c>
      <c r="G238" s="35" t="s">
        <v>25</v>
      </c>
      <c r="H238" s="35" t="s">
        <v>39</v>
      </c>
      <c r="I238" s="54">
        <v>44470</v>
      </c>
      <c r="J238" s="55">
        <f>EFEITO!$J$238*EFEITO!$Y$238</f>
        <v>0</v>
      </c>
      <c r="K238" s="55">
        <f ca="1">EFEITO!$L$238*EFEITO!$Z$238</f>
        <v>0.91541577072839697</v>
      </c>
      <c r="L238" s="55">
        <f>EFEITO!$N$238*EFEITO!$AA$238</f>
        <v>0.27424484099236823</v>
      </c>
      <c r="M238" s="55">
        <f>$J$238-EFEITO!$K$238*EFEITO!$Y$238</f>
        <v>0</v>
      </c>
      <c r="N238" s="55">
        <f ca="1">$K$238-EFEITO!$M$238*EFEITO!$Z$238</f>
        <v>0</v>
      </c>
      <c r="O238" s="55">
        <f>$L$238-EFEITO!$O$238*EFEITO!$AA$238</f>
        <v>0</v>
      </c>
      <c r="P238" s="39"/>
      <c r="Q238" s="39"/>
      <c r="R238" s="39"/>
      <c r="S238" s="39"/>
      <c r="T238" s="39"/>
      <c r="U238" s="39"/>
      <c r="V238" s="39"/>
      <c r="W238" s="39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35" t="s">
        <v>21</v>
      </c>
      <c r="B239" s="35" t="s">
        <v>32</v>
      </c>
      <c r="C239" s="35" t="s">
        <v>38</v>
      </c>
      <c r="D239" s="35" t="s">
        <v>33</v>
      </c>
      <c r="E239" s="35" t="s">
        <v>25</v>
      </c>
      <c r="F239" s="35" t="s">
        <v>25</v>
      </c>
      <c r="G239" s="35" t="s">
        <v>25</v>
      </c>
      <c r="H239" s="35" t="s">
        <v>39</v>
      </c>
      <c r="I239" s="54">
        <v>44501</v>
      </c>
      <c r="J239" s="55">
        <f>EFEITO!$J$239*EFEITO!$Y$239</f>
        <v>0</v>
      </c>
      <c r="K239" s="55">
        <f ca="1">EFEITO!$L$239*EFEITO!$Z$239</f>
        <v>0.91541577072839697</v>
      </c>
      <c r="L239" s="55">
        <f>EFEITO!$N$239*EFEITO!$AA$239</f>
        <v>0.27424484099236823</v>
      </c>
      <c r="M239" s="55">
        <f>$J$239-EFEITO!$K$239*EFEITO!$Y$239</f>
        <v>0</v>
      </c>
      <c r="N239" s="55">
        <f ca="1">$K$239-EFEITO!$M$239*EFEITO!$Z$239</f>
        <v>0</v>
      </c>
      <c r="O239" s="55">
        <f>$L$239-EFEITO!$O$239*EFEITO!$AA$239</f>
        <v>0</v>
      </c>
      <c r="P239" s="39"/>
      <c r="Q239" s="39"/>
      <c r="R239" s="39"/>
      <c r="S239" s="39"/>
      <c r="T239" s="39"/>
      <c r="U239" s="39"/>
      <c r="V239" s="39"/>
      <c r="W239" s="39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35" t="s">
        <v>21</v>
      </c>
      <c r="B240" s="35" t="s">
        <v>32</v>
      </c>
      <c r="C240" s="35" t="s">
        <v>38</v>
      </c>
      <c r="D240" s="35" t="s">
        <v>33</v>
      </c>
      <c r="E240" s="35" t="s">
        <v>25</v>
      </c>
      <c r="F240" s="35" t="s">
        <v>25</v>
      </c>
      <c r="G240" s="35" t="s">
        <v>25</v>
      </c>
      <c r="H240" s="35" t="s">
        <v>39</v>
      </c>
      <c r="I240" s="54">
        <v>44531</v>
      </c>
      <c r="J240" s="55">
        <f>EFEITO!$J$240*EFEITO!$Y$240</f>
        <v>0</v>
      </c>
      <c r="K240" s="55">
        <f ca="1">EFEITO!$L$240*EFEITO!$Z$240</f>
        <v>1.8308315414567939</v>
      </c>
      <c r="L240" s="55">
        <f>EFEITO!$N$240*EFEITO!$AA$240</f>
        <v>0.54848968198473647</v>
      </c>
      <c r="M240" s="55">
        <f>$J$240-EFEITO!$K$240*EFEITO!$Y$240</f>
        <v>0</v>
      </c>
      <c r="N240" s="55">
        <f ca="1">$K$240-EFEITO!$M$240*EFEITO!$Z$240</f>
        <v>0</v>
      </c>
      <c r="O240" s="55">
        <f>$L$240-EFEITO!$O$240*EFEITO!$AA$240</f>
        <v>0</v>
      </c>
      <c r="P240" s="39"/>
      <c r="Q240" s="39"/>
      <c r="R240" s="39"/>
      <c r="S240" s="39"/>
      <c r="T240" s="39"/>
      <c r="U240" s="39"/>
      <c r="V240" s="39"/>
      <c r="W240" s="39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35" t="s">
        <v>21</v>
      </c>
      <c r="B241" s="35" t="s">
        <v>32</v>
      </c>
      <c r="C241" s="35" t="s">
        <v>38</v>
      </c>
      <c r="D241" s="35" t="s">
        <v>33</v>
      </c>
      <c r="E241" s="35" t="s">
        <v>25</v>
      </c>
      <c r="F241" s="35" t="s">
        <v>25</v>
      </c>
      <c r="G241" s="35" t="s">
        <v>25</v>
      </c>
      <c r="H241" s="35" t="s">
        <v>39</v>
      </c>
      <c r="I241" s="54">
        <v>44562</v>
      </c>
      <c r="J241" s="55">
        <f>EFEITO!$J$241*EFEITO!$Y$241</f>
        <v>0</v>
      </c>
      <c r="K241" s="55">
        <f ca="1">EFEITO!$L$241*EFEITO!$Z$241</f>
        <v>0.91541577072839697</v>
      </c>
      <c r="L241" s="55">
        <f>EFEITO!$N$241*EFEITO!$AA$241</f>
        <v>0.27424484099236823</v>
      </c>
      <c r="M241" s="55">
        <f>$J$241-EFEITO!$K$241*EFEITO!$Y$241</f>
        <v>0</v>
      </c>
      <c r="N241" s="55">
        <f ca="1">$K$241-EFEITO!$M$241*EFEITO!$Z$241</f>
        <v>0</v>
      </c>
      <c r="O241" s="55">
        <f>$L$241-EFEITO!$O$241*EFEITO!$AA$241</f>
        <v>0</v>
      </c>
      <c r="P241" s="39"/>
      <c r="Q241" s="39"/>
      <c r="R241" s="39"/>
      <c r="S241" s="39"/>
      <c r="T241" s="39"/>
      <c r="U241" s="39"/>
      <c r="V241" s="39"/>
      <c r="W241" s="39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35" t="s">
        <v>21</v>
      </c>
      <c r="B242" s="35" t="s">
        <v>32</v>
      </c>
      <c r="C242" s="35" t="s">
        <v>38</v>
      </c>
      <c r="D242" s="35" t="s">
        <v>33</v>
      </c>
      <c r="E242" s="35" t="s">
        <v>25</v>
      </c>
      <c r="F242" s="35" t="s">
        <v>25</v>
      </c>
      <c r="G242" s="35" t="s">
        <v>25</v>
      </c>
      <c r="H242" s="35" t="s">
        <v>36</v>
      </c>
      <c r="I242" s="54">
        <v>44409</v>
      </c>
      <c r="J242" s="55">
        <f>EFEITO!$J$242*EFEITO!$Y$242</f>
        <v>0</v>
      </c>
      <c r="K242" s="55">
        <f ca="1">EFEITO!$L$242*EFEITO!$Z$242</f>
        <v>1.4277324477453921</v>
      </c>
      <c r="L242" s="55">
        <f>EFEITO!$N$242*EFEITO!$AA$242</f>
        <v>0.46966510193737671</v>
      </c>
      <c r="M242" s="55">
        <f>$J$242-EFEITO!$K$242*EFEITO!$Y$242</f>
        <v>0</v>
      </c>
      <c r="N242" s="55">
        <f ca="1">$K$242-EFEITO!$M$242*EFEITO!$Z$242</f>
        <v>0</v>
      </c>
      <c r="O242" s="55">
        <f>$L$242-EFEITO!$O$242*EFEITO!$AA$242</f>
        <v>0</v>
      </c>
      <c r="P242" s="39"/>
      <c r="Q242" s="39"/>
      <c r="R242" s="39"/>
      <c r="S242" s="39"/>
      <c r="T242" s="39"/>
      <c r="U242" s="39"/>
      <c r="V242" s="39"/>
      <c r="W242" s="39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35" t="s">
        <v>21</v>
      </c>
      <c r="B243" s="35" t="s">
        <v>32</v>
      </c>
      <c r="C243" s="35" t="s">
        <v>38</v>
      </c>
      <c r="D243" s="35" t="s">
        <v>33</v>
      </c>
      <c r="E243" s="35" t="s">
        <v>25</v>
      </c>
      <c r="F243" s="35" t="s">
        <v>25</v>
      </c>
      <c r="G243" s="35" t="s">
        <v>25</v>
      </c>
      <c r="H243" s="35" t="s">
        <v>36</v>
      </c>
      <c r="I243" s="54">
        <v>44440</v>
      </c>
      <c r="J243" s="55">
        <f>EFEITO!$J$243*EFEITO!$Y$243</f>
        <v>0</v>
      </c>
      <c r="K243" s="55">
        <f ca="1">EFEITO!$L$243*EFEITO!$Z$243</f>
        <v>4.2831973432361767</v>
      </c>
      <c r="L243" s="55">
        <f>EFEITO!$N$243*EFEITO!$AA$243</f>
        <v>1.4089953058121301</v>
      </c>
      <c r="M243" s="55">
        <f>$J$243-EFEITO!$K$243*EFEITO!$Y$243</f>
        <v>0</v>
      </c>
      <c r="N243" s="55">
        <f ca="1">$K$243-EFEITO!$M$243*EFEITO!$Z$243</f>
        <v>0</v>
      </c>
      <c r="O243" s="55">
        <f>$L$243-EFEITO!$O$243*EFEITO!$AA$243</f>
        <v>0</v>
      </c>
      <c r="P243" s="39"/>
      <c r="Q243" s="39"/>
      <c r="R243" s="39"/>
      <c r="S243" s="39"/>
      <c r="T243" s="39"/>
      <c r="U243" s="39"/>
      <c r="V243" s="39"/>
      <c r="W243" s="39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35" t="s">
        <v>21</v>
      </c>
      <c r="B244" s="35" t="s">
        <v>32</v>
      </c>
      <c r="C244" s="35" t="s">
        <v>38</v>
      </c>
      <c r="D244" s="35" t="s">
        <v>33</v>
      </c>
      <c r="E244" s="35" t="s">
        <v>25</v>
      </c>
      <c r="F244" s="35" t="s">
        <v>25</v>
      </c>
      <c r="G244" s="35" t="s">
        <v>25</v>
      </c>
      <c r="H244" s="35" t="s">
        <v>36</v>
      </c>
      <c r="I244" s="54">
        <v>44470</v>
      </c>
      <c r="J244" s="55">
        <f>EFEITO!$J$244*EFEITO!$Y$244</f>
        <v>0</v>
      </c>
      <c r="K244" s="55">
        <f ca="1">EFEITO!$L$244*EFEITO!$Z$244</f>
        <v>1.4277324477453921</v>
      </c>
      <c r="L244" s="55">
        <f>EFEITO!$N$244*EFEITO!$AA$244</f>
        <v>0.46966510193737671</v>
      </c>
      <c r="M244" s="55">
        <f>$J$244-EFEITO!$K$244*EFEITO!$Y$244</f>
        <v>0</v>
      </c>
      <c r="N244" s="55">
        <f ca="1">$K$244-EFEITO!$M$244*EFEITO!$Z$244</f>
        <v>0</v>
      </c>
      <c r="O244" s="55">
        <f>$L$244-EFEITO!$O$244*EFEITO!$AA$244</f>
        <v>0</v>
      </c>
      <c r="P244" s="39"/>
      <c r="Q244" s="39"/>
      <c r="R244" s="39"/>
      <c r="S244" s="39"/>
      <c r="T244" s="39"/>
      <c r="U244" s="39"/>
      <c r="V244" s="39"/>
      <c r="W244" s="39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35" t="s">
        <v>21</v>
      </c>
      <c r="B245" s="35" t="s">
        <v>32</v>
      </c>
      <c r="C245" s="35" t="s">
        <v>38</v>
      </c>
      <c r="D245" s="35" t="s">
        <v>33</v>
      </c>
      <c r="E245" s="35" t="s">
        <v>25</v>
      </c>
      <c r="F245" s="35" t="s">
        <v>25</v>
      </c>
      <c r="G245" s="35" t="s">
        <v>25</v>
      </c>
      <c r="H245" s="35" t="s">
        <v>36</v>
      </c>
      <c r="I245" s="54">
        <v>44501</v>
      </c>
      <c r="J245" s="55">
        <f>EFEITO!$J$245*EFEITO!$Y$245</f>
        <v>0</v>
      </c>
      <c r="K245" s="55">
        <f ca="1">EFEITO!$L$245*EFEITO!$Z$245</f>
        <v>1.4277324477453921</v>
      </c>
      <c r="L245" s="55">
        <f>EFEITO!$N$245*EFEITO!$AA$245</f>
        <v>0.46966510193737671</v>
      </c>
      <c r="M245" s="55">
        <f>$J$245-EFEITO!$K$245*EFEITO!$Y$245</f>
        <v>0</v>
      </c>
      <c r="N245" s="55">
        <f ca="1">$K$245-EFEITO!$M$245*EFEITO!$Z$245</f>
        <v>0</v>
      </c>
      <c r="O245" s="55">
        <f>$L$245-EFEITO!$O$245*EFEITO!$AA$245</f>
        <v>0</v>
      </c>
      <c r="P245" s="39"/>
      <c r="Q245" s="39"/>
      <c r="R245" s="39"/>
      <c r="S245" s="39"/>
      <c r="T245" s="39"/>
      <c r="U245" s="39"/>
      <c r="V245" s="39"/>
      <c r="W245" s="39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35" t="s">
        <v>21</v>
      </c>
      <c r="B246" s="35" t="s">
        <v>32</v>
      </c>
      <c r="C246" s="35" t="s">
        <v>38</v>
      </c>
      <c r="D246" s="35" t="s">
        <v>33</v>
      </c>
      <c r="E246" s="35" t="s">
        <v>25</v>
      </c>
      <c r="F246" s="35" t="s">
        <v>25</v>
      </c>
      <c r="G246" s="35" t="s">
        <v>25</v>
      </c>
      <c r="H246" s="35" t="s">
        <v>36</v>
      </c>
      <c r="I246" s="54">
        <v>44531</v>
      </c>
      <c r="J246" s="55">
        <f>EFEITO!$J$246*EFEITO!$Y$246</f>
        <v>0</v>
      </c>
      <c r="K246" s="55">
        <f ca="1">EFEITO!$L$246*EFEITO!$Z$246</f>
        <v>11.421859581963137</v>
      </c>
      <c r="L246" s="55">
        <f>EFEITO!$N$246*EFEITO!$AA$246</f>
        <v>3.7573208154990136</v>
      </c>
      <c r="M246" s="55">
        <f>$J$246-EFEITO!$K$246*EFEITO!$Y$246</f>
        <v>0</v>
      </c>
      <c r="N246" s="55">
        <f ca="1">$K$246-EFEITO!$M$246*EFEITO!$Z$246</f>
        <v>0</v>
      </c>
      <c r="O246" s="55">
        <f>$L$246-EFEITO!$O$246*EFEITO!$AA$246</f>
        <v>0</v>
      </c>
      <c r="P246" s="39"/>
      <c r="Q246" s="39"/>
      <c r="R246" s="39"/>
      <c r="S246" s="39"/>
      <c r="T246" s="39"/>
      <c r="U246" s="39"/>
      <c r="V246" s="39"/>
      <c r="W246" s="39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35" t="s">
        <v>21</v>
      </c>
      <c r="B247" s="35" t="s">
        <v>32</v>
      </c>
      <c r="C247" s="35" t="s">
        <v>38</v>
      </c>
      <c r="D247" s="35" t="s">
        <v>33</v>
      </c>
      <c r="E247" s="35" t="s">
        <v>25</v>
      </c>
      <c r="F247" s="35" t="s">
        <v>25</v>
      </c>
      <c r="G247" s="35" t="s">
        <v>25</v>
      </c>
      <c r="H247" s="35" t="s">
        <v>36</v>
      </c>
      <c r="I247" s="54">
        <v>44562</v>
      </c>
      <c r="J247" s="55">
        <f>EFEITO!$J$247*EFEITO!$Y$247</f>
        <v>0</v>
      </c>
      <c r="K247" s="55">
        <f ca="1">EFEITO!$L$247*EFEITO!$Z$247</f>
        <v>1.4277324477453921</v>
      </c>
      <c r="L247" s="55">
        <f>EFEITO!$N$247*EFEITO!$AA$247</f>
        <v>0.46966510193737671</v>
      </c>
      <c r="M247" s="55">
        <f>$J$247-EFEITO!$K$247*EFEITO!$Y$247</f>
        <v>0</v>
      </c>
      <c r="N247" s="55">
        <f ca="1">$K$247-EFEITO!$M$247*EFEITO!$Z$247</f>
        <v>0</v>
      </c>
      <c r="O247" s="55">
        <f>$L$247-EFEITO!$O$247*EFEITO!$AA$247</f>
        <v>0</v>
      </c>
      <c r="P247" s="39"/>
      <c r="Q247" s="39"/>
      <c r="R247" s="39"/>
      <c r="S247" s="39"/>
      <c r="T247" s="39"/>
      <c r="U247" s="39"/>
      <c r="V247" s="39"/>
      <c r="W247" s="39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35" t="s">
        <v>21</v>
      </c>
      <c r="B248" s="35" t="s">
        <v>32</v>
      </c>
      <c r="C248" s="35" t="s">
        <v>38</v>
      </c>
      <c r="D248" s="35" t="s">
        <v>43</v>
      </c>
      <c r="E248" s="35" t="s">
        <v>25</v>
      </c>
      <c r="F248" s="35" t="s">
        <v>25</v>
      </c>
      <c r="G248" s="35" t="s">
        <v>25</v>
      </c>
      <c r="H248" s="35" t="s">
        <v>37</v>
      </c>
      <c r="I248" s="54">
        <v>44409</v>
      </c>
      <c r="J248" s="55">
        <f>EFEITO!$J$248*EFEITO!$Y$248</f>
        <v>0</v>
      </c>
      <c r="K248" s="55">
        <f ca="1">EFEITO!$L$248*EFEITO!$Z$248</f>
        <v>1871.5890921020371</v>
      </c>
      <c r="L248" s="55">
        <f>EFEITO!$N$248*EFEITO!$AA$248</f>
        <v>1273.3187967275655</v>
      </c>
      <c r="M248" s="55">
        <f>$J$248-EFEITO!$K$248*EFEITO!$Y$248</f>
        <v>0</v>
      </c>
      <c r="N248" s="55">
        <f ca="1">$K$248-EFEITO!$M$248*EFEITO!$Z$248</f>
        <v>0</v>
      </c>
      <c r="O248" s="55">
        <f>$L$248-EFEITO!$O$248*EFEITO!$AA$248</f>
        <v>0</v>
      </c>
      <c r="P248" s="39"/>
      <c r="Q248" s="39"/>
      <c r="R248" s="39"/>
      <c r="S248" s="39"/>
      <c r="T248" s="39"/>
      <c r="U248" s="39"/>
      <c r="V248" s="39"/>
      <c r="W248" s="39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35" t="s">
        <v>21</v>
      </c>
      <c r="B249" s="35" t="s">
        <v>32</v>
      </c>
      <c r="C249" s="35" t="s">
        <v>38</v>
      </c>
      <c r="D249" s="35" t="s">
        <v>43</v>
      </c>
      <c r="E249" s="35" t="s">
        <v>25</v>
      </c>
      <c r="F249" s="35" t="s">
        <v>25</v>
      </c>
      <c r="G249" s="35" t="s">
        <v>25</v>
      </c>
      <c r="H249" s="35" t="s">
        <v>37</v>
      </c>
      <c r="I249" s="54">
        <v>44440</v>
      </c>
      <c r="J249" s="55">
        <f>EFEITO!$J$249*EFEITO!$Y$249</f>
        <v>0</v>
      </c>
      <c r="K249" s="55">
        <f ca="1">EFEITO!$L$249*EFEITO!$Z$249</f>
        <v>1794.5971652031594</v>
      </c>
      <c r="L249" s="55">
        <f>EFEITO!$N$249*EFEITO!$AA$249</f>
        <v>1220.9380320980233</v>
      </c>
      <c r="M249" s="55">
        <f>$J$249-EFEITO!$K$249*EFEITO!$Y$249</f>
        <v>0</v>
      </c>
      <c r="N249" s="55">
        <f ca="1">$K$249-EFEITO!$M$249*EFEITO!$Z$249</f>
        <v>0</v>
      </c>
      <c r="O249" s="55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35" t="s">
        <v>21</v>
      </c>
      <c r="B250" s="35" t="s">
        <v>32</v>
      </c>
      <c r="C250" s="35" t="s">
        <v>38</v>
      </c>
      <c r="D250" s="35" t="s">
        <v>43</v>
      </c>
      <c r="E250" s="35" t="s">
        <v>25</v>
      </c>
      <c r="F250" s="35" t="s">
        <v>25</v>
      </c>
      <c r="G250" s="35" t="s">
        <v>25</v>
      </c>
      <c r="H250" s="35" t="s">
        <v>37</v>
      </c>
      <c r="I250" s="54">
        <v>44470</v>
      </c>
      <c r="J250" s="55">
        <f>EFEITO!$J$250*EFEITO!$Y$250</f>
        <v>0</v>
      </c>
      <c r="K250" s="55">
        <f ca="1">EFEITO!$L$250*EFEITO!$Z$250</f>
        <v>1767.1864268307843</v>
      </c>
      <c r="L250" s="55">
        <f>EFEITO!$N$250*EFEITO!$AA$250</f>
        <v>1202.2893829105424</v>
      </c>
      <c r="M250" s="55">
        <f>$J$250-EFEITO!$K$250*EFEITO!$Y$250</f>
        <v>0</v>
      </c>
      <c r="N250" s="55">
        <f ca="1">$K$250-EFEITO!$M$250*EFEITO!$Z$250</f>
        <v>0</v>
      </c>
      <c r="O250" s="55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35" t="s">
        <v>21</v>
      </c>
      <c r="B251" s="35" t="s">
        <v>32</v>
      </c>
      <c r="C251" s="35" t="s">
        <v>38</v>
      </c>
      <c r="D251" s="35" t="s">
        <v>43</v>
      </c>
      <c r="E251" s="35" t="s">
        <v>25</v>
      </c>
      <c r="F251" s="35" t="s">
        <v>25</v>
      </c>
      <c r="G251" s="35" t="s">
        <v>25</v>
      </c>
      <c r="H251" s="35" t="s">
        <v>37</v>
      </c>
      <c r="I251" s="54">
        <v>44501</v>
      </c>
      <c r="J251" s="55">
        <f>EFEITO!$J$251*EFEITO!$Y$251</f>
        <v>0</v>
      </c>
      <c r="K251" s="55">
        <f ca="1">EFEITO!$L$251*EFEITO!$Z$251</f>
        <v>1977.6041537481358</v>
      </c>
      <c r="L251" s="55">
        <f>EFEITO!$N$251*EFEITO!$AA$251</f>
        <v>1345.4451899085584</v>
      </c>
      <c r="M251" s="55">
        <f>$J$251-EFEITO!$K$251*EFEITO!$Y$251</f>
        <v>0</v>
      </c>
      <c r="N251" s="55">
        <f ca="1">$K$251-EFEITO!$M$251*EFEITO!$Z$251</f>
        <v>0</v>
      </c>
      <c r="O251" s="55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35" t="s">
        <v>21</v>
      </c>
      <c r="B252" s="35" t="s">
        <v>32</v>
      </c>
      <c r="C252" s="35" t="s">
        <v>38</v>
      </c>
      <c r="D252" s="35" t="s">
        <v>43</v>
      </c>
      <c r="E252" s="35" t="s">
        <v>25</v>
      </c>
      <c r="F252" s="35" t="s">
        <v>25</v>
      </c>
      <c r="G252" s="35" t="s">
        <v>25</v>
      </c>
      <c r="H252" s="35" t="s">
        <v>37</v>
      </c>
      <c r="I252" s="54">
        <v>44531</v>
      </c>
      <c r="J252" s="55">
        <f>EFEITO!$J$252*EFEITO!$Y$252</f>
        <v>0</v>
      </c>
      <c r="K252" s="55">
        <f ca="1">EFEITO!$L$252*EFEITO!$Z$252</f>
        <v>2229.1379882240503</v>
      </c>
      <c r="L252" s="55">
        <f>EFEITO!$N$252*EFEITO!$AA$252</f>
        <v>1516.5739706877962</v>
      </c>
      <c r="M252" s="55">
        <f>$J$252-EFEITO!$K$252*EFEITO!$Y$252</f>
        <v>0</v>
      </c>
      <c r="N252" s="55">
        <f ca="1">$K$252-EFEITO!$M$252*EFEITO!$Z$252</f>
        <v>0</v>
      </c>
      <c r="O252" s="55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35" t="s">
        <v>21</v>
      </c>
      <c r="B253" s="35" t="s">
        <v>32</v>
      </c>
      <c r="C253" s="35" t="s">
        <v>38</v>
      </c>
      <c r="D253" s="35" t="s">
        <v>43</v>
      </c>
      <c r="E253" s="35" t="s">
        <v>25</v>
      </c>
      <c r="F253" s="35" t="s">
        <v>25</v>
      </c>
      <c r="G253" s="35" t="s">
        <v>25</v>
      </c>
      <c r="H253" s="35" t="s">
        <v>37</v>
      </c>
      <c r="I253" s="54">
        <v>44562</v>
      </c>
      <c r="J253" s="55">
        <f>EFEITO!$J$253*EFEITO!$Y$253</f>
        <v>0</v>
      </c>
      <c r="K253" s="55">
        <f ca="1">EFEITO!$L$253*EFEITO!$Z$253</f>
        <v>2658.8416221204043</v>
      </c>
      <c r="L253" s="55">
        <f>EFEITO!$N$253*EFEITO!$AA$253</f>
        <v>1808.9189711856607</v>
      </c>
      <c r="M253" s="55">
        <f>$J$253-EFEITO!$K$253*EFEITO!$Y$253</f>
        <v>0</v>
      </c>
      <c r="N253" s="55">
        <f ca="1">$K$253-EFEITO!$M$253*EFEITO!$Z$253</f>
        <v>0</v>
      </c>
      <c r="O253" s="55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35" t="s">
        <v>21</v>
      </c>
      <c r="B254" s="35" t="s">
        <v>32</v>
      </c>
      <c r="C254" s="35" t="s">
        <v>38</v>
      </c>
      <c r="D254" s="35" t="s">
        <v>43</v>
      </c>
      <c r="E254" s="35" t="s">
        <v>25</v>
      </c>
      <c r="F254" s="35" t="s">
        <v>25</v>
      </c>
      <c r="G254" s="35" t="s">
        <v>25</v>
      </c>
      <c r="H254" s="35" t="s">
        <v>37</v>
      </c>
      <c r="I254" s="54">
        <v>44593</v>
      </c>
      <c r="J254" s="55">
        <f>EFEITO!$J$254*EFEITO!$Y$254</f>
        <v>0</v>
      </c>
      <c r="K254" s="55">
        <f ca="1">EFEITO!$L$254*EFEITO!$Z$254</f>
        <v>3593.6284204371441</v>
      </c>
      <c r="L254" s="55">
        <f>EFEITO!$N$254*EFEITO!$AA$254</f>
        <v>2444.8927574469622</v>
      </c>
      <c r="M254" s="55">
        <f>$J$254-EFEITO!$K$254*EFEITO!$Y$254</f>
        <v>0</v>
      </c>
      <c r="N254" s="55">
        <f ca="1">$K$254-EFEITO!$M$254*EFEITO!$Z$254</f>
        <v>0</v>
      </c>
      <c r="O254" s="55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35" t="s">
        <v>21</v>
      </c>
      <c r="B255" s="35" t="s">
        <v>32</v>
      </c>
      <c r="C255" s="35" t="s">
        <v>38</v>
      </c>
      <c r="D255" s="35" t="s">
        <v>43</v>
      </c>
      <c r="E255" s="35" t="s">
        <v>25</v>
      </c>
      <c r="F255" s="35" t="s">
        <v>25</v>
      </c>
      <c r="G255" s="35" t="s">
        <v>25</v>
      </c>
      <c r="H255" s="35" t="s">
        <v>37</v>
      </c>
      <c r="I255" s="54">
        <v>44621</v>
      </c>
      <c r="J255" s="55">
        <f>EFEITO!$J$255*EFEITO!$Y$255</f>
        <v>0</v>
      </c>
      <c r="K255" s="55">
        <f ca="1">EFEITO!$L$255*EFEITO!$Z$255</f>
        <v>2854.7477816641454</v>
      </c>
      <c r="L255" s="55">
        <f>EFEITO!$N$255*EFEITO!$AA$255</f>
        <v>1942.2019639079517</v>
      </c>
      <c r="M255" s="55">
        <f>$J$255-EFEITO!$K$255*EFEITO!$Y$255</f>
        <v>0</v>
      </c>
      <c r="N255" s="55">
        <f ca="1">$K$255-EFEITO!$M$255*EFEITO!$Z$255</f>
        <v>0</v>
      </c>
      <c r="O255" s="55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35" t="s">
        <v>21</v>
      </c>
      <c r="B256" s="35" t="s">
        <v>32</v>
      </c>
      <c r="C256" s="35" t="s">
        <v>38</v>
      </c>
      <c r="D256" s="35" t="s">
        <v>43</v>
      </c>
      <c r="E256" s="35" t="s">
        <v>25</v>
      </c>
      <c r="F256" s="35" t="s">
        <v>25</v>
      </c>
      <c r="G256" s="35" t="s">
        <v>25</v>
      </c>
      <c r="H256" s="35" t="s">
        <v>37</v>
      </c>
      <c r="I256" s="54">
        <v>44652</v>
      </c>
      <c r="J256" s="55">
        <f>EFEITO!$J$256*EFEITO!$Y$256</f>
        <v>0</v>
      </c>
      <c r="K256" s="55">
        <f ca="1">EFEITO!$L$256*EFEITO!$Z$256</f>
        <v>2834.9959260722871</v>
      </c>
      <c r="L256" s="55">
        <f>EFEITO!$N$256*EFEITO!$AA$256</f>
        <v>1928.7639666993257</v>
      </c>
      <c r="M256" s="55">
        <f>$J$256-EFEITO!$K$256*EFEITO!$Y$256</f>
        <v>0</v>
      </c>
      <c r="N256" s="55">
        <f ca="1">$K$256-EFEITO!$M$256*EFEITO!$Z$256</f>
        <v>0</v>
      </c>
      <c r="O256" s="55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35" t="s">
        <v>21</v>
      </c>
      <c r="B257" s="35" t="s">
        <v>32</v>
      </c>
      <c r="C257" s="35" t="s">
        <v>38</v>
      </c>
      <c r="D257" s="35" t="s">
        <v>43</v>
      </c>
      <c r="E257" s="35" t="s">
        <v>25</v>
      </c>
      <c r="F257" s="35" t="s">
        <v>25</v>
      </c>
      <c r="G257" s="35" t="s">
        <v>25</v>
      </c>
      <c r="H257" s="35" t="s">
        <v>37</v>
      </c>
      <c r="I257" s="54">
        <v>44682</v>
      </c>
      <c r="J257" s="55">
        <f>EFEITO!$J$257*EFEITO!$Y$257</f>
        <v>0</v>
      </c>
      <c r="K257" s="55">
        <f ca="1">EFEITO!$L$257*EFEITO!$Z$257</f>
        <v>2272.6726903448816</v>
      </c>
      <c r="L257" s="55">
        <f>EFEITO!$N$257*EFEITO!$AA$257</f>
        <v>1546.192413514972</v>
      </c>
      <c r="M257" s="55">
        <f>$J$257-EFEITO!$K$257*EFEITO!$Y$257</f>
        <v>0</v>
      </c>
      <c r="N257" s="55">
        <f ca="1">$K$257-EFEITO!$M$257*EFEITO!$Z$257</f>
        <v>0</v>
      </c>
      <c r="O257" s="55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35" t="s">
        <v>21</v>
      </c>
      <c r="B258" s="35" t="s">
        <v>32</v>
      </c>
      <c r="C258" s="35" t="s">
        <v>38</v>
      </c>
      <c r="D258" s="35" t="s">
        <v>43</v>
      </c>
      <c r="E258" s="35" t="s">
        <v>25</v>
      </c>
      <c r="F258" s="35" t="s">
        <v>25</v>
      </c>
      <c r="G258" s="35" t="s">
        <v>25</v>
      </c>
      <c r="H258" s="35" t="s">
        <v>37</v>
      </c>
      <c r="I258" s="54">
        <v>44713</v>
      </c>
      <c r="J258" s="55">
        <f>EFEITO!$J$258*EFEITO!$Y$258</f>
        <v>0</v>
      </c>
      <c r="K258" s="55">
        <f ca="1">EFEITO!$L$258*EFEITO!$Z$258</f>
        <v>1754.2872558320196</v>
      </c>
      <c r="L258" s="55">
        <f>EFEITO!$N$258*EFEITO!$AA$258</f>
        <v>1193.5135479987866</v>
      </c>
      <c r="M258" s="55">
        <f>$J$258-EFEITO!$K$258*EFEITO!$Y$258</f>
        <v>0</v>
      </c>
      <c r="N258" s="55">
        <f ca="1">$K$258-EFEITO!$M$258*EFEITO!$Z$258</f>
        <v>0</v>
      </c>
      <c r="O258" s="55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35" t="s">
        <v>21</v>
      </c>
      <c r="B259" s="35" t="s">
        <v>32</v>
      </c>
      <c r="C259" s="35" t="s">
        <v>38</v>
      </c>
      <c r="D259" s="35" t="s">
        <v>43</v>
      </c>
      <c r="E259" s="35" t="s">
        <v>25</v>
      </c>
      <c r="F259" s="35" t="s">
        <v>25</v>
      </c>
      <c r="G259" s="35" t="s">
        <v>25</v>
      </c>
      <c r="H259" s="35" t="s">
        <v>37</v>
      </c>
      <c r="I259" s="54">
        <v>44743</v>
      </c>
      <c r="J259" s="55">
        <f>EFEITO!$J$259*EFEITO!$Y$259</f>
        <v>0</v>
      </c>
      <c r="K259" s="55">
        <f ca="1">EFEITO!$L$259*EFEITO!$Z$259</f>
        <v>1530.5672588221917</v>
      </c>
      <c r="L259" s="55">
        <f>EFEITO!$N$259*EFEITO!$AA$259</f>
        <v>1041.3076612480222</v>
      </c>
      <c r="M259" s="55">
        <f>$J$259-EFEITO!$K$259*EFEITO!$Y$259</f>
        <v>0</v>
      </c>
      <c r="N259" s="55">
        <f ca="1">$K$259-EFEITO!$M$259*EFEITO!$Z$259</f>
        <v>0</v>
      </c>
      <c r="O259" s="55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35" t="s">
        <v>21</v>
      </c>
      <c r="B260" s="35" t="s">
        <v>32</v>
      </c>
      <c r="C260" s="35" t="s">
        <v>38</v>
      </c>
      <c r="D260" s="35" t="s">
        <v>43</v>
      </c>
      <c r="E260" s="35" t="s">
        <v>25</v>
      </c>
      <c r="F260" s="35" t="s">
        <v>25</v>
      </c>
      <c r="G260" s="35" t="s">
        <v>25</v>
      </c>
      <c r="H260" s="35" t="s">
        <v>39</v>
      </c>
      <c r="I260" s="54">
        <v>44409</v>
      </c>
      <c r="J260" s="55">
        <f>EFEITO!$J$260*EFEITO!$Y$260</f>
        <v>0</v>
      </c>
      <c r="K260" s="55">
        <f ca="1">EFEITO!$L$260*EFEITO!$Z$260</f>
        <v>266.38598928196348</v>
      </c>
      <c r="L260" s="55">
        <f>EFEITO!$N$260*EFEITO!$AA$260</f>
        <v>79.805248728779148</v>
      </c>
      <c r="M260" s="55">
        <f>$J$260-EFEITO!$K$260*EFEITO!$Y$260</f>
        <v>0</v>
      </c>
      <c r="N260" s="55">
        <f ca="1">$K$260-EFEITO!$M$260*EFEITO!$Z$260</f>
        <v>0</v>
      </c>
      <c r="O260" s="55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35" t="s">
        <v>21</v>
      </c>
      <c r="B261" s="35" t="s">
        <v>32</v>
      </c>
      <c r="C261" s="35" t="s">
        <v>38</v>
      </c>
      <c r="D261" s="35" t="s">
        <v>43</v>
      </c>
      <c r="E261" s="35" t="s">
        <v>25</v>
      </c>
      <c r="F261" s="35" t="s">
        <v>25</v>
      </c>
      <c r="G261" s="35" t="s">
        <v>25</v>
      </c>
      <c r="H261" s="35" t="s">
        <v>39</v>
      </c>
      <c r="I261" s="54">
        <v>44440</v>
      </c>
      <c r="J261" s="55">
        <f>EFEITO!$J$261*EFEITO!$Y$261</f>
        <v>0</v>
      </c>
      <c r="K261" s="55">
        <f ca="1">EFEITO!$L$261*EFEITO!$Z$261</f>
        <v>253.570168491766</v>
      </c>
      <c r="L261" s="55">
        <f>EFEITO!$N$261*EFEITO!$AA$261</f>
        <v>75.965820954885999</v>
      </c>
      <c r="M261" s="55">
        <f>$J$261-EFEITO!$K$261*EFEITO!$Y$261</f>
        <v>0</v>
      </c>
      <c r="N261" s="55">
        <f ca="1">$K$261-EFEITO!$M$261*EFEITO!$Z$261</f>
        <v>0</v>
      </c>
      <c r="O261" s="55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35" t="s">
        <v>21</v>
      </c>
      <c r="B262" s="35" t="s">
        <v>32</v>
      </c>
      <c r="C262" s="35" t="s">
        <v>38</v>
      </c>
      <c r="D262" s="35" t="s">
        <v>43</v>
      </c>
      <c r="E262" s="35" t="s">
        <v>25</v>
      </c>
      <c r="F262" s="35" t="s">
        <v>25</v>
      </c>
      <c r="G262" s="35" t="s">
        <v>25</v>
      </c>
      <c r="H262" s="35" t="s">
        <v>39</v>
      </c>
      <c r="I262" s="54">
        <v>44470</v>
      </c>
      <c r="J262" s="55">
        <f>EFEITO!$J$262*EFEITO!$Y$262</f>
        <v>0</v>
      </c>
      <c r="K262" s="55">
        <f ca="1">EFEITO!$L$262*EFEITO!$Z$262</f>
        <v>223.36144805772886</v>
      </c>
      <c r="L262" s="55">
        <f>EFEITO!$N$262*EFEITO!$AA$262</f>
        <v>66.915741202137838</v>
      </c>
      <c r="M262" s="55">
        <f>$J$262-EFEITO!$K$262*EFEITO!$Y$262</f>
        <v>0</v>
      </c>
      <c r="N262" s="55">
        <f ca="1">$K$262-EFEITO!$M$262*EFEITO!$Z$262</f>
        <v>0</v>
      </c>
      <c r="O262" s="55">
        <f>$L$262-EFEITO!$O$262*EFEITO!$AA$262</f>
        <v>0</v>
      </c>
      <c r="P262" s="39"/>
      <c r="Q262" s="39"/>
      <c r="R262" s="39"/>
      <c r="S262" s="39"/>
      <c r="T262" s="39"/>
      <c r="U262" s="39"/>
      <c r="V262" s="39"/>
      <c r="W262" s="39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35" t="s">
        <v>21</v>
      </c>
      <c r="B263" s="35" t="s">
        <v>32</v>
      </c>
      <c r="C263" s="35" t="s">
        <v>38</v>
      </c>
      <c r="D263" s="35" t="s">
        <v>43</v>
      </c>
      <c r="E263" s="35" t="s">
        <v>25</v>
      </c>
      <c r="F263" s="35" t="s">
        <v>25</v>
      </c>
      <c r="G263" s="35" t="s">
        <v>25</v>
      </c>
      <c r="H263" s="35" t="s">
        <v>39</v>
      </c>
      <c r="I263" s="54">
        <v>44501</v>
      </c>
      <c r="J263" s="55">
        <f>EFEITO!$J$263*EFEITO!$Y$263</f>
        <v>0</v>
      </c>
      <c r="K263" s="55">
        <f ca="1">EFEITO!$L$263*EFEITO!$Z$263</f>
        <v>223.36144805772886</v>
      </c>
      <c r="L263" s="55">
        <f>EFEITO!$N$263*EFEITO!$AA$263</f>
        <v>66.915741202137838</v>
      </c>
      <c r="M263" s="55">
        <f>$J$263-EFEITO!$K$263*EFEITO!$Y$263</f>
        <v>0</v>
      </c>
      <c r="N263" s="55">
        <f ca="1">$K$263-EFEITO!$M$263*EFEITO!$Z$263</f>
        <v>0</v>
      </c>
      <c r="O263" s="55">
        <f>$L$263-EFEITO!$O$263*EFEITO!$AA$263</f>
        <v>0</v>
      </c>
      <c r="P263" s="39"/>
      <c r="Q263" s="39"/>
      <c r="R263" s="39"/>
      <c r="S263" s="39"/>
      <c r="T263" s="39"/>
      <c r="U263" s="39"/>
      <c r="V263" s="39"/>
      <c r="W263" s="39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35" t="s">
        <v>21</v>
      </c>
      <c r="B264" s="35" t="s">
        <v>32</v>
      </c>
      <c r="C264" s="35" t="s">
        <v>38</v>
      </c>
      <c r="D264" s="35" t="s">
        <v>43</v>
      </c>
      <c r="E264" s="35" t="s">
        <v>25</v>
      </c>
      <c r="F264" s="35" t="s">
        <v>25</v>
      </c>
      <c r="G264" s="35" t="s">
        <v>25</v>
      </c>
      <c r="H264" s="35" t="s">
        <v>39</v>
      </c>
      <c r="I264" s="54">
        <v>44531</v>
      </c>
      <c r="J264" s="55">
        <f>EFEITO!$J$264*EFEITO!$Y$264</f>
        <v>0</v>
      </c>
      <c r="K264" s="55">
        <f ca="1">EFEITO!$L$264*EFEITO!$Z$264</f>
        <v>315.81844090129692</v>
      </c>
      <c r="L264" s="55">
        <f>EFEITO!$N$264*EFEITO!$AA$264</f>
        <v>94.614470142367026</v>
      </c>
      <c r="M264" s="55">
        <f>$J$264-EFEITO!$K$264*EFEITO!$Y$264</f>
        <v>0</v>
      </c>
      <c r="N264" s="55">
        <f ca="1">$K$264-EFEITO!$M$264*EFEITO!$Z$264</f>
        <v>0</v>
      </c>
      <c r="O264" s="55">
        <f>$L$264-EFEITO!$O$264*EFEITO!$AA$264</f>
        <v>0</v>
      </c>
      <c r="P264" s="39"/>
      <c r="Q264" s="39"/>
      <c r="R264" s="39"/>
      <c r="S264" s="39"/>
      <c r="T264" s="39"/>
      <c r="U264" s="39"/>
      <c r="V264" s="39"/>
      <c r="W264" s="39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35" t="s">
        <v>21</v>
      </c>
      <c r="B265" s="35" t="s">
        <v>32</v>
      </c>
      <c r="C265" s="35" t="s">
        <v>38</v>
      </c>
      <c r="D265" s="35" t="s">
        <v>43</v>
      </c>
      <c r="E265" s="35" t="s">
        <v>25</v>
      </c>
      <c r="F265" s="35" t="s">
        <v>25</v>
      </c>
      <c r="G265" s="35" t="s">
        <v>25</v>
      </c>
      <c r="H265" s="35" t="s">
        <v>39</v>
      </c>
      <c r="I265" s="54">
        <v>44562</v>
      </c>
      <c r="J265" s="55">
        <f>EFEITO!$J$265*EFEITO!$Y$265</f>
        <v>0</v>
      </c>
      <c r="K265" s="55">
        <f ca="1">EFEITO!$L$265*EFEITO!$Z$265</f>
        <v>409.19084951559347</v>
      </c>
      <c r="L265" s="55">
        <f>EFEITO!$N$265*EFEITO!$AA$265</f>
        <v>122.58744392358859</v>
      </c>
      <c r="M265" s="55">
        <f>$J$265-EFEITO!$K$265*EFEITO!$Y$265</f>
        <v>0</v>
      </c>
      <c r="N265" s="55">
        <f ca="1">$K$265-EFEITO!$M$265*EFEITO!$Z$265</f>
        <v>0</v>
      </c>
      <c r="O265" s="55">
        <f>$L$265-EFEITO!$O$265*EFEITO!$AA$265</f>
        <v>0</v>
      </c>
      <c r="P265" s="39"/>
      <c r="Q265" s="39"/>
      <c r="R265" s="39"/>
      <c r="S265" s="39"/>
      <c r="T265" s="39"/>
      <c r="U265" s="39"/>
      <c r="V265" s="39"/>
      <c r="W265" s="39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35" t="s">
        <v>21</v>
      </c>
      <c r="B266" s="35" t="s">
        <v>32</v>
      </c>
      <c r="C266" s="35" t="s">
        <v>38</v>
      </c>
      <c r="D266" s="35" t="s">
        <v>43</v>
      </c>
      <c r="E266" s="35" t="s">
        <v>25</v>
      </c>
      <c r="F266" s="35" t="s">
        <v>25</v>
      </c>
      <c r="G266" s="35" t="s">
        <v>25</v>
      </c>
      <c r="H266" s="35" t="s">
        <v>39</v>
      </c>
      <c r="I266" s="54">
        <v>44593</v>
      </c>
      <c r="J266" s="55">
        <f>EFEITO!$J$266*EFEITO!$Y$266</f>
        <v>0</v>
      </c>
      <c r="K266" s="55">
        <f ca="1">EFEITO!$L$266*EFEITO!$Z$266</f>
        <v>506.22492121280357</v>
      </c>
      <c r="L266" s="55">
        <f>EFEITO!$N$266*EFEITO!$AA$266</f>
        <v>151.65739706877963</v>
      </c>
      <c r="M266" s="55">
        <f>$J$266-EFEITO!$K$266*EFEITO!$Y$266</f>
        <v>0</v>
      </c>
      <c r="N266" s="55">
        <f ca="1">$K$266-EFEITO!$M$266*EFEITO!$Z$266</f>
        <v>0</v>
      </c>
      <c r="O266" s="55">
        <f>$L$266-EFEITO!$O$266*EFEITO!$AA$266</f>
        <v>0</v>
      </c>
      <c r="P266" s="39"/>
      <c r="Q266" s="39"/>
      <c r="R266" s="39"/>
      <c r="S266" s="39"/>
      <c r="T266" s="39"/>
      <c r="U266" s="39"/>
      <c r="V266" s="39"/>
      <c r="W266" s="39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35" t="s">
        <v>21</v>
      </c>
      <c r="B267" s="35" t="s">
        <v>32</v>
      </c>
      <c r="C267" s="35" t="s">
        <v>38</v>
      </c>
      <c r="D267" s="35" t="s">
        <v>43</v>
      </c>
      <c r="E267" s="35" t="s">
        <v>25</v>
      </c>
      <c r="F267" s="35" t="s">
        <v>25</v>
      </c>
      <c r="G267" s="35" t="s">
        <v>25</v>
      </c>
      <c r="H267" s="35" t="s">
        <v>39</v>
      </c>
      <c r="I267" s="54">
        <v>44621</v>
      </c>
      <c r="J267" s="55">
        <f>EFEITO!$J$267*EFEITO!$Y$267</f>
        <v>0</v>
      </c>
      <c r="K267" s="55">
        <f ca="1">EFEITO!$L$267*EFEITO!$Z$267</f>
        <v>217.86895343335848</v>
      </c>
      <c r="L267" s="55">
        <f>EFEITO!$N$267*EFEITO!$AA$267</f>
        <v>65.270272156183637</v>
      </c>
      <c r="M267" s="55">
        <f>$J$267-EFEITO!$K$267*EFEITO!$Y$267</f>
        <v>0</v>
      </c>
      <c r="N267" s="55">
        <f ca="1">$K$267-EFEITO!$M$267*EFEITO!$Z$267</f>
        <v>0</v>
      </c>
      <c r="O267" s="55">
        <f>$L$267-EFEITO!$O$267*EFEITO!$AA$267</f>
        <v>0</v>
      </c>
      <c r="P267" s="39"/>
      <c r="Q267" s="39"/>
      <c r="R267" s="39"/>
      <c r="S267" s="39"/>
      <c r="T267" s="39"/>
      <c r="U267" s="39"/>
      <c r="V267" s="39"/>
      <c r="W267" s="39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35" t="s">
        <v>21</v>
      </c>
      <c r="B268" s="35" t="s">
        <v>32</v>
      </c>
      <c r="C268" s="35" t="s">
        <v>38</v>
      </c>
      <c r="D268" s="35" t="s">
        <v>43</v>
      </c>
      <c r="E268" s="35" t="s">
        <v>25</v>
      </c>
      <c r="F268" s="35" t="s">
        <v>25</v>
      </c>
      <c r="G268" s="35" t="s">
        <v>25</v>
      </c>
      <c r="H268" s="35" t="s">
        <v>39</v>
      </c>
      <c r="I268" s="54">
        <v>44652</v>
      </c>
      <c r="J268" s="55">
        <f>EFEITO!$J$268*EFEITO!$Y$268</f>
        <v>0</v>
      </c>
      <c r="K268" s="55">
        <f ca="1">EFEITO!$L$268*EFEITO!$Z$268</f>
        <v>274.62473121851906</v>
      </c>
      <c r="L268" s="55">
        <f>EFEITO!$N$268*EFEITO!$AA$268</f>
        <v>82.273452297710463</v>
      </c>
      <c r="M268" s="55">
        <f>$J$268-EFEITO!$K$268*EFEITO!$Y$268</f>
        <v>0</v>
      </c>
      <c r="N268" s="55">
        <f ca="1">$K$268-EFEITO!$M$268*EFEITO!$Z$268</f>
        <v>0</v>
      </c>
      <c r="O268" s="55">
        <f>$L$268-EFEITO!$O$268*EFEITO!$AA$268</f>
        <v>0</v>
      </c>
      <c r="P268" s="39"/>
      <c r="Q268" s="39"/>
      <c r="R268" s="39"/>
      <c r="S268" s="39"/>
      <c r="T268" s="39"/>
      <c r="U268" s="39"/>
      <c r="V268" s="39"/>
      <c r="W268" s="39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35" t="s">
        <v>21</v>
      </c>
      <c r="B269" s="35" t="s">
        <v>32</v>
      </c>
      <c r="C269" s="35" t="s">
        <v>38</v>
      </c>
      <c r="D269" s="35" t="s">
        <v>43</v>
      </c>
      <c r="E269" s="35" t="s">
        <v>25</v>
      </c>
      <c r="F269" s="35" t="s">
        <v>25</v>
      </c>
      <c r="G269" s="35" t="s">
        <v>25</v>
      </c>
      <c r="H269" s="35" t="s">
        <v>39</v>
      </c>
      <c r="I269" s="54">
        <v>44682</v>
      </c>
      <c r="J269" s="55">
        <f>EFEITO!$J$269*EFEITO!$Y$269</f>
        <v>0</v>
      </c>
      <c r="K269" s="55">
        <f ca="1">EFEITO!$L$269*EFEITO!$Z$269</f>
        <v>181.2523226042226</v>
      </c>
      <c r="L269" s="55">
        <f>EFEITO!$N$269*EFEITO!$AA$269</f>
        <v>54.300478516488909</v>
      </c>
      <c r="M269" s="55">
        <f>$J$269-EFEITO!$K$269*EFEITO!$Y$269</f>
        <v>0</v>
      </c>
      <c r="N269" s="55">
        <f ca="1">$K$269-EFEITO!$M$269*EFEITO!$Z$269</f>
        <v>0</v>
      </c>
      <c r="O269" s="55">
        <f>$L$269-EFEITO!$O$269*EFEITO!$AA$269</f>
        <v>0</v>
      </c>
      <c r="P269" s="39"/>
      <c r="Q269" s="39"/>
      <c r="R269" s="39"/>
      <c r="S269" s="39"/>
      <c r="T269" s="39"/>
      <c r="U269" s="39"/>
      <c r="V269" s="39"/>
      <c r="W269" s="3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35" t="s">
        <v>21</v>
      </c>
      <c r="B270" s="35" t="s">
        <v>32</v>
      </c>
      <c r="C270" s="35" t="s">
        <v>38</v>
      </c>
      <c r="D270" s="35" t="s">
        <v>43</v>
      </c>
      <c r="E270" s="35" t="s">
        <v>25</v>
      </c>
      <c r="F270" s="35" t="s">
        <v>25</v>
      </c>
      <c r="G270" s="35" t="s">
        <v>25</v>
      </c>
      <c r="H270" s="35" t="s">
        <v>39</v>
      </c>
      <c r="I270" s="54">
        <v>44713</v>
      </c>
      <c r="J270" s="55">
        <f>EFEITO!$J$270*EFEITO!$Y$270</f>
        <v>0</v>
      </c>
      <c r="K270" s="55">
        <f ca="1">EFEITO!$L$270*EFEITO!$Z$270</f>
        <v>179.42149106276582</v>
      </c>
      <c r="L270" s="55">
        <f>EFEITO!$N$270*EFEITO!$AA$270</f>
        <v>53.751988834504168</v>
      </c>
      <c r="M270" s="55">
        <f>$J$270-EFEITO!$K$270*EFEITO!$Y$270</f>
        <v>0</v>
      </c>
      <c r="N270" s="55">
        <f ca="1">$K$270-EFEITO!$M$270*EFEITO!$Z$270</f>
        <v>0</v>
      </c>
      <c r="O270" s="55">
        <f>$L$270-EFEITO!$O$270*EFEITO!$AA$270</f>
        <v>0</v>
      </c>
      <c r="P270" s="39"/>
      <c r="Q270" s="39"/>
      <c r="R270" s="39"/>
      <c r="S270" s="39"/>
      <c r="T270" s="39"/>
      <c r="U270" s="39"/>
      <c r="V270" s="39"/>
      <c r="W270" s="3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35" t="s">
        <v>21</v>
      </c>
      <c r="B271" s="35" t="s">
        <v>32</v>
      </c>
      <c r="C271" s="35" t="s">
        <v>38</v>
      </c>
      <c r="D271" s="35" t="s">
        <v>43</v>
      </c>
      <c r="E271" s="35" t="s">
        <v>25</v>
      </c>
      <c r="F271" s="35" t="s">
        <v>25</v>
      </c>
      <c r="G271" s="35" t="s">
        <v>25</v>
      </c>
      <c r="H271" s="35" t="s">
        <v>39</v>
      </c>
      <c r="I271" s="54">
        <v>44743</v>
      </c>
      <c r="J271" s="55">
        <f>EFEITO!$J$271*EFEITO!$Y$271</f>
        <v>0</v>
      </c>
      <c r="K271" s="55">
        <f ca="1">EFEITO!$L$271*EFEITO!$Z$271</f>
        <v>179.42149106276582</v>
      </c>
      <c r="L271" s="55">
        <f>EFEITO!$N$271*EFEITO!$AA$271</f>
        <v>53.751988834504168</v>
      </c>
      <c r="M271" s="55">
        <f>$J$271-EFEITO!$K$271*EFEITO!$Y$271</f>
        <v>0</v>
      </c>
      <c r="N271" s="55">
        <f ca="1">$K$271-EFEITO!$M$271*EFEITO!$Z$271</f>
        <v>0</v>
      </c>
      <c r="O271" s="55">
        <f>$L$271-EFEITO!$O$271*EFEITO!$AA$271</f>
        <v>0</v>
      </c>
      <c r="P271" s="39"/>
      <c r="Q271" s="39"/>
      <c r="R271" s="39"/>
      <c r="S271" s="39"/>
      <c r="T271" s="39"/>
      <c r="U271" s="39"/>
      <c r="V271" s="39"/>
      <c r="W271" s="3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35" t="s">
        <v>21</v>
      </c>
      <c r="B272" s="35" t="s">
        <v>32</v>
      </c>
      <c r="C272" s="35" t="s">
        <v>38</v>
      </c>
      <c r="D272" s="35" t="s">
        <v>43</v>
      </c>
      <c r="E272" s="35" t="s">
        <v>25</v>
      </c>
      <c r="F272" s="35" t="s">
        <v>25</v>
      </c>
      <c r="G272" s="35" t="s">
        <v>25</v>
      </c>
      <c r="H272" s="35" t="s">
        <v>36</v>
      </c>
      <c r="I272" s="54">
        <v>44409</v>
      </c>
      <c r="J272" s="55">
        <f>EFEITO!$J$272*EFEITO!$Y$272</f>
        <v>0</v>
      </c>
      <c r="K272" s="55">
        <f ca="1">EFEITO!$L$272*EFEITO!$Z$272</f>
        <v>545.39379503873977</v>
      </c>
      <c r="L272" s="55">
        <f>EFEITO!$N$272*EFEITO!$AA$272</f>
        <v>179.41206894007789</v>
      </c>
      <c r="M272" s="55">
        <f>$J$272-EFEITO!$K$272*EFEITO!$Y$272</f>
        <v>0</v>
      </c>
      <c r="N272" s="55">
        <f ca="1">$K$272-EFEITO!$M$272*EFEITO!$Z$272</f>
        <v>0</v>
      </c>
      <c r="O272" s="55">
        <f>$L$272-EFEITO!$O$272*EFEITO!$AA$272</f>
        <v>0</v>
      </c>
      <c r="P272" s="39"/>
      <c r="Q272" s="39"/>
      <c r="R272" s="39"/>
      <c r="S272" s="39"/>
      <c r="T272" s="39"/>
      <c r="U272" s="39"/>
      <c r="V272" s="39"/>
      <c r="W272" s="3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35" t="s">
        <v>21</v>
      </c>
      <c r="B273" s="35" t="s">
        <v>32</v>
      </c>
      <c r="C273" s="35" t="s">
        <v>38</v>
      </c>
      <c r="D273" s="35" t="s">
        <v>43</v>
      </c>
      <c r="E273" s="35" t="s">
        <v>25</v>
      </c>
      <c r="F273" s="35" t="s">
        <v>25</v>
      </c>
      <c r="G273" s="35" t="s">
        <v>25</v>
      </c>
      <c r="H273" s="35" t="s">
        <v>36</v>
      </c>
      <c r="I273" s="54">
        <v>44440</v>
      </c>
      <c r="J273" s="55">
        <f>EFEITO!$J$273*EFEITO!$Y$273</f>
        <v>0</v>
      </c>
      <c r="K273" s="55">
        <f ca="1">EFEITO!$L$273*EFEITO!$Z$273</f>
        <v>546.82152748648525</v>
      </c>
      <c r="L273" s="55">
        <f>EFEITO!$N$273*EFEITO!$AA$273</f>
        <v>179.88173404201527</v>
      </c>
      <c r="M273" s="55">
        <f>$J$273-EFEITO!$K$273*EFEITO!$Y$273</f>
        <v>0</v>
      </c>
      <c r="N273" s="55">
        <f ca="1">$K$273-EFEITO!$M$273*EFEITO!$Z$273</f>
        <v>0</v>
      </c>
      <c r="O273" s="55">
        <f>$L$273-EFEITO!$O$273*EFEITO!$AA$273</f>
        <v>0</v>
      </c>
      <c r="P273" s="39"/>
      <c r="Q273" s="39"/>
      <c r="R273" s="39"/>
      <c r="S273" s="39"/>
      <c r="T273" s="39"/>
      <c r="U273" s="39"/>
      <c r="V273" s="39"/>
      <c r="W273" s="39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35" t="s">
        <v>21</v>
      </c>
      <c r="B274" s="35" t="s">
        <v>32</v>
      </c>
      <c r="C274" s="35" t="s">
        <v>38</v>
      </c>
      <c r="D274" s="35" t="s">
        <v>43</v>
      </c>
      <c r="E274" s="35" t="s">
        <v>25</v>
      </c>
      <c r="F274" s="35" t="s">
        <v>25</v>
      </c>
      <c r="G274" s="35" t="s">
        <v>25</v>
      </c>
      <c r="H274" s="35" t="s">
        <v>36</v>
      </c>
      <c r="I274" s="54">
        <v>44470</v>
      </c>
      <c r="J274" s="55">
        <f>EFEITO!$J$274*EFEITO!$Y$274</f>
        <v>0</v>
      </c>
      <c r="K274" s="55">
        <f ca="1">EFEITO!$L$274*EFEITO!$Z$274</f>
        <v>484.00129978568799</v>
      </c>
      <c r="L274" s="55">
        <f>EFEITO!$N$274*EFEITO!$AA$274</f>
        <v>159.2164695567707</v>
      </c>
      <c r="M274" s="55">
        <f>$J$274-EFEITO!$K$274*EFEITO!$Y$274</f>
        <v>0</v>
      </c>
      <c r="N274" s="55">
        <f ca="1">$K$274-EFEITO!$M$274*EFEITO!$Z$274</f>
        <v>0</v>
      </c>
      <c r="O274" s="55">
        <f>$L$274-EFEITO!$O$274*EFEITO!$AA$274</f>
        <v>0</v>
      </c>
      <c r="P274" s="39"/>
      <c r="Q274" s="39"/>
      <c r="R274" s="39"/>
      <c r="S274" s="39"/>
      <c r="T274" s="39"/>
      <c r="U274" s="39"/>
      <c r="V274" s="39"/>
      <c r="W274" s="39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35" t="s">
        <v>21</v>
      </c>
      <c r="B275" s="35" t="s">
        <v>32</v>
      </c>
      <c r="C275" s="35" t="s">
        <v>38</v>
      </c>
      <c r="D275" s="35" t="s">
        <v>43</v>
      </c>
      <c r="E275" s="35" t="s">
        <v>25</v>
      </c>
      <c r="F275" s="35" t="s">
        <v>25</v>
      </c>
      <c r="G275" s="35" t="s">
        <v>25</v>
      </c>
      <c r="H275" s="35" t="s">
        <v>36</v>
      </c>
      <c r="I275" s="54">
        <v>44501</v>
      </c>
      <c r="J275" s="55">
        <f>EFEITO!$J$275*EFEITO!$Y$275</f>
        <v>0</v>
      </c>
      <c r="K275" s="55">
        <f ca="1">EFEITO!$L$275*EFEITO!$Z$275</f>
        <v>481.14583489019719</v>
      </c>
      <c r="L275" s="55">
        <f>EFEITO!$N$275*EFEITO!$AA$275</f>
        <v>158.27713935289594</v>
      </c>
      <c r="M275" s="55">
        <f>$J$275-EFEITO!$K$275*EFEITO!$Y$275</f>
        <v>0</v>
      </c>
      <c r="N275" s="55">
        <f ca="1">$K$275-EFEITO!$M$275*EFEITO!$Z$275</f>
        <v>0</v>
      </c>
      <c r="O275" s="55">
        <f>$L$275-EFEITO!$O$275*EFEITO!$AA$275</f>
        <v>0</v>
      </c>
      <c r="P275" s="39"/>
      <c r="Q275" s="39"/>
      <c r="R275" s="39"/>
      <c r="S275" s="39"/>
      <c r="T275" s="39"/>
      <c r="U275" s="39"/>
      <c r="V275" s="39"/>
      <c r="W275" s="39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35" t="s">
        <v>21</v>
      </c>
      <c r="B276" s="35" t="s">
        <v>32</v>
      </c>
      <c r="C276" s="35" t="s">
        <v>38</v>
      </c>
      <c r="D276" s="35" t="s">
        <v>43</v>
      </c>
      <c r="E276" s="35" t="s">
        <v>25</v>
      </c>
      <c r="F276" s="35" t="s">
        <v>25</v>
      </c>
      <c r="G276" s="35" t="s">
        <v>25</v>
      </c>
      <c r="H276" s="35" t="s">
        <v>36</v>
      </c>
      <c r="I276" s="54">
        <v>44531</v>
      </c>
      <c r="J276" s="55">
        <f>EFEITO!$J$276*EFEITO!$Y$276</f>
        <v>0</v>
      </c>
      <c r="K276" s="55">
        <f ca="1">EFEITO!$L$276*EFEITO!$Z$276</f>
        <v>468.29624286048863</v>
      </c>
      <c r="L276" s="55">
        <f>EFEITO!$N$276*EFEITO!$AA$276</f>
        <v>154.05015343545955</v>
      </c>
      <c r="M276" s="55">
        <f>$J$276-EFEITO!$K$276*EFEITO!$Y$276</f>
        <v>0</v>
      </c>
      <c r="N276" s="55">
        <f ca="1">$K$276-EFEITO!$M$276*EFEITO!$Z$276</f>
        <v>0</v>
      </c>
      <c r="O276" s="55">
        <f>$L$276-EFEITO!$O$276*EFEITO!$AA$276</f>
        <v>0</v>
      </c>
      <c r="P276" s="39"/>
      <c r="Q276" s="39"/>
      <c r="R276" s="39"/>
      <c r="S276" s="39"/>
      <c r="T276" s="39"/>
      <c r="U276" s="39"/>
      <c r="V276" s="39"/>
      <c r="W276" s="39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35" t="s">
        <v>21</v>
      </c>
      <c r="B277" s="35" t="s">
        <v>32</v>
      </c>
      <c r="C277" s="35" t="s">
        <v>38</v>
      </c>
      <c r="D277" s="35" t="s">
        <v>43</v>
      </c>
      <c r="E277" s="35" t="s">
        <v>25</v>
      </c>
      <c r="F277" s="35" t="s">
        <v>25</v>
      </c>
      <c r="G277" s="35" t="s">
        <v>25</v>
      </c>
      <c r="H277" s="35" t="s">
        <v>36</v>
      </c>
      <c r="I277" s="54">
        <v>44562</v>
      </c>
      <c r="J277" s="55">
        <f>EFEITO!$J$277*EFEITO!$Y$277</f>
        <v>0</v>
      </c>
      <c r="K277" s="55">
        <f ca="1">EFEITO!$L$277*EFEITO!$Z$277</f>
        <v>521.12234342706813</v>
      </c>
      <c r="L277" s="55">
        <f>EFEITO!$N$277*EFEITO!$AA$277</f>
        <v>171.42776220714248</v>
      </c>
      <c r="M277" s="55">
        <f>$J$277-EFEITO!$K$277*EFEITO!$Y$277</f>
        <v>0</v>
      </c>
      <c r="N277" s="55">
        <f ca="1">$K$277-EFEITO!$M$277*EFEITO!$Z$277</f>
        <v>0</v>
      </c>
      <c r="O277" s="55">
        <f>$L$277-EFEITO!$O$277*EFEITO!$AA$277</f>
        <v>0</v>
      </c>
      <c r="P277" s="39"/>
      <c r="Q277" s="39"/>
      <c r="R277" s="39"/>
      <c r="S277" s="39"/>
      <c r="T277" s="39"/>
      <c r="U277" s="39"/>
      <c r="V277" s="39"/>
      <c r="W277" s="39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35" t="s">
        <v>21</v>
      </c>
      <c r="B278" s="35" t="s">
        <v>32</v>
      </c>
      <c r="C278" s="35" t="s">
        <v>38</v>
      </c>
      <c r="D278" s="35" t="s">
        <v>43</v>
      </c>
      <c r="E278" s="35" t="s">
        <v>25</v>
      </c>
      <c r="F278" s="35" t="s">
        <v>25</v>
      </c>
      <c r="G278" s="35" t="s">
        <v>25</v>
      </c>
      <c r="H278" s="35" t="s">
        <v>36</v>
      </c>
      <c r="I278" s="54">
        <v>44593</v>
      </c>
      <c r="J278" s="55">
        <f>EFEITO!$J$278*EFEITO!$Y$278</f>
        <v>0</v>
      </c>
      <c r="K278" s="55">
        <f ca="1">EFEITO!$L$278*EFEITO!$Z$278</f>
        <v>693.87796960426056</v>
      </c>
      <c r="L278" s="55">
        <f>EFEITO!$N$278*EFEITO!$AA$278</f>
        <v>228.25723954156507</v>
      </c>
      <c r="M278" s="55">
        <f>$J$278-EFEITO!$K$278*EFEITO!$Y$278</f>
        <v>0</v>
      </c>
      <c r="N278" s="55">
        <f ca="1">$K$278-EFEITO!$M$278*EFEITO!$Z$278</f>
        <v>0</v>
      </c>
      <c r="O278" s="55">
        <f>$L$278-EFEITO!$O$278*EFEITO!$AA$278</f>
        <v>0</v>
      </c>
      <c r="P278" s="39"/>
      <c r="Q278" s="39"/>
      <c r="R278" s="39"/>
      <c r="S278" s="39"/>
      <c r="T278" s="39"/>
      <c r="U278" s="39"/>
      <c r="V278" s="39"/>
      <c r="W278" s="39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35" t="s">
        <v>21</v>
      </c>
      <c r="B279" s="35" t="s">
        <v>32</v>
      </c>
      <c r="C279" s="35" t="s">
        <v>38</v>
      </c>
      <c r="D279" s="35" t="s">
        <v>43</v>
      </c>
      <c r="E279" s="35" t="s">
        <v>25</v>
      </c>
      <c r="F279" s="35" t="s">
        <v>25</v>
      </c>
      <c r="G279" s="35" t="s">
        <v>25</v>
      </c>
      <c r="H279" s="35" t="s">
        <v>36</v>
      </c>
      <c r="I279" s="54">
        <v>44621</v>
      </c>
      <c r="J279" s="55">
        <f>EFEITO!$J$279*EFEITO!$Y$279</f>
        <v>0</v>
      </c>
      <c r="K279" s="55">
        <f ca="1">EFEITO!$L$279*EFEITO!$Z$279</f>
        <v>502.56182160637803</v>
      </c>
      <c r="L279" s="55">
        <f>EFEITO!$N$279*EFEITO!$AA$279</f>
        <v>165.32211588195659</v>
      </c>
      <c r="M279" s="55">
        <f>$J$279-EFEITO!$K$279*EFEITO!$Y$279</f>
        <v>0</v>
      </c>
      <c r="N279" s="55">
        <f ca="1">$K$279-EFEITO!$M$279*EFEITO!$Z$279</f>
        <v>0</v>
      </c>
      <c r="O279" s="55">
        <f>$L$279-EFEITO!$O$279*EFEITO!$AA$279</f>
        <v>0</v>
      </c>
      <c r="P279" s="39"/>
      <c r="Q279" s="39"/>
      <c r="R279" s="39"/>
      <c r="S279" s="39"/>
      <c r="T279" s="39"/>
      <c r="U279" s="39"/>
      <c r="V279" s="39"/>
      <c r="W279" s="39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35" t="s">
        <v>21</v>
      </c>
      <c r="B280" s="35" t="s">
        <v>32</v>
      </c>
      <c r="C280" s="35" t="s">
        <v>38</v>
      </c>
      <c r="D280" s="35" t="s">
        <v>43</v>
      </c>
      <c r="E280" s="35" t="s">
        <v>25</v>
      </c>
      <c r="F280" s="35" t="s">
        <v>25</v>
      </c>
      <c r="G280" s="35" t="s">
        <v>25</v>
      </c>
      <c r="H280" s="35" t="s">
        <v>36</v>
      </c>
      <c r="I280" s="54">
        <v>44652</v>
      </c>
      <c r="J280" s="55">
        <f>EFEITO!$J$280*EFEITO!$Y$280</f>
        <v>0</v>
      </c>
      <c r="K280" s="55">
        <f ca="1">EFEITO!$L$280*EFEITO!$Z$280</f>
        <v>603.93082539630086</v>
      </c>
      <c r="L280" s="55">
        <f>EFEITO!$N$280*EFEITO!$AA$280</f>
        <v>198.66833811951034</v>
      </c>
      <c r="M280" s="55">
        <f>$J$280-EFEITO!$K$280*EFEITO!$Y$280</f>
        <v>0</v>
      </c>
      <c r="N280" s="55">
        <f ca="1">$K$280-EFEITO!$M$280*EFEITO!$Z$280</f>
        <v>0</v>
      </c>
      <c r="O280" s="55">
        <f>$L$280-EFEITO!$O$280*EFEITO!$AA$280</f>
        <v>0</v>
      </c>
      <c r="P280" s="39"/>
      <c r="Q280" s="39"/>
      <c r="R280" s="39"/>
      <c r="S280" s="39"/>
      <c r="T280" s="39"/>
      <c r="U280" s="39"/>
      <c r="V280" s="39"/>
      <c r="W280" s="39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35" t="s">
        <v>21</v>
      </c>
      <c r="B281" s="35" t="s">
        <v>32</v>
      </c>
      <c r="C281" s="35" t="s">
        <v>38</v>
      </c>
      <c r="D281" s="35" t="s">
        <v>43</v>
      </c>
      <c r="E281" s="35" t="s">
        <v>25</v>
      </c>
      <c r="F281" s="35" t="s">
        <v>25</v>
      </c>
      <c r="G281" s="35" t="s">
        <v>25</v>
      </c>
      <c r="H281" s="35" t="s">
        <v>36</v>
      </c>
      <c r="I281" s="54">
        <v>44682</v>
      </c>
      <c r="J281" s="55">
        <f>EFEITO!$J$281*EFEITO!$Y$281</f>
        <v>0</v>
      </c>
      <c r="K281" s="55">
        <f ca="1">EFEITO!$L$281*EFEITO!$Z$281</f>
        <v>426.89200187587227</v>
      </c>
      <c r="L281" s="55">
        <f>EFEITO!$N$281*EFEITO!$AA$281</f>
        <v>140.42986547927563</v>
      </c>
      <c r="M281" s="55">
        <f>$J$281-EFEITO!$K$281*EFEITO!$Y$281</f>
        <v>0</v>
      </c>
      <c r="N281" s="55">
        <f ca="1">$K$281-EFEITO!$M$281*EFEITO!$Z$281</f>
        <v>0</v>
      </c>
      <c r="O281" s="55">
        <f>$L$281-EFEITO!$O$281*EFEITO!$AA$281</f>
        <v>0</v>
      </c>
      <c r="P281" s="39"/>
      <c r="Q281" s="39"/>
      <c r="R281" s="39"/>
      <c r="S281" s="39"/>
      <c r="T281" s="39"/>
      <c r="U281" s="39"/>
      <c r="V281" s="39"/>
      <c r="W281" s="39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35" t="s">
        <v>21</v>
      </c>
      <c r="B282" s="35" t="s">
        <v>32</v>
      </c>
      <c r="C282" s="35" t="s">
        <v>38</v>
      </c>
      <c r="D282" s="35" t="s">
        <v>43</v>
      </c>
      <c r="E282" s="35" t="s">
        <v>25</v>
      </c>
      <c r="F282" s="35" t="s">
        <v>25</v>
      </c>
      <c r="G282" s="35" t="s">
        <v>25</v>
      </c>
      <c r="H282" s="35" t="s">
        <v>36</v>
      </c>
      <c r="I282" s="54">
        <v>44713</v>
      </c>
      <c r="J282" s="55">
        <f>EFEITO!$J$282*EFEITO!$Y$282</f>
        <v>0</v>
      </c>
      <c r="K282" s="55">
        <f ca="1">EFEITO!$L$282*EFEITO!$Z$282</f>
        <v>421.18107208489067</v>
      </c>
      <c r="L282" s="55">
        <f>EFEITO!$N$282*EFEITO!$AA$282</f>
        <v>138.55120507152611</v>
      </c>
      <c r="M282" s="55">
        <f>$J$282-EFEITO!$K$282*EFEITO!$Y$282</f>
        <v>0</v>
      </c>
      <c r="N282" s="55">
        <f ca="1">$K$282-EFEITO!$M$282*EFEITO!$Z$282</f>
        <v>0</v>
      </c>
      <c r="O282" s="55">
        <f>$L$282-EFEITO!$O$282*EFEITO!$AA$282</f>
        <v>0</v>
      </c>
      <c r="P282" s="39"/>
      <c r="Q282" s="39"/>
      <c r="R282" s="39"/>
      <c r="S282" s="39"/>
      <c r="T282" s="39"/>
      <c r="U282" s="39"/>
      <c r="V282" s="39"/>
      <c r="W282" s="39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35" t="s">
        <v>21</v>
      </c>
      <c r="B283" s="35" t="s">
        <v>32</v>
      </c>
      <c r="C283" s="35" t="s">
        <v>38</v>
      </c>
      <c r="D283" s="35" t="s">
        <v>43</v>
      </c>
      <c r="E283" s="35" t="s">
        <v>25</v>
      </c>
      <c r="F283" s="35" t="s">
        <v>25</v>
      </c>
      <c r="G283" s="35" t="s">
        <v>25</v>
      </c>
      <c r="H283" s="35" t="s">
        <v>36</v>
      </c>
      <c r="I283" s="54">
        <v>44743</v>
      </c>
      <c r="J283" s="55">
        <f>EFEITO!$J$283*EFEITO!$Y$283</f>
        <v>0</v>
      </c>
      <c r="K283" s="55">
        <f ca="1">EFEITO!$L$283*EFEITO!$Z$283</f>
        <v>436.88612901008997</v>
      </c>
      <c r="L283" s="55">
        <f>EFEITO!$N$283*EFEITO!$AA$283</f>
        <v>143.71752119283727</v>
      </c>
      <c r="M283" s="55">
        <f>$J$283-EFEITO!$K$283*EFEITO!$Y$283</f>
        <v>0</v>
      </c>
      <c r="N283" s="55">
        <f ca="1">$K$283-EFEITO!$M$283*EFEITO!$Z$283</f>
        <v>0</v>
      </c>
      <c r="O283" s="55">
        <f>$L$283-EFEITO!$O$283*EFEITO!$AA$283</f>
        <v>0</v>
      </c>
      <c r="P283" s="39"/>
      <c r="Q283" s="39"/>
      <c r="R283" s="39"/>
      <c r="S283" s="39"/>
      <c r="T283" s="39"/>
      <c r="U283" s="39"/>
      <c r="V283" s="39"/>
      <c r="W283" s="39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35" t="s">
        <v>21</v>
      </c>
      <c r="B284" s="35" t="s">
        <v>32</v>
      </c>
      <c r="C284" s="35" t="s">
        <v>23</v>
      </c>
      <c r="D284" s="35" t="s">
        <v>40</v>
      </c>
      <c r="E284" s="35" t="s">
        <v>25</v>
      </c>
      <c r="F284" s="35" t="s">
        <v>25</v>
      </c>
      <c r="G284" s="35" t="s">
        <v>25</v>
      </c>
      <c r="H284" s="35" t="s">
        <v>25</v>
      </c>
      <c r="I284" s="54">
        <v>44409</v>
      </c>
      <c r="J284" s="55">
        <f>EFEITO!$J$284*EFEITO!$Y$284</f>
        <v>0</v>
      </c>
      <c r="K284" s="55">
        <f ca="1">EFEITO!$L$284*EFEITO!$Z$284</f>
        <v>104210.42426947056</v>
      </c>
      <c r="L284" s="55">
        <f>EFEITO!$N$284*EFEITO!$AA$284</f>
        <v>61399.709601415394</v>
      </c>
      <c r="M284" s="55">
        <f>$J$284-EFEITO!$K$284*EFEITO!$Y$284</f>
        <v>0</v>
      </c>
      <c r="N284" s="55">
        <f ca="1">$K$284-EFEITO!$M$284*EFEITO!$Z$284</f>
        <v>0</v>
      </c>
      <c r="O284" s="55">
        <f>$L$284-EFEITO!$O$284*EFEITO!$AA$284</f>
        <v>0</v>
      </c>
      <c r="P284" s="39"/>
      <c r="Q284" s="39"/>
      <c r="R284" s="39"/>
      <c r="S284" s="39"/>
      <c r="T284" s="39"/>
      <c r="U284" s="39"/>
      <c r="V284" s="39"/>
      <c r="W284" s="39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35" t="s">
        <v>27</v>
      </c>
      <c r="B285" s="35" t="s">
        <v>32</v>
      </c>
      <c r="C285" s="35" t="s">
        <v>23</v>
      </c>
      <c r="D285" s="35" t="s">
        <v>40</v>
      </c>
      <c r="E285" s="35" t="s">
        <v>25</v>
      </c>
      <c r="F285" s="35" t="s">
        <v>25</v>
      </c>
      <c r="G285" s="35" t="s">
        <v>25</v>
      </c>
      <c r="H285" s="35" t="s">
        <v>25</v>
      </c>
      <c r="I285" s="54">
        <v>44409</v>
      </c>
      <c r="J285" s="55">
        <f>EFEITO!$J$285*EFEITO!$Y$285</f>
        <v>0</v>
      </c>
      <c r="K285" s="55">
        <f ca="1">EFEITO!$L$285*EFEITO!$Z$285</f>
        <v>994.58412749079491</v>
      </c>
      <c r="L285" s="55">
        <f>EFEITO!$N$285*EFEITO!$AA$285</f>
        <v>585.99873314211357</v>
      </c>
      <c r="M285" s="55">
        <f>$J$285-EFEITO!$K$285*EFEITO!$Y$285</f>
        <v>0</v>
      </c>
      <c r="N285" s="55">
        <f ca="1">$K$285-EFEITO!$M$285*EFEITO!$Z$285</f>
        <v>0</v>
      </c>
      <c r="O285" s="55">
        <f>$L$285-EFEITO!$O$285*EFEITO!$AA$285</f>
        <v>0</v>
      </c>
      <c r="P285" s="39"/>
      <c r="Q285" s="39"/>
      <c r="R285" s="39"/>
      <c r="S285" s="39"/>
      <c r="T285" s="39"/>
      <c r="U285" s="39"/>
      <c r="V285" s="39"/>
      <c r="W285" s="39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35" t="s">
        <v>21</v>
      </c>
      <c r="B286" s="35" t="s">
        <v>32</v>
      </c>
      <c r="C286" s="35" t="s">
        <v>23</v>
      </c>
      <c r="D286" s="35" t="s">
        <v>40</v>
      </c>
      <c r="E286" s="35" t="s">
        <v>25</v>
      </c>
      <c r="F286" s="35" t="s">
        <v>25</v>
      </c>
      <c r="G286" s="35" t="s">
        <v>25</v>
      </c>
      <c r="H286" s="35" t="s">
        <v>25</v>
      </c>
      <c r="I286" s="54">
        <v>44440</v>
      </c>
      <c r="J286" s="55">
        <f>EFEITO!$J$286*EFEITO!$Y$286</f>
        <v>0</v>
      </c>
      <c r="K286" s="55">
        <f ca="1">EFEITO!$L$286*EFEITO!$Z$286</f>
        <v>99984.058103519346</v>
      </c>
      <c r="L286" s="55">
        <f>EFEITO!$N$286*EFEITO!$AA$286</f>
        <v>58909.578147889835</v>
      </c>
      <c r="M286" s="55">
        <f>$J$286-EFEITO!$K$286*EFEITO!$Y$286</f>
        <v>0</v>
      </c>
      <c r="N286" s="55">
        <f ca="1">$K$286-EFEITO!$M$286*EFEITO!$Z$286</f>
        <v>0</v>
      </c>
      <c r="O286" s="55">
        <f>$L$286-EFEITO!$O$286*EFEITO!$AA$286</f>
        <v>0</v>
      </c>
      <c r="P286" s="39"/>
      <c r="Q286" s="39"/>
      <c r="R286" s="39"/>
      <c r="S286" s="39"/>
      <c r="T286" s="39"/>
      <c r="U286" s="39"/>
      <c r="V286" s="39"/>
      <c r="W286" s="39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35" t="s">
        <v>27</v>
      </c>
      <c r="B287" s="35" t="s">
        <v>32</v>
      </c>
      <c r="C287" s="35" t="s">
        <v>23</v>
      </c>
      <c r="D287" s="35" t="s">
        <v>40</v>
      </c>
      <c r="E287" s="35" t="s">
        <v>25</v>
      </c>
      <c r="F287" s="35" t="s">
        <v>25</v>
      </c>
      <c r="G287" s="35" t="s">
        <v>25</v>
      </c>
      <c r="H287" s="35" t="s">
        <v>25</v>
      </c>
      <c r="I287" s="54">
        <v>44440</v>
      </c>
      <c r="J287" s="55">
        <f>EFEITO!$J$287*EFEITO!$Y$287</f>
        <v>0</v>
      </c>
      <c r="K287" s="55">
        <f ca="1">EFEITO!$L$287*EFEITO!$Z$287</f>
        <v>1036.9907883555488</v>
      </c>
      <c r="L287" s="55">
        <f>EFEITO!$N$287*EFEITO!$AA$287</f>
        <v>610.98430133756324</v>
      </c>
      <c r="M287" s="55">
        <f>$J$287-EFEITO!$K$287*EFEITO!$Y$287</f>
        <v>0</v>
      </c>
      <c r="N287" s="55">
        <f ca="1">$K$287-EFEITO!$M$287*EFEITO!$Z$287</f>
        <v>0</v>
      </c>
      <c r="O287" s="55">
        <f>$L$287-EFEITO!$O$287*EFEITO!$AA$287</f>
        <v>0</v>
      </c>
      <c r="P287" s="39"/>
      <c r="Q287" s="39"/>
      <c r="R287" s="39"/>
      <c r="S287" s="39"/>
      <c r="T287" s="39"/>
      <c r="U287" s="39"/>
      <c r="V287" s="39"/>
      <c r="W287" s="39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35" t="s">
        <v>21</v>
      </c>
      <c r="B288" s="35" t="s">
        <v>32</v>
      </c>
      <c r="C288" s="35" t="s">
        <v>23</v>
      </c>
      <c r="D288" s="35" t="s">
        <v>40</v>
      </c>
      <c r="E288" s="35" t="s">
        <v>25</v>
      </c>
      <c r="F288" s="35" t="s">
        <v>25</v>
      </c>
      <c r="G288" s="35" t="s">
        <v>25</v>
      </c>
      <c r="H288" s="35" t="s">
        <v>25</v>
      </c>
      <c r="I288" s="54">
        <v>44470</v>
      </c>
      <c r="J288" s="55">
        <f>EFEITO!$J$288*EFEITO!$Y$288</f>
        <v>0</v>
      </c>
      <c r="K288" s="55">
        <f ca="1">EFEITO!$L$288*EFEITO!$Z$288</f>
        <v>119578.89402728196</v>
      </c>
      <c r="L288" s="55">
        <f>EFEITO!$N$288*EFEITO!$AA$288</f>
        <v>70454.653833363962</v>
      </c>
      <c r="M288" s="55">
        <f>$J$288-EFEITO!$K$288*EFEITO!$Y$288</f>
        <v>0</v>
      </c>
      <c r="N288" s="55">
        <f ca="1">$K$288-EFEITO!$M$288*EFEITO!$Z$288</f>
        <v>0</v>
      </c>
      <c r="O288" s="55">
        <f>$L$288-EFEITO!$O$288*EFEITO!$AA$288</f>
        <v>0</v>
      </c>
      <c r="P288" s="39"/>
      <c r="Q288" s="39"/>
      <c r="R288" s="39"/>
      <c r="S288" s="39"/>
      <c r="T288" s="39"/>
      <c r="U288" s="39"/>
      <c r="V288" s="39"/>
      <c r="W288" s="39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35" t="s">
        <v>27</v>
      </c>
      <c r="B289" s="35" t="s">
        <v>32</v>
      </c>
      <c r="C289" s="35" t="s">
        <v>23</v>
      </c>
      <c r="D289" s="35" t="s">
        <v>40</v>
      </c>
      <c r="E289" s="35" t="s">
        <v>25</v>
      </c>
      <c r="F289" s="35" t="s">
        <v>25</v>
      </c>
      <c r="G289" s="35" t="s">
        <v>25</v>
      </c>
      <c r="H289" s="35" t="s">
        <v>25</v>
      </c>
      <c r="I289" s="54">
        <v>44470</v>
      </c>
      <c r="J289" s="55">
        <f>EFEITO!$J$289*EFEITO!$Y$289</f>
        <v>0</v>
      </c>
      <c r="K289" s="55">
        <f ca="1">EFEITO!$L$289*EFEITO!$Z$289</f>
        <v>3183.4581691029116</v>
      </c>
      <c r="L289" s="55">
        <f>EFEITO!$N$289*EFEITO!$AA$289</f>
        <v>1875.660793835144</v>
      </c>
      <c r="M289" s="55">
        <f>$J$289-EFEITO!$K$289*EFEITO!$Y$289</f>
        <v>0</v>
      </c>
      <c r="N289" s="55">
        <f ca="1">$K$289-EFEITO!$M$289*EFEITO!$Z$289</f>
        <v>0</v>
      </c>
      <c r="O289" s="55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35" t="s">
        <v>21</v>
      </c>
      <c r="B290" s="35" t="s">
        <v>32</v>
      </c>
      <c r="C290" s="35" t="s">
        <v>23</v>
      </c>
      <c r="D290" s="35" t="s">
        <v>40</v>
      </c>
      <c r="E290" s="35" t="s">
        <v>25</v>
      </c>
      <c r="F290" s="35" t="s">
        <v>25</v>
      </c>
      <c r="G290" s="35" t="s">
        <v>25</v>
      </c>
      <c r="H290" s="35" t="s">
        <v>25</v>
      </c>
      <c r="I290" s="54">
        <v>44501</v>
      </c>
      <c r="J290" s="55">
        <f>EFEITO!$J$290*EFEITO!$Y$290</f>
        <v>0</v>
      </c>
      <c r="K290" s="55">
        <f ca="1">EFEITO!$L$290*EFEITO!$Z$290</f>
        <v>104014.66328850188</v>
      </c>
      <c r="L290" s="55">
        <f>EFEITO!$N$290*EFEITO!$AA$290</f>
        <v>61284.369245908492</v>
      </c>
      <c r="M290" s="55">
        <f>$J$290-EFEITO!$K$290*EFEITO!$Y$290</f>
        <v>0</v>
      </c>
      <c r="N290" s="55">
        <f ca="1">$K$290-EFEITO!$M$290*EFEITO!$Z$290</f>
        <v>0</v>
      </c>
      <c r="O290" s="55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35" t="s">
        <v>27</v>
      </c>
      <c r="B291" s="35" t="s">
        <v>32</v>
      </c>
      <c r="C291" s="35" t="s">
        <v>23</v>
      </c>
      <c r="D291" s="35" t="s">
        <v>40</v>
      </c>
      <c r="E291" s="35" t="s">
        <v>25</v>
      </c>
      <c r="F291" s="35" t="s">
        <v>25</v>
      </c>
      <c r="G291" s="35" t="s">
        <v>25</v>
      </c>
      <c r="H291" s="35" t="s">
        <v>25</v>
      </c>
      <c r="I291" s="54">
        <v>44501</v>
      </c>
      <c r="J291" s="55">
        <f>EFEITO!$J$291*EFEITO!$Y$291</f>
        <v>0</v>
      </c>
      <c r="K291" s="55">
        <f ca="1">EFEITO!$L$291*EFEITO!$Z$291</f>
        <v>607.99317263071407</v>
      </c>
      <c r="L291" s="55">
        <f>EFEITO!$N$291*EFEITO!$AA$291</f>
        <v>358.22332075568966</v>
      </c>
      <c r="M291" s="55">
        <f>$J$291-EFEITO!$K$291*EFEITO!$Y$291</f>
        <v>0</v>
      </c>
      <c r="N291" s="55">
        <f ca="1">$K$291-EFEITO!$M$291*EFEITO!$Z$291</f>
        <v>0</v>
      </c>
      <c r="O291" s="55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35" t="s">
        <v>21</v>
      </c>
      <c r="B292" s="35" t="s">
        <v>32</v>
      </c>
      <c r="C292" s="35" t="s">
        <v>23</v>
      </c>
      <c r="D292" s="35" t="s">
        <v>40</v>
      </c>
      <c r="E292" s="35" t="s">
        <v>25</v>
      </c>
      <c r="F292" s="35" t="s">
        <v>25</v>
      </c>
      <c r="G292" s="35" t="s">
        <v>25</v>
      </c>
      <c r="H292" s="35" t="s">
        <v>25</v>
      </c>
      <c r="I292" s="54">
        <v>44531</v>
      </c>
      <c r="J292" s="55">
        <f>EFEITO!$J$292*EFEITO!$Y$292</f>
        <v>0</v>
      </c>
      <c r="K292" s="55">
        <f ca="1">EFEITO!$L$292*EFEITO!$Z$292</f>
        <v>122288.97551696438</v>
      </c>
      <c r="L292" s="55">
        <f>EFEITO!$N$292*EFEITO!$AA$292</f>
        <v>72051.405958970834</v>
      </c>
      <c r="M292" s="55">
        <f>$J$292-EFEITO!$K$292*EFEITO!$Y$292</f>
        <v>0</v>
      </c>
      <c r="N292" s="55">
        <f ca="1">$K$292-EFEITO!$M$292*EFEITO!$Z$292</f>
        <v>0</v>
      </c>
      <c r="O292" s="55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35" t="s">
        <v>27</v>
      </c>
      <c r="B293" s="35" t="s">
        <v>32</v>
      </c>
      <c r="C293" s="35" t="s">
        <v>23</v>
      </c>
      <c r="D293" s="35" t="s">
        <v>40</v>
      </c>
      <c r="E293" s="35" t="s">
        <v>25</v>
      </c>
      <c r="F293" s="35" t="s">
        <v>25</v>
      </c>
      <c r="G293" s="35" t="s">
        <v>25</v>
      </c>
      <c r="H293" s="35" t="s">
        <v>25</v>
      </c>
      <c r="I293" s="54">
        <v>44531</v>
      </c>
      <c r="J293" s="55">
        <f>EFEITO!$J$293*EFEITO!$Y$293</f>
        <v>0</v>
      </c>
      <c r="K293" s="55">
        <f ca="1">EFEITO!$L$293*EFEITO!$Z$293</f>
        <v>720.91323470081409</v>
      </c>
      <c r="L293" s="55">
        <f>EFEITO!$N$293*EFEITO!$AA$293</f>
        <v>424.75465932264257</v>
      </c>
      <c r="M293" s="55">
        <f>$J$293-EFEITO!$K$293*EFEITO!$Y$293</f>
        <v>0</v>
      </c>
      <c r="N293" s="55">
        <f ca="1">$K$293-EFEITO!$M$293*EFEITO!$Z$293</f>
        <v>0</v>
      </c>
      <c r="O293" s="55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35" t="s">
        <v>21</v>
      </c>
      <c r="B294" s="35" t="s">
        <v>32</v>
      </c>
      <c r="C294" s="35" t="s">
        <v>23</v>
      </c>
      <c r="D294" s="35" t="s">
        <v>40</v>
      </c>
      <c r="E294" s="35" t="s">
        <v>25</v>
      </c>
      <c r="F294" s="35" t="s">
        <v>25</v>
      </c>
      <c r="G294" s="35" t="s">
        <v>25</v>
      </c>
      <c r="H294" s="35" t="s">
        <v>25</v>
      </c>
      <c r="I294" s="54">
        <v>44562</v>
      </c>
      <c r="J294" s="55">
        <f>EFEITO!$J$294*EFEITO!$Y$294</f>
        <v>0</v>
      </c>
      <c r="K294" s="55">
        <f ca="1">EFEITO!$L$294*EFEITO!$Z$294</f>
        <v>121965.00835198596</v>
      </c>
      <c r="L294" s="55">
        <f>EFEITO!$N$294*EFEITO!$AA$294</f>
        <v>71860.527839152099</v>
      </c>
      <c r="M294" s="55">
        <f>$J$294-EFEITO!$K$294*EFEITO!$Y$294</f>
        <v>0</v>
      </c>
      <c r="N294" s="55">
        <f ca="1">$K$294-EFEITO!$M$294*EFEITO!$Z$294</f>
        <v>0</v>
      </c>
      <c r="O294" s="55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35" t="s">
        <v>27</v>
      </c>
      <c r="B295" s="35" t="s">
        <v>32</v>
      </c>
      <c r="C295" s="35" t="s">
        <v>23</v>
      </c>
      <c r="D295" s="35" t="s">
        <v>40</v>
      </c>
      <c r="E295" s="35" t="s">
        <v>25</v>
      </c>
      <c r="F295" s="35" t="s">
        <v>25</v>
      </c>
      <c r="G295" s="35" t="s">
        <v>25</v>
      </c>
      <c r="H295" s="35" t="s">
        <v>25</v>
      </c>
      <c r="I295" s="54">
        <v>44562</v>
      </c>
      <c r="J295" s="55">
        <f>EFEITO!$J$295*EFEITO!$Y$295</f>
        <v>0</v>
      </c>
      <c r="K295" s="55">
        <f ca="1">EFEITO!$L$295*EFEITO!$Z$295</f>
        <v>724.85804036265165</v>
      </c>
      <c r="L295" s="55">
        <f>EFEITO!$N$295*EFEITO!$AA$295</f>
        <v>427.07889822454484</v>
      </c>
      <c r="M295" s="55">
        <f>$J$295-EFEITO!$K$295*EFEITO!$Y$295</f>
        <v>0</v>
      </c>
      <c r="N295" s="55">
        <f ca="1">$K$295-EFEITO!$M$295*EFEITO!$Z$295</f>
        <v>0</v>
      </c>
      <c r="O295" s="55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35" t="s">
        <v>21</v>
      </c>
      <c r="B296" s="35" t="s">
        <v>32</v>
      </c>
      <c r="C296" s="35" t="s">
        <v>23</v>
      </c>
      <c r="D296" s="35" t="s">
        <v>40</v>
      </c>
      <c r="E296" s="35" t="s">
        <v>25</v>
      </c>
      <c r="F296" s="35" t="s">
        <v>25</v>
      </c>
      <c r="G296" s="35" t="s">
        <v>25</v>
      </c>
      <c r="H296" s="35" t="s">
        <v>25</v>
      </c>
      <c r="I296" s="54">
        <v>44593</v>
      </c>
      <c r="J296" s="55">
        <f>EFEITO!$J$296*EFEITO!$Y$296</f>
        <v>0</v>
      </c>
      <c r="K296" s="55">
        <f ca="1">EFEITO!$L$296*EFEITO!$Z$296</f>
        <v>152684.19624213051</v>
      </c>
      <c r="L296" s="55">
        <f>EFEITO!$N$296*EFEITO!$AA$296</f>
        <v>89959.957227990672</v>
      </c>
      <c r="M296" s="55">
        <f>$J$296-EFEITO!$K$296*EFEITO!$Y$296</f>
        <v>0</v>
      </c>
      <c r="N296" s="55">
        <f ca="1">$K$296-EFEITO!$M$296*EFEITO!$Z$296</f>
        <v>0</v>
      </c>
      <c r="O296" s="55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35" t="s">
        <v>27</v>
      </c>
      <c r="B297" s="35" t="s">
        <v>32</v>
      </c>
      <c r="C297" s="35" t="s">
        <v>23</v>
      </c>
      <c r="D297" s="35" t="s">
        <v>40</v>
      </c>
      <c r="E297" s="35" t="s">
        <v>25</v>
      </c>
      <c r="F297" s="35" t="s">
        <v>25</v>
      </c>
      <c r="G297" s="35" t="s">
        <v>25</v>
      </c>
      <c r="H297" s="35" t="s">
        <v>25</v>
      </c>
      <c r="I297" s="54">
        <v>44593</v>
      </c>
      <c r="J297" s="55">
        <f>EFEITO!$J$297*EFEITO!$Y$297</f>
        <v>0</v>
      </c>
      <c r="K297" s="55">
        <f ca="1">EFEITO!$L$297*EFEITO!$Z$297</f>
        <v>1622.3013284306967</v>
      </c>
      <c r="L297" s="55">
        <f>EFEITO!$N$297*EFEITO!$AA$297</f>
        <v>955.8432484073146</v>
      </c>
      <c r="M297" s="55">
        <f>$J$297-EFEITO!$K$297*EFEITO!$Y$297</f>
        <v>0</v>
      </c>
      <c r="N297" s="55">
        <f ca="1">$K$297-EFEITO!$M$297*EFEITO!$Z$297</f>
        <v>0</v>
      </c>
      <c r="O297" s="55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35" t="s">
        <v>21</v>
      </c>
      <c r="B298" s="35" t="s">
        <v>32</v>
      </c>
      <c r="C298" s="35" t="s">
        <v>23</v>
      </c>
      <c r="D298" s="35" t="s">
        <v>40</v>
      </c>
      <c r="E298" s="35" t="s">
        <v>25</v>
      </c>
      <c r="F298" s="35" t="s">
        <v>25</v>
      </c>
      <c r="G298" s="35" t="s">
        <v>25</v>
      </c>
      <c r="H298" s="35" t="s">
        <v>25</v>
      </c>
      <c r="I298" s="54">
        <v>44621</v>
      </c>
      <c r="J298" s="55">
        <f>EFEITO!$J$298*EFEITO!$Y$298</f>
        <v>0</v>
      </c>
      <c r="K298" s="55">
        <f ca="1">EFEITO!$L$298*EFEITO!$Z$298</f>
        <v>136303.88383205776</v>
      </c>
      <c r="L298" s="55">
        <f>EFEITO!$N$298*EFEITO!$AA$298</f>
        <v>80308.845717704186</v>
      </c>
      <c r="M298" s="55">
        <f>$J$298-EFEITO!$K$298*EFEITO!$Y$298</f>
        <v>0</v>
      </c>
      <c r="N298" s="55">
        <f ca="1">$K$298-EFEITO!$M$298*EFEITO!$Z$298</f>
        <v>0</v>
      </c>
      <c r="O298" s="55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35" t="s">
        <v>27</v>
      </c>
      <c r="B299" s="35" t="s">
        <v>32</v>
      </c>
      <c r="C299" s="35" t="s">
        <v>23</v>
      </c>
      <c r="D299" s="35" t="s">
        <v>40</v>
      </c>
      <c r="E299" s="35" t="s">
        <v>25</v>
      </c>
      <c r="F299" s="35" t="s">
        <v>25</v>
      </c>
      <c r="G299" s="35" t="s">
        <v>25</v>
      </c>
      <c r="H299" s="35" t="s">
        <v>25</v>
      </c>
      <c r="I299" s="54">
        <v>44621</v>
      </c>
      <c r="J299" s="55">
        <f>EFEITO!$J$299*EFEITO!$Y$299</f>
        <v>0</v>
      </c>
      <c r="K299" s="55">
        <f ca="1">EFEITO!$L$299*EFEITO!$Z$299</f>
        <v>1418.6507361383326</v>
      </c>
      <c r="L299" s="55">
        <f>EFEITO!$N$299*EFEITO!$AA$299</f>
        <v>835.85441509660916</v>
      </c>
      <c r="M299" s="55">
        <f>$J$299-EFEITO!$K$299*EFEITO!$Y$299</f>
        <v>0</v>
      </c>
      <c r="N299" s="55">
        <f ca="1">$K$299-EFEITO!$M$299*EFEITO!$Z$299</f>
        <v>0</v>
      </c>
      <c r="O299" s="55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35" t="s">
        <v>21</v>
      </c>
      <c r="B300" s="35" t="s">
        <v>32</v>
      </c>
      <c r="C300" s="35" t="s">
        <v>23</v>
      </c>
      <c r="D300" s="35" t="s">
        <v>40</v>
      </c>
      <c r="E300" s="35" t="s">
        <v>25</v>
      </c>
      <c r="F300" s="35" t="s">
        <v>25</v>
      </c>
      <c r="G300" s="35" t="s">
        <v>25</v>
      </c>
      <c r="H300" s="35" t="s">
        <v>25</v>
      </c>
      <c r="I300" s="54">
        <v>44652</v>
      </c>
      <c r="J300" s="55">
        <f>EFEITO!$J$300*EFEITO!$Y$300</f>
        <v>0</v>
      </c>
      <c r="K300" s="55">
        <f ca="1">EFEITO!$L$300*EFEITO!$Z$300</f>
        <v>138792.07000326182</v>
      </c>
      <c r="L300" s="55">
        <f>EFEITO!$N$300*EFEITO!$AA$300</f>
        <v>81774.859405079042</v>
      </c>
      <c r="M300" s="55">
        <f>$J$300-EFEITO!$K$300*EFEITO!$Y$300</f>
        <v>0</v>
      </c>
      <c r="N300" s="55">
        <f ca="1">$K$300-EFEITO!$M$300*EFEITO!$Z$300</f>
        <v>0</v>
      </c>
      <c r="O300" s="55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35" t="s">
        <v>27</v>
      </c>
      <c r="B301" s="35" t="s">
        <v>32</v>
      </c>
      <c r="C301" s="35" t="s">
        <v>23</v>
      </c>
      <c r="D301" s="35" t="s">
        <v>40</v>
      </c>
      <c r="E301" s="35" t="s">
        <v>25</v>
      </c>
      <c r="F301" s="35" t="s">
        <v>25</v>
      </c>
      <c r="G301" s="35" t="s">
        <v>25</v>
      </c>
      <c r="H301" s="35" t="s">
        <v>25</v>
      </c>
      <c r="I301" s="54">
        <v>44652</v>
      </c>
      <c r="J301" s="55">
        <f>EFEITO!$J$301*EFEITO!$Y$301</f>
        <v>0</v>
      </c>
      <c r="K301" s="55">
        <f ca="1">EFEITO!$L$301*EFEITO!$Z$301</f>
        <v>3567.0905197166139</v>
      </c>
      <c r="L301" s="55">
        <f>EFEITO!$N$301*EFEITO!$AA$301</f>
        <v>2101.6930270451412</v>
      </c>
      <c r="M301" s="55">
        <f>$J$301-EFEITO!$K$301*EFEITO!$Y$301</f>
        <v>0</v>
      </c>
      <c r="N301" s="55">
        <f ca="1">$K$301-EFEITO!$M$301*EFEITO!$Z$301</f>
        <v>0</v>
      </c>
      <c r="O301" s="55">
        <f>$L$301-EFEITO!$O$301*EFEITO!$AA$301</f>
        <v>0</v>
      </c>
      <c r="P301" s="39"/>
      <c r="Q301" s="39"/>
      <c r="R301" s="39"/>
      <c r="S301" s="39"/>
      <c r="T301" s="39"/>
      <c r="U301" s="39"/>
      <c r="V301" s="39"/>
      <c r="W301" s="39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35" t="s">
        <v>21</v>
      </c>
      <c r="B302" s="35" t="s">
        <v>32</v>
      </c>
      <c r="C302" s="35" t="s">
        <v>23</v>
      </c>
      <c r="D302" s="35" t="s">
        <v>40</v>
      </c>
      <c r="E302" s="35" t="s">
        <v>25</v>
      </c>
      <c r="F302" s="35" t="s">
        <v>25</v>
      </c>
      <c r="G302" s="35" t="s">
        <v>25</v>
      </c>
      <c r="H302" s="35" t="s">
        <v>25</v>
      </c>
      <c r="I302" s="54">
        <v>44682</v>
      </c>
      <c r="J302" s="55">
        <f>EFEITO!$J$302*EFEITO!$Y$302</f>
        <v>0</v>
      </c>
      <c r="K302" s="55">
        <f ca="1">EFEITO!$L$302*EFEITO!$Z$302</f>
        <v>119644.47642141001</v>
      </c>
      <c r="L302" s="55">
        <f>EFEITO!$N$302*EFEITO!$AA$302</f>
        <v>70493.29430510808</v>
      </c>
      <c r="M302" s="55">
        <f>$J$302-EFEITO!$K$302*EFEITO!$Y$302</f>
        <v>0</v>
      </c>
      <c r="N302" s="55">
        <f ca="1">$K$302-EFEITO!$M$302*EFEITO!$Z$302</f>
        <v>0</v>
      </c>
      <c r="O302" s="55">
        <f>$L$302-EFEITO!$O$302*EFEITO!$AA$302</f>
        <v>0</v>
      </c>
      <c r="P302" s="39"/>
      <c r="Q302" s="39"/>
      <c r="R302" s="39"/>
      <c r="S302" s="39"/>
      <c r="T302" s="39"/>
      <c r="U302" s="39"/>
      <c r="V302" s="39"/>
      <c r="W302" s="39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35" t="s">
        <v>27</v>
      </c>
      <c r="B303" s="35" t="s">
        <v>32</v>
      </c>
      <c r="C303" s="35" t="s">
        <v>23</v>
      </c>
      <c r="D303" s="35" t="s">
        <v>40</v>
      </c>
      <c r="E303" s="35" t="s">
        <v>25</v>
      </c>
      <c r="F303" s="35" t="s">
        <v>25</v>
      </c>
      <c r="G303" s="35" t="s">
        <v>25</v>
      </c>
      <c r="H303" s="35" t="s">
        <v>25</v>
      </c>
      <c r="I303" s="54">
        <v>44682</v>
      </c>
      <c r="J303" s="55">
        <f>EFEITO!$J$303*EFEITO!$Y$303</f>
        <v>0</v>
      </c>
      <c r="K303" s="55">
        <f ca="1">EFEITO!$L$303*EFEITO!$Z$303</f>
        <v>2835.8221701534762</v>
      </c>
      <c r="L303" s="55">
        <f>EFEITO!$N$303*EFEITO!$AA$303</f>
        <v>1670.837240605005</v>
      </c>
      <c r="M303" s="55">
        <f>$J$303-EFEITO!$K$303*EFEITO!$Y$303</f>
        <v>0</v>
      </c>
      <c r="N303" s="55">
        <f ca="1">$K$303-EFEITO!$M$303*EFEITO!$Z$303</f>
        <v>0</v>
      </c>
      <c r="O303" s="55">
        <f>$L$303-EFEITO!$O$303*EFEITO!$AA$303</f>
        <v>0</v>
      </c>
      <c r="P303" s="39"/>
      <c r="Q303" s="39"/>
      <c r="R303" s="39"/>
      <c r="S303" s="39"/>
      <c r="T303" s="39"/>
      <c r="U303" s="39"/>
      <c r="V303" s="39"/>
      <c r="W303" s="39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35" t="s">
        <v>21</v>
      </c>
      <c r="B304" s="35" t="s">
        <v>32</v>
      </c>
      <c r="C304" s="35" t="s">
        <v>23</v>
      </c>
      <c r="D304" s="35" t="s">
        <v>40</v>
      </c>
      <c r="E304" s="35" t="s">
        <v>25</v>
      </c>
      <c r="F304" s="35" t="s">
        <v>25</v>
      </c>
      <c r="G304" s="35" t="s">
        <v>25</v>
      </c>
      <c r="H304" s="35" t="s">
        <v>25</v>
      </c>
      <c r="I304" s="54">
        <v>44713</v>
      </c>
      <c r="J304" s="55">
        <f>EFEITO!$J$304*EFEITO!$Y$304</f>
        <v>0</v>
      </c>
      <c r="K304" s="55">
        <f ca="1">EFEITO!$L$304*EFEITO!$Z$304</f>
        <v>110439.27240951206</v>
      </c>
      <c r="L304" s="55">
        <f>EFEITO!$N$304*EFEITO!$AA$304</f>
        <v>65069.6828275191</v>
      </c>
      <c r="M304" s="55">
        <f>$J$304-EFEITO!$K$304*EFEITO!$Y$304</f>
        <v>0</v>
      </c>
      <c r="N304" s="55">
        <f ca="1">$K$304-EFEITO!$M$304*EFEITO!$Z$304</f>
        <v>0</v>
      </c>
      <c r="O304" s="55">
        <f>$L$304-EFEITO!$O$304*EFEITO!$AA$304</f>
        <v>0</v>
      </c>
      <c r="P304" s="39"/>
      <c r="Q304" s="39"/>
      <c r="R304" s="39"/>
      <c r="S304" s="39"/>
      <c r="T304" s="39"/>
      <c r="U304" s="39"/>
      <c r="V304" s="39"/>
      <c r="W304" s="39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35" t="s">
        <v>27</v>
      </c>
      <c r="B305" s="35" t="s">
        <v>32</v>
      </c>
      <c r="C305" s="35" t="s">
        <v>23</v>
      </c>
      <c r="D305" s="35" t="s">
        <v>40</v>
      </c>
      <c r="E305" s="35" t="s">
        <v>25</v>
      </c>
      <c r="F305" s="35" t="s">
        <v>25</v>
      </c>
      <c r="G305" s="35" t="s">
        <v>25</v>
      </c>
      <c r="H305" s="35" t="s">
        <v>25</v>
      </c>
      <c r="I305" s="54">
        <v>44713</v>
      </c>
      <c r="J305" s="55">
        <f>EFEITO!$J$305*EFEITO!$Y$305</f>
        <v>0</v>
      </c>
      <c r="K305" s="55">
        <f ca="1">EFEITO!$L$305*EFEITO!$Z$305</f>
        <v>2211.0635734599527</v>
      </c>
      <c r="L305" s="55">
        <f>EFEITO!$N$305*EFEITO!$AA$305</f>
        <v>1302.7359045162307</v>
      </c>
      <c r="M305" s="55">
        <f>$J$305-EFEITO!$K$305*EFEITO!$Y$305</f>
        <v>0</v>
      </c>
      <c r="N305" s="55">
        <f ca="1">$K$305-EFEITO!$M$305*EFEITO!$Z$305</f>
        <v>0</v>
      </c>
      <c r="O305" s="55">
        <f>$L$305-EFEITO!$O$305*EFEITO!$AA$305</f>
        <v>0</v>
      </c>
      <c r="P305" s="39"/>
      <c r="Q305" s="39"/>
      <c r="R305" s="39"/>
      <c r="S305" s="39"/>
      <c r="T305" s="39"/>
      <c r="U305" s="39"/>
      <c r="V305" s="39"/>
      <c r="W305" s="39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35" t="s">
        <v>21</v>
      </c>
      <c r="B306" s="35" t="s">
        <v>32</v>
      </c>
      <c r="C306" s="35" t="s">
        <v>23</v>
      </c>
      <c r="D306" s="35" t="s">
        <v>40</v>
      </c>
      <c r="E306" s="35" t="s">
        <v>25</v>
      </c>
      <c r="F306" s="35" t="s">
        <v>25</v>
      </c>
      <c r="G306" s="35" t="s">
        <v>25</v>
      </c>
      <c r="H306" s="35" t="s">
        <v>25</v>
      </c>
      <c r="I306" s="54">
        <v>44743</v>
      </c>
      <c r="J306" s="55">
        <f>EFEITO!$J$306*EFEITO!$Y$306</f>
        <v>0</v>
      </c>
      <c r="K306" s="55">
        <f ca="1">EFEITO!$L$306*EFEITO!$Z$306</f>
        <v>116358.94640580706</v>
      </c>
      <c r="L306" s="55">
        <f>EFEITO!$N$306*EFEITO!$AA$306</f>
        <v>68557.493829686224</v>
      </c>
      <c r="M306" s="55">
        <f>$J$306-EFEITO!$K$306*EFEITO!$Y$306</f>
        <v>0</v>
      </c>
      <c r="N306" s="55">
        <f ca="1">$K$306-EFEITO!$M$306*EFEITO!$Z$306</f>
        <v>0</v>
      </c>
      <c r="O306" s="55">
        <f>$L$306-EFEITO!$O$306*EFEITO!$AA$306</f>
        <v>0</v>
      </c>
      <c r="P306" s="39"/>
      <c r="Q306" s="39"/>
      <c r="R306" s="39"/>
      <c r="S306" s="39"/>
      <c r="T306" s="39"/>
      <c r="U306" s="39"/>
      <c r="V306" s="39"/>
      <c r="W306" s="39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35" t="s">
        <v>27</v>
      </c>
      <c r="B307" s="35" t="s">
        <v>32</v>
      </c>
      <c r="C307" s="35" t="s">
        <v>23</v>
      </c>
      <c r="D307" s="35" t="s">
        <v>40</v>
      </c>
      <c r="E307" s="35" t="s">
        <v>25</v>
      </c>
      <c r="F307" s="35" t="s">
        <v>25</v>
      </c>
      <c r="G307" s="35" t="s">
        <v>25</v>
      </c>
      <c r="H307" s="35" t="s">
        <v>25</v>
      </c>
      <c r="I307" s="54">
        <v>44743</v>
      </c>
      <c r="J307" s="55">
        <f>EFEITO!$J$307*EFEITO!$Y$307</f>
        <v>0</v>
      </c>
      <c r="K307" s="55">
        <f ca="1">EFEITO!$L$307*EFEITO!$Z$307</f>
        <v>3790.9582410258954</v>
      </c>
      <c r="L307" s="55">
        <f>EFEITO!$N$307*EFEITO!$AA$307</f>
        <v>2233.5935847280957</v>
      </c>
      <c r="M307" s="55">
        <f>$J$307-EFEITO!$K$307*EFEITO!$Y$307</f>
        <v>0</v>
      </c>
      <c r="N307" s="55">
        <f ca="1">$K$307-EFEITO!$M$307*EFEITO!$Z$307</f>
        <v>0</v>
      </c>
      <c r="O307" s="55">
        <f>$L$307-EFEITO!$O$307*EFEITO!$AA$307</f>
        <v>0</v>
      </c>
      <c r="P307" s="39"/>
      <c r="Q307" s="39"/>
      <c r="R307" s="39"/>
      <c r="S307" s="39"/>
      <c r="T307" s="39"/>
      <c r="U307" s="39"/>
      <c r="V307" s="39"/>
      <c r="W307" s="39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35" t="s">
        <v>21</v>
      </c>
      <c r="B308" s="35" t="s">
        <v>32</v>
      </c>
      <c r="C308" s="35" t="s">
        <v>23</v>
      </c>
      <c r="D308" s="35" t="s">
        <v>49</v>
      </c>
      <c r="E308" s="35" t="s">
        <v>25</v>
      </c>
      <c r="F308" s="35" t="s">
        <v>25</v>
      </c>
      <c r="G308" s="35" t="s">
        <v>25</v>
      </c>
      <c r="H308" s="35" t="s">
        <v>25</v>
      </c>
      <c r="I308" s="54">
        <v>44409</v>
      </c>
      <c r="J308" s="55">
        <f>EFEITO!$J$308*EFEITO!$Y$308</f>
        <v>0</v>
      </c>
      <c r="K308" s="55">
        <f ca="1">EFEITO!$L$308*EFEITO!$Z$308</f>
        <v>604.04836696887651</v>
      </c>
      <c r="L308" s="55">
        <f>EFEITO!$N$308*EFEITO!$AA$308</f>
        <v>355.89908185378738</v>
      </c>
      <c r="M308" s="55">
        <f>$J$308-EFEITO!$K$308*EFEITO!$Y$308</f>
        <v>0</v>
      </c>
      <c r="N308" s="55">
        <f ca="1">$K$308-EFEITO!$M$308*EFEITO!$Z$308</f>
        <v>0</v>
      </c>
      <c r="O308" s="55">
        <f>$L$308-EFEITO!$O$308*EFEITO!$AA$308</f>
        <v>0</v>
      </c>
      <c r="P308" s="39"/>
      <c r="Q308" s="39"/>
      <c r="R308" s="39"/>
      <c r="S308" s="39"/>
      <c r="T308" s="39"/>
      <c r="U308" s="39"/>
      <c r="V308" s="39"/>
      <c r="W308" s="39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35" t="s">
        <v>21</v>
      </c>
      <c r="B309" s="35" t="s">
        <v>32</v>
      </c>
      <c r="C309" s="35" t="s">
        <v>23</v>
      </c>
      <c r="D309" s="35" t="s">
        <v>49</v>
      </c>
      <c r="E309" s="35" t="s">
        <v>25</v>
      </c>
      <c r="F309" s="35" t="s">
        <v>25</v>
      </c>
      <c r="G309" s="35" t="s">
        <v>25</v>
      </c>
      <c r="H309" s="35" t="s">
        <v>25</v>
      </c>
      <c r="I309" s="54">
        <v>44440</v>
      </c>
      <c r="J309" s="55">
        <f>EFEITO!$J$309*EFEITO!$Y$309</f>
        <v>0</v>
      </c>
      <c r="K309" s="55">
        <f ca="1">EFEITO!$L$309*EFEITO!$Z$309</f>
        <v>571.0106195509868</v>
      </c>
      <c r="L309" s="55">
        <f>EFEITO!$N$309*EFEITO!$AA$309</f>
        <v>336.43358105035571</v>
      </c>
      <c r="M309" s="55">
        <f>$J$309-EFEITO!$K$309*EFEITO!$Y$309</f>
        <v>0</v>
      </c>
      <c r="N309" s="55">
        <f ca="1">$K$309-EFEITO!$M$309*EFEITO!$Z$309</f>
        <v>0</v>
      </c>
      <c r="O309" s="55">
        <f>$L$309-EFEITO!$O$309*EFEITO!$AA$309</f>
        <v>0</v>
      </c>
      <c r="P309" s="39"/>
      <c r="Q309" s="39"/>
      <c r="R309" s="39"/>
      <c r="S309" s="39"/>
      <c r="T309" s="39"/>
      <c r="U309" s="39"/>
      <c r="V309" s="39"/>
      <c r="W309" s="39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35" t="s">
        <v>21</v>
      </c>
      <c r="B310" s="35" t="s">
        <v>32</v>
      </c>
      <c r="C310" s="35" t="s">
        <v>23</v>
      </c>
      <c r="D310" s="35" t="s">
        <v>49</v>
      </c>
      <c r="E310" s="35" t="s">
        <v>25</v>
      </c>
      <c r="F310" s="35" t="s">
        <v>25</v>
      </c>
      <c r="G310" s="35" t="s">
        <v>25</v>
      </c>
      <c r="H310" s="35" t="s">
        <v>25</v>
      </c>
      <c r="I310" s="54">
        <v>44470</v>
      </c>
      <c r="J310" s="55">
        <f>EFEITO!$J$310*EFEITO!$Y$310</f>
        <v>0</v>
      </c>
      <c r="K310" s="55">
        <f ca="1">EFEITO!$L$310*EFEITO!$Z$310</f>
        <v>641.03092004860355</v>
      </c>
      <c r="L310" s="55">
        <f>EFEITO!$N$310*EFEITO!$AA$310</f>
        <v>377.68882155912132</v>
      </c>
      <c r="M310" s="55">
        <f>$J$310-EFEITO!$K$310*EFEITO!$Y$310</f>
        <v>0</v>
      </c>
      <c r="N310" s="55">
        <f ca="1">$K$310-EFEITO!$M$310*EFEITO!$Z$310</f>
        <v>0</v>
      </c>
      <c r="O310" s="55">
        <f>$L$310-EFEITO!$O$310*EFEITO!$AA$310</f>
        <v>0</v>
      </c>
      <c r="P310" s="39"/>
      <c r="Q310" s="39"/>
      <c r="R310" s="39"/>
      <c r="S310" s="39"/>
      <c r="T310" s="39"/>
      <c r="U310" s="39"/>
      <c r="V310" s="39"/>
      <c r="W310" s="39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35" t="s">
        <v>21</v>
      </c>
      <c r="B311" s="35" t="s">
        <v>32</v>
      </c>
      <c r="C311" s="35" t="s">
        <v>23</v>
      </c>
      <c r="D311" s="35" t="s">
        <v>49</v>
      </c>
      <c r="E311" s="35" t="s">
        <v>25</v>
      </c>
      <c r="F311" s="35" t="s">
        <v>25</v>
      </c>
      <c r="G311" s="35" t="s">
        <v>25</v>
      </c>
      <c r="H311" s="35" t="s">
        <v>25</v>
      </c>
      <c r="I311" s="54">
        <v>44501</v>
      </c>
      <c r="J311" s="55">
        <f>EFEITO!$J$311*EFEITO!$Y$311</f>
        <v>0</v>
      </c>
      <c r="K311" s="55">
        <f ca="1">EFEITO!$L$311*EFEITO!$Z$311</f>
        <v>479.29388791326357</v>
      </c>
      <c r="L311" s="55">
        <f>EFEITO!$N$311*EFEITO!$AA$311</f>
        <v>282.39502658112758</v>
      </c>
      <c r="M311" s="55">
        <f>$J$311-EFEITO!$K$311*EFEITO!$Y$311</f>
        <v>0</v>
      </c>
      <c r="N311" s="55">
        <f ca="1">$K$311-EFEITO!$M$311*EFEITO!$Z$311</f>
        <v>0</v>
      </c>
      <c r="O311" s="55">
        <f>$L$311-EFEITO!$O$311*EFEITO!$AA$311</f>
        <v>0</v>
      </c>
      <c r="P311" s="39"/>
      <c r="Q311" s="39"/>
      <c r="R311" s="39"/>
      <c r="S311" s="39"/>
      <c r="T311" s="39"/>
      <c r="U311" s="39"/>
      <c r="V311" s="39"/>
      <c r="W311" s="39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35" t="s">
        <v>21</v>
      </c>
      <c r="B312" s="35" t="s">
        <v>32</v>
      </c>
      <c r="C312" s="35" t="s">
        <v>23</v>
      </c>
      <c r="D312" s="35" t="s">
        <v>49</v>
      </c>
      <c r="E312" s="35" t="s">
        <v>25</v>
      </c>
      <c r="F312" s="35" t="s">
        <v>25</v>
      </c>
      <c r="G312" s="35" t="s">
        <v>25</v>
      </c>
      <c r="H312" s="35" t="s">
        <v>25</v>
      </c>
      <c r="I312" s="54">
        <v>44531</v>
      </c>
      <c r="J312" s="55">
        <f>EFEITO!$J$312*EFEITO!$Y$312</f>
        <v>0</v>
      </c>
      <c r="K312" s="55">
        <f ca="1">EFEITO!$L$312*EFEITO!$Z$312</f>
        <v>735.21315522497537</v>
      </c>
      <c r="L312" s="55">
        <f>EFEITO!$N$312*EFEITO!$AA$312</f>
        <v>433.18002534203839</v>
      </c>
      <c r="M312" s="55">
        <f>$J$312-EFEITO!$K$312*EFEITO!$Y$312</f>
        <v>0</v>
      </c>
      <c r="N312" s="55">
        <f ca="1">$K$312-EFEITO!$M$312*EFEITO!$Z$312</f>
        <v>0</v>
      </c>
      <c r="O312" s="55">
        <f>$L$312-EFEITO!$O$312*EFEITO!$AA$312</f>
        <v>0</v>
      </c>
      <c r="P312" s="39"/>
      <c r="Q312" s="39"/>
      <c r="R312" s="39"/>
      <c r="S312" s="39"/>
      <c r="T312" s="39"/>
      <c r="U312" s="39"/>
      <c r="V312" s="39"/>
      <c r="W312" s="39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35" t="s">
        <v>21</v>
      </c>
      <c r="B313" s="35" t="s">
        <v>32</v>
      </c>
      <c r="C313" s="35" t="s">
        <v>23</v>
      </c>
      <c r="D313" s="35" t="s">
        <v>49</v>
      </c>
      <c r="E313" s="35" t="s">
        <v>25</v>
      </c>
      <c r="F313" s="35" t="s">
        <v>25</v>
      </c>
      <c r="G313" s="35" t="s">
        <v>25</v>
      </c>
      <c r="H313" s="35" t="s">
        <v>25</v>
      </c>
      <c r="I313" s="54">
        <v>44562</v>
      </c>
      <c r="J313" s="55">
        <f>EFEITO!$J$313*EFEITO!$Y$313</f>
        <v>0</v>
      </c>
      <c r="K313" s="55">
        <f ca="1">EFEITO!$L$313*EFEITO!$Z$313</f>
        <v>701.18920639162627</v>
      </c>
      <c r="L313" s="55">
        <f>EFEITO!$N$313*EFEITO!$AA$313</f>
        <v>413.13346481313113</v>
      </c>
      <c r="M313" s="55">
        <f>$J$313-EFEITO!$K$313*EFEITO!$Y$313</f>
        <v>0</v>
      </c>
      <c r="N313" s="55">
        <f ca="1">$K$313-EFEITO!$M$313*EFEITO!$Z$313</f>
        <v>0</v>
      </c>
      <c r="O313" s="55">
        <f>$L$313-EFEITO!$O$313*EFEITO!$AA$313</f>
        <v>0</v>
      </c>
      <c r="P313" s="39"/>
      <c r="Q313" s="39"/>
      <c r="R313" s="39"/>
      <c r="S313" s="39"/>
      <c r="T313" s="39"/>
      <c r="U313" s="39"/>
      <c r="V313" s="39"/>
      <c r="W313" s="39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35" t="s">
        <v>21</v>
      </c>
      <c r="B314" s="35" t="s">
        <v>32</v>
      </c>
      <c r="C314" s="35" t="s">
        <v>23</v>
      </c>
      <c r="D314" s="35" t="s">
        <v>49</v>
      </c>
      <c r="E314" s="35" t="s">
        <v>25</v>
      </c>
      <c r="F314" s="35" t="s">
        <v>25</v>
      </c>
      <c r="G314" s="35" t="s">
        <v>25</v>
      </c>
      <c r="H314" s="35" t="s">
        <v>25</v>
      </c>
      <c r="I314" s="54">
        <v>44593</v>
      </c>
      <c r="J314" s="55">
        <f>EFEITO!$J$314*EFEITO!$Y$314</f>
        <v>0</v>
      </c>
      <c r="K314" s="55">
        <f ca="1">EFEITO!$L$314*EFEITO!$Z$314</f>
        <v>916.18111496177346</v>
      </c>
      <c r="L314" s="55">
        <f>EFEITO!$N$314*EFEITO!$AA$314</f>
        <v>539.80448496680572</v>
      </c>
      <c r="M314" s="55">
        <f>$J$314-EFEITO!$K$314*EFEITO!$Y$314</f>
        <v>0</v>
      </c>
      <c r="N314" s="55">
        <f ca="1">$K$314-EFEITO!$M$314*EFEITO!$Z$314</f>
        <v>0</v>
      </c>
      <c r="O314" s="55">
        <f>$L$314-EFEITO!$O$314*EFEITO!$AA$314</f>
        <v>0</v>
      </c>
      <c r="P314" s="39"/>
      <c r="Q314" s="39"/>
      <c r="R314" s="39"/>
      <c r="S314" s="39"/>
      <c r="T314" s="39"/>
      <c r="U314" s="39"/>
      <c r="V314" s="39"/>
      <c r="W314" s="39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35" t="s">
        <v>21</v>
      </c>
      <c r="B315" s="35" t="s">
        <v>32</v>
      </c>
      <c r="C315" s="35" t="s">
        <v>23</v>
      </c>
      <c r="D315" s="35" t="s">
        <v>49</v>
      </c>
      <c r="E315" s="35" t="s">
        <v>25</v>
      </c>
      <c r="F315" s="35" t="s">
        <v>25</v>
      </c>
      <c r="G315" s="35" t="s">
        <v>25</v>
      </c>
      <c r="H315" s="35" t="s">
        <v>25</v>
      </c>
      <c r="I315" s="54">
        <v>44621</v>
      </c>
      <c r="J315" s="55">
        <f>EFEITO!$J$315*EFEITO!$Y$315</f>
        <v>0</v>
      </c>
      <c r="K315" s="55">
        <f ca="1">EFEITO!$L$315*EFEITO!$Z$315</f>
        <v>851.09182154145367</v>
      </c>
      <c r="L315" s="55">
        <f>EFEITO!$N$315*EFEITO!$AA$315</f>
        <v>501.45454308541792</v>
      </c>
      <c r="M315" s="55">
        <f>$J$315-EFEITO!$K$315*EFEITO!$Y$315</f>
        <v>0</v>
      </c>
      <c r="N315" s="55">
        <f ca="1">$K$315-EFEITO!$M$315*EFEITO!$Z$315</f>
        <v>0</v>
      </c>
      <c r="O315" s="55">
        <f>$L$315-EFEITO!$O$315*EFEITO!$AA$315</f>
        <v>0</v>
      </c>
      <c r="P315" s="39"/>
      <c r="Q315" s="39"/>
      <c r="R315" s="39"/>
      <c r="S315" s="39"/>
      <c r="T315" s="39"/>
      <c r="U315" s="39"/>
      <c r="V315" s="39"/>
      <c r="W315" s="39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35" t="s">
        <v>21</v>
      </c>
      <c r="B316" s="35" t="s">
        <v>32</v>
      </c>
      <c r="C316" s="35" t="s">
        <v>23</v>
      </c>
      <c r="D316" s="35" t="s">
        <v>49</v>
      </c>
      <c r="E316" s="35" t="s">
        <v>25</v>
      </c>
      <c r="F316" s="35" t="s">
        <v>25</v>
      </c>
      <c r="G316" s="35" t="s">
        <v>25</v>
      </c>
      <c r="H316" s="35" t="s">
        <v>25</v>
      </c>
      <c r="I316" s="54">
        <v>44652</v>
      </c>
      <c r="J316" s="55">
        <f>EFEITO!$J$316*EFEITO!$Y$316</f>
        <v>0</v>
      </c>
      <c r="K316" s="55">
        <f ca="1">EFEITO!$L$316*EFEITO!$Z$316</f>
        <v>806.71275784578108</v>
      </c>
      <c r="L316" s="55">
        <f>EFEITO!$N$316*EFEITO!$AA$316</f>
        <v>475.30685543901723</v>
      </c>
      <c r="M316" s="55">
        <f>$J$316-EFEITO!$K$316*EFEITO!$Y$316</f>
        <v>0</v>
      </c>
      <c r="N316" s="55">
        <f ca="1">$K$316-EFEITO!$M$316*EFEITO!$Z$316</f>
        <v>0</v>
      </c>
      <c r="O316" s="55">
        <f>$L$316-EFEITO!$O$316*EFEITO!$AA$316</f>
        <v>0</v>
      </c>
      <c r="P316" s="39"/>
      <c r="Q316" s="39"/>
      <c r="R316" s="39"/>
      <c r="S316" s="39"/>
      <c r="T316" s="39"/>
      <c r="U316" s="39"/>
      <c r="V316" s="39"/>
      <c r="W316" s="39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35" t="s">
        <v>21</v>
      </c>
      <c r="B317" s="35" t="s">
        <v>32</v>
      </c>
      <c r="C317" s="35" t="s">
        <v>23</v>
      </c>
      <c r="D317" s="35" t="s">
        <v>49</v>
      </c>
      <c r="E317" s="35" t="s">
        <v>25</v>
      </c>
      <c r="F317" s="35" t="s">
        <v>25</v>
      </c>
      <c r="G317" s="35" t="s">
        <v>25</v>
      </c>
      <c r="H317" s="35" t="s">
        <v>25</v>
      </c>
      <c r="I317" s="54">
        <v>44682</v>
      </c>
      <c r="J317" s="55">
        <f>EFEITO!$J$317*EFEITO!$Y$317</f>
        <v>0</v>
      </c>
      <c r="K317" s="55">
        <f ca="1">EFEITO!$L$317*EFEITO!$Z$317</f>
        <v>612.43107900028122</v>
      </c>
      <c r="L317" s="55">
        <f>EFEITO!$N$317*EFEITO!$AA$317</f>
        <v>360.83808952032973</v>
      </c>
      <c r="M317" s="55">
        <f>$J$317-EFEITO!$K$317*EFEITO!$Y$317</f>
        <v>0</v>
      </c>
      <c r="N317" s="55">
        <f ca="1">$K$317-EFEITO!$M$317*EFEITO!$Z$317</f>
        <v>0</v>
      </c>
      <c r="O317" s="55">
        <f>$L$317-EFEITO!$O$317*EFEITO!$AA$317</f>
        <v>0</v>
      </c>
      <c r="P317" s="39"/>
      <c r="Q317" s="39"/>
      <c r="R317" s="39"/>
      <c r="S317" s="39"/>
      <c r="T317" s="39"/>
      <c r="U317" s="39"/>
      <c r="V317" s="39"/>
      <c r="W317" s="39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35" t="s">
        <v>21</v>
      </c>
      <c r="B318" s="35" t="s">
        <v>32</v>
      </c>
      <c r="C318" s="35" t="s">
        <v>23</v>
      </c>
      <c r="D318" s="35" t="s">
        <v>49</v>
      </c>
      <c r="E318" s="35" t="s">
        <v>25</v>
      </c>
      <c r="F318" s="35" t="s">
        <v>25</v>
      </c>
      <c r="G318" s="35" t="s">
        <v>25</v>
      </c>
      <c r="H318" s="35" t="s">
        <v>25</v>
      </c>
      <c r="I318" s="54">
        <v>44713</v>
      </c>
      <c r="J318" s="55">
        <f>EFEITO!$J$318*EFEITO!$Y$318</f>
        <v>0</v>
      </c>
      <c r="K318" s="55">
        <f ca="1">EFEITO!$L$318*EFEITO!$Z$318</f>
        <v>477.81458579007449</v>
      </c>
      <c r="L318" s="55">
        <f>EFEITO!$N$318*EFEITO!$AA$318</f>
        <v>281.52343699291424</v>
      </c>
      <c r="M318" s="55">
        <f>$J$318-EFEITO!$K$318*EFEITO!$Y$318</f>
        <v>0</v>
      </c>
      <c r="N318" s="55">
        <f ca="1">$K$318-EFEITO!$M$318*EFEITO!$Z$318</f>
        <v>0</v>
      </c>
      <c r="O318" s="55">
        <f>$L$318-EFEITO!$O$318*EFEITO!$AA$318</f>
        <v>0</v>
      </c>
      <c r="P318" s="39"/>
      <c r="Q318" s="39"/>
      <c r="R318" s="39"/>
      <c r="S318" s="39"/>
      <c r="T318" s="39"/>
      <c r="U318" s="39"/>
      <c r="V318" s="39"/>
      <c r="W318" s="39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35" t="s">
        <v>21</v>
      </c>
      <c r="B319" s="35" t="s">
        <v>32</v>
      </c>
      <c r="C319" s="35" t="s">
        <v>23</v>
      </c>
      <c r="D319" s="35" t="s">
        <v>49</v>
      </c>
      <c r="E319" s="35" t="s">
        <v>25</v>
      </c>
      <c r="F319" s="35" t="s">
        <v>25</v>
      </c>
      <c r="G319" s="35" t="s">
        <v>25</v>
      </c>
      <c r="H319" s="35" t="s">
        <v>25</v>
      </c>
      <c r="I319" s="54">
        <v>44743</v>
      </c>
      <c r="J319" s="55">
        <f>EFEITO!$J$319*EFEITO!$Y$319</f>
        <v>0</v>
      </c>
      <c r="K319" s="55">
        <f ca="1">EFEITO!$L$319*EFEITO!$Z$319</f>
        <v>471.40427658958845</v>
      </c>
      <c r="L319" s="55">
        <f>EFEITO!$N$319*EFEITO!$AA$319</f>
        <v>277.74654877732303</v>
      </c>
      <c r="M319" s="55">
        <f>$J$319-EFEITO!$K$319*EFEITO!$Y$319</f>
        <v>0</v>
      </c>
      <c r="N319" s="55">
        <f ca="1">$K$319-EFEITO!$M$319*EFEITO!$Z$319</f>
        <v>0</v>
      </c>
      <c r="O319" s="55">
        <f>$L$319-EFEITO!$O$319*EFEITO!$AA$319</f>
        <v>0</v>
      </c>
      <c r="P319" s="39"/>
      <c r="Q319" s="39"/>
      <c r="R319" s="39"/>
      <c r="S319" s="39"/>
      <c r="T319" s="39"/>
      <c r="U319" s="39"/>
      <c r="V319" s="39"/>
      <c r="W319" s="39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35" t="s">
        <v>21</v>
      </c>
      <c r="B320" s="35" t="s">
        <v>32</v>
      </c>
      <c r="C320" s="35" t="s">
        <v>23</v>
      </c>
      <c r="D320" s="35" t="s">
        <v>33</v>
      </c>
      <c r="E320" s="35" t="s">
        <v>25</v>
      </c>
      <c r="F320" s="35" t="s">
        <v>25</v>
      </c>
      <c r="G320" s="35" t="s">
        <v>25</v>
      </c>
      <c r="H320" s="35" t="s">
        <v>25</v>
      </c>
      <c r="I320" s="54">
        <v>44409</v>
      </c>
      <c r="J320" s="55">
        <f>EFEITO!$J$320*EFEITO!$Y$320</f>
        <v>0</v>
      </c>
      <c r="K320" s="55">
        <f ca="1">EFEITO!$L$320*EFEITO!$Z$320</f>
        <v>53868.293715222804</v>
      </c>
      <c r="L320" s="55">
        <f>EFEITO!$N$320*EFEITO!$AA$320</f>
        <v>31738.644324926652</v>
      </c>
      <c r="M320" s="55">
        <f>$J$320-EFEITO!$K$320*EFEITO!$Y$320</f>
        <v>0</v>
      </c>
      <c r="N320" s="55">
        <f ca="1">$K$320-EFEITO!$M$320*EFEITO!$Z$320</f>
        <v>0</v>
      </c>
      <c r="O320" s="55">
        <f>$L$320-EFEITO!$O$320*EFEITO!$AA$320</f>
        <v>0</v>
      </c>
      <c r="P320" s="39"/>
      <c r="Q320" s="39"/>
      <c r="R320" s="39"/>
      <c r="S320" s="39"/>
      <c r="T320" s="39"/>
      <c r="U320" s="39"/>
      <c r="V320" s="39"/>
      <c r="W320" s="39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35" t="s">
        <v>27</v>
      </c>
      <c r="B321" s="35" t="s">
        <v>32</v>
      </c>
      <c r="C321" s="35" t="s">
        <v>23</v>
      </c>
      <c r="D321" s="35" t="s">
        <v>33</v>
      </c>
      <c r="E321" s="35" t="s">
        <v>25</v>
      </c>
      <c r="F321" s="35" t="s">
        <v>25</v>
      </c>
      <c r="G321" s="35" t="s">
        <v>25</v>
      </c>
      <c r="H321" s="35" t="s">
        <v>25</v>
      </c>
      <c r="I321" s="54">
        <v>44409</v>
      </c>
      <c r="J321" s="55">
        <f>EFEITO!$J$321*EFEITO!$Y$321</f>
        <v>0</v>
      </c>
      <c r="K321" s="55">
        <f ca="1">EFEITO!$L$321*EFEITO!$Z$321</f>
        <v>267.75368429722442</v>
      </c>
      <c r="L321" s="55">
        <f>EFEITO!$N$321*EFEITO!$AA$321</f>
        <v>157.75771546661758</v>
      </c>
      <c r="M321" s="55">
        <f>$J$321-EFEITO!$K$321*EFEITO!$Y$321</f>
        <v>0</v>
      </c>
      <c r="N321" s="55">
        <f ca="1">$K$321-EFEITO!$M$321*EFEITO!$Z$321</f>
        <v>0</v>
      </c>
      <c r="O321" s="55">
        <f>$L$321-EFEITO!$O$321*EFEITO!$AA$321</f>
        <v>0</v>
      </c>
      <c r="P321" s="39"/>
      <c r="Q321" s="39"/>
      <c r="R321" s="39"/>
      <c r="S321" s="39"/>
      <c r="T321" s="39"/>
      <c r="U321" s="39"/>
      <c r="V321" s="39"/>
      <c r="W321" s="39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35" t="s">
        <v>21</v>
      </c>
      <c r="B322" s="35" t="s">
        <v>32</v>
      </c>
      <c r="C322" s="35" t="s">
        <v>23</v>
      </c>
      <c r="D322" s="35" t="s">
        <v>33</v>
      </c>
      <c r="E322" s="35" t="s">
        <v>25</v>
      </c>
      <c r="F322" s="35" t="s">
        <v>25</v>
      </c>
      <c r="G322" s="35" t="s">
        <v>25</v>
      </c>
      <c r="H322" s="35" t="s">
        <v>25</v>
      </c>
      <c r="I322" s="54">
        <v>44440</v>
      </c>
      <c r="J322" s="55">
        <f>EFEITO!$J$322*EFEITO!$Y$322</f>
        <v>0</v>
      </c>
      <c r="K322" s="55">
        <f ca="1">EFEITO!$L$322*EFEITO!$Z$322</f>
        <v>47426.919170149798</v>
      </c>
      <c r="L322" s="55">
        <f>EFEITO!$N$322*EFEITO!$AA$322</f>
        <v>27943.452727982956</v>
      </c>
      <c r="M322" s="55">
        <f>$J$322-EFEITO!$K$322*EFEITO!$Y$322</f>
        <v>0</v>
      </c>
      <c r="N322" s="55">
        <f ca="1">$K$322-EFEITO!$M$322*EFEITO!$Z$322</f>
        <v>0</v>
      </c>
      <c r="O322" s="55">
        <f>$L$322-EFEITO!$O$322*EFEITO!$AA$322</f>
        <v>0</v>
      </c>
      <c r="P322" s="39"/>
      <c r="Q322" s="39"/>
      <c r="R322" s="39"/>
      <c r="S322" s="39"/>
      <c r="T322" s="39"/>
      <c r="U322" s="39"/>
      <c r="V322" s="39"/>
      <c r="W322" s="39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35" t="s">
        <v>27</v>
      </c>
      <c r="B323" s="35" t="s">
        <v>32</v>
      </c>
      <c r="C323" s="35" t="s">
        <v>23</v>
      </c>
      <c r="D323" s="35" t="s">
        <v>33</v>
      </c>
      <c r="E323" s="35" t="s">
        <v>25</v>
      </c>
      <c r="F323" s="35" t="s">
        <v>25</v>
      </c>
      <c r="G323" s="35" t="s">
        <v>25</v>
      </c>
      <c r="H323" s="35" t="s">
        <v>25</v>
      </c>
      <c r="I323" s="54">
        <v>44440</v>
      </c>
      <c r="J323" s="55">
        <f>EFEITO!$J$323*EFEITO!$Y$323</f>
        <v>0</v>
      </c>
      <c r="K323" s="55">
        <f ca="1">EFEITO!$L$323*EFEITO!$Z$323</f>
        <v>298.32592817646548</v>
      </c>
      <c r="L323" s="55">
        <f>EFEITO!$N$323*EFEITO!$AA$323</f>
        <v>175.77056695636028</v>
      </c>
      <c r="M323" s="55">
        <f>$J$323-EFEITO!$K$323*EFEITO!$Y$323</f>
        <v>0</v>
      </c>
      <c r="N323" s="55">
        <f ca="1">$K$323-EFEITO!$M$323*EFEITO!$Z$323</f>
        <v>0</v>
      </c>
      <c r="O323" s="55">
        <f>$L$323-EFEITO!$O$323*EFEITO!$AA$323</f>
        <v>0</v>
      </c>
      <c r="P323" s="39"/>
      <c r="Q323" s="39"/>
      <c r="R323" s="39"/>
      <c r="S323" s="39"/>
      <c r="T323" s="39"/>
      <c r="U323" s="39"/>
      <c r="V323" s="39"/>
      <c r="W323" s="39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35" t="s">
        <v>21</v>
      </c>
      <c r="B324" s="35" t="s">
        <v>32</v>
      </c>
      <c r="C324" s="35" t="s">
        <v>23</v>
      </c>
      <c r="D324" s="35" t="s">
        <v>33</v>
      </c>
      <c r="E324" s="35" t="s">
        <v>25</v>
      </c>
      <c r="F324" s="35" t="s">
        <v>25</v>
      </c>
      <c r="G324" s="35" t="s">
        <v>25</v>
      </c>
      <c r="H324" s="35" t="s">
        <v>25</v>
      </c>
      <c r="I324" s="54">
        <v>44470</v>
      </c>
      <c r="J324" s="55">
        <f>EFEITO!$J$324*EFEITO!$Y$324</f>
        <v>0</v>
      </c>
      <c r="K324" s="55">
        <f ca="1">EFEITO!$L$324*EFEITO!$Z$324</f>
        <v>55487.636439407128</v>
      </c>
      <c r="L324" s="55">
        <f>EFEITO!$N$324*EFEITO!$AA$324</f>
        <v>32692.74439415754</v>
      </c>
      <c r="M324" s="55">
        <f>$J$324-EFEITO!$K$324*EFEITO!$Y$324</f>
        <v>0</v>
      </c>
      <c r="N324" s="55">
        <f ca="1">$K$324-EFEITO!$M$324*EFEITO!$Z$324</f>
        <v>0</v>
      </c>
      <c r="O324" s="55">
        <f>$L$324-EFEITO!$O$324*EFEITO!$AA$324</f>
        <v>0</v>
      </c>
      <c r="P324" s="39"/>
      <c r="Q324" s="39"/>
      <c r="R324" s="39"/>
      <c r="S324" s="39"/>
      <c r="T324" s="39"/>
      <c r="U324" s="39"/>
      <c r="V324" s="39"/>
      <c r="W324" s="39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35" t="s">
        <v>27</v>
      </c>
      <c r="B325" s="35" t="s">
        <v>32</v>
      </c>
      <c r="C325" s="35" t="s">
        <v>23</v>
      </c>
      <c r="D325" s="35" t="s">
        <v>33</v>
      </c>
      <c r="E325" s="35" t="s">
        <v>25</v>
      </c>
      <c r="F325" s="35" t="s">
        <v>25</v>
      </c>
      <c r="G325" s="35" t="s">
        <v>25</v>
      </c>
      <c r="H325" s="35" t="s">
        <v>25</v>
      </c>
      <c r="I325" s="54">
        <v>44470</v>
      </c>
      <c r="J325" s="55">
        <f>EFEITO!$J$325*EFEITO!$Y$325</f>
        <v>0</v>
      </c>
      <c r="K325" s="55">
        <f ca="1">EFEITO!$L$325*EFEITO!$Z$325</f>
        <v>249.015857403496</v>
      </c>
      <c r="L325" s="55">
        <f>EFEITO!$N$325*EFEITO!$AA$325</f>
        <v>146.71758068258174</v>
      </c>
      <c r="M325" s="55">
        <f>$J$325-EFEITO!$K$325*EFEITO!$Y$325</f>
        <v>0</v>
      </c>
      <c r="N325" s="55">
        <f ca="1">$K$325-EFEITO!$M$325*EFEITO!$Z$325</f>
        <v>0</v>
      </c>
      <c r="O325" s="55">
        <f>$L$325-EFEITO!$O$325*EFEITO!$AA$325</f>
        <v>0</v>
      </c>
      <c r="P325" s="39"/>
      <c r="Q325" s="39"/>
      <c r="R325" s="39"/>
      <c r="S325" s="39"/>
      <c r="T325" s="39"/>
      <c r="U325" s="39"/>
      <c r="V325" s="39"/>
      <c r="W325" s="39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35" t="s">
        <v>21</v>
      </c>
      <c r="B326" s="35" t="s">
        <v>32</v>
      </c>
      <c r="C326" s="35" t="s">
        <v>23</v>
      </c>
      <c r="D326" s="35" t="s">
        <v>33</v>
      </c>
      <c r="E326" s="35" t="s">
        <v>25</v>
      </c>
      <c r="F326" s="35" t="s">
        <v>25</v>
      </c>
      <c r="G326" s="35" t="s">
        <v>25</v>
      </c>
      <c r="H326" s="35" t="s">
        <v>25</v>
      </c>
      <c r="I326" s="54">
        <v>44501</v>
      </c>
      <c r="J326" s="55">
        <f>EFEITO!$J$326*EFEITO!$Y$326</f>
        <v>0</v>
      </c>
      <c r="K326" s="55">
        <f ca="1">EFEITO!$L$326*EFEITO!$Z$326</f>
        <v>46513.203558726673</v>
      </c>
      <c r="L326" s="55">
        <f>EFEITO!$N$326*EFEITO!$AA$326</f>
        <v>27405.100892329843</v>
      </c>
      <c r="M326" s="55">
        <f>$J$326-EFEITO!$K$326*EFEITO!$Y$326</f>
        <v>0</v>
      </c>
      <c r="N326" s="55">
        <f ca="1">$K$326-EFEITO!$M$326*EFEITO!$Z$326</f>
        <v>0</v>
      </c>
      <c r="O326" s="55">
        <f>$L$326-EFEITO!$O$326*EFEITO!$AA$326</f>
        <v>0</v>
      </c>
      <c r="P326" s="39"/>
      <c r="Q326" s="39"/>
      <c r="R326" s="39"/>
      <c r="S326" s="39"/>
      <c r="T326" s="39"/>
      <c r="U326" s="39"/>
      <c r="V326" s="39"/>
      <c r="W326" s="39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35" t="s">
        <v>27</v>
      </c>
      <c r="B327" s="35" t="s">
        <v>32</v>
      </c>
      <c r="C327" s="35" t="s">
        <v>23</v>
      </c>
      <c r="D327" s="35" t="s">
        <v>33</v>
      </c>
      <c r="E327" s="35" t="s">
        <v>25</v>
      </c>
      <c r="F327" s="35" t="s">
        <v>25</v>
      </c>
      <c r="G327" s="35" t="s">
        <v>25</v>
      </c>
      <c r="H327" s="35" t="s">
        <v>25</v>
      </c>
      <c r="I327" s="54">
        <v>44501</v>
      </c>
      <c r="J327" s="55">
        <f>EFEITO!$J$327*EFEITO!$Y$327</f>
        <v>0</v>
      </c>
      <c r="K327" s="55">
        <f ca="1">EFEITO!$L$327*EFEITO!$Z$327</f>
        <v>105.03045074642505</v>
      </c>
      <c r="L327" s="55">
        <f>EFEITO!$N$327*EFEITO!$AA$327</f>
        <v>61.882860763148329</v>
      </c>
      <c r="M327" s="55">
        <f>$J$327-EFEITO!$K$327*EFEITO!$Y$327</f>
        <v>0</v>
      </c>
      <c r="N327" s="55">
        <f ca="1">$K$327-EFEITO!$M$327*EFEITO!$Z$327</f>
        <v>0</v>
      </c>
      <c r="O327" s="55">
        <f>$L$327-EFEITO!$O$327*EFEITO!$AA$327</f>
        <v>0</v>
      </c>
      <c r="P327" s="39"/>
      <c r="Q327" s="39"/>
      <c r="R327" s="39"/>
      <c r="S327" s="39"/>
      <c r="T327" s="39"/>
      <c r="U327" s="39"/>
      <c r="V327" s="39"/>
      <c r="W327" s="39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35" t="s">
        <v>21</v>
      </c>
      <c r="B328" s="35" t="s">
        <v>32</v>
      </c>
      <c r="C328" s="35" t="s">
        <v>23</v>
      </c>
      <c r="D328" s="35" t="s">
        <v>33</v>
      </c>
      <c r="E328" s="35" t="s">
        <v>25</v>
      </c>
      <c r="F328" s="35" t="s">
        <v>25</v>
      </c>
      <c r="G328" s="35" t="s">
        <v>25</v>
      </c>
      <c r="H328" s="35" t="s">
        <v>25</v>
      </c>
      <c r="I328" s="54">
        <v>44531</v>
      </c>
      <c r="J328" s="55">
        <f>EFEITO!$J$328*EFEITO!$Y$328</f>
        <v>0</v>
      </c>
      <c r="K328" s="55">
        <f ca="1">EFEITO!$L$328*EFEITO!$Z$328</f>
        <v>48185.8011593458</v>
      </c>
      <c r="L328" s="55">
        <f>EFEITO!$N$328*EFEITO!$AA$328</f>
        <v>28390.578186736409</v>
      </c>
      <c r="M328" s="55">
        <f>$J$328-EFEITO!$K$328*EFEITO!$Y$328</f>
        <v>0</v>
      </c>
      <c r="N328" s="55">
        <f ca="1">$K$328-EFEITO!$M$328*EFEITO!$Z$328</f>
        <v>0</v>
      </c>
      <c r="O328" s="55">
        <f>$L$328-EFEITO!$O$328*EFEITO!$AA$328</f>
        <v>0</v>
      </c>
      <c r="P328" s="39"/>
      <c r="Q328" s="39"/>
      <c r="R328" s="39"/>
      <c r="S328" s="39"/>
      <c r="T328" s="39"/>
      <c r="U328" s="39"/>
      <c r="V328" s="39"/>
      <c r="W328" s="39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35" t="s">
        <v>27</v>
      </c>
      <c r="B329" s="35" t="s">
        <v>32</v>
      </c>
      <c r="C329" s="35" t="s">
        <v>23</v>
      </c>
      <c r="D329" s="35" t="s">
        <v>33</v>
      </c>
      <c r="E329" s="35" t="s">
        <v>25</v>
      </c>
      <c r="F329" s="35" t="s">
        <v>25</v>
      </c>
      <c r="G329" s="35" t="s">
        <v>25</v>
      </c>
      <c r="H329" s="35" t="s">
        <v>25</v>
      </c>
      <c r="I329" s="54">
        <v>44531</v>
      </c>
      <c r="J329" s="55">
        <f>EFEITO!$J$329*EFEITO!$Y$329</f>
        <v>0</v>
      </c>
      <c r="K329" s="55">
        <f ca="1">EFEITO!$L$329*EFEITO!$Z$329</f>
        <v>49.31007077296951</v>
      </c>
      <c r="L329" s="55">
        <f>EFEITO!$N$329*EFEITO!$AA$329</f>
        <v>29.052986273778561</v>
      </c>
      <c r="M329" s="55">
        <f>$J$329-EFEITO!$K$329*EFEITO!$Y$329</f>
        <v>0</v>
      </c>
      <c r="N329" s="55">
        <f ca="1">$K$329-EFEITO!$M$329*EFEITO!$Z$329</f>
        <v>0</v>
      </c>
      <c r="O329" s="55">
        <f>$L$329-EFEITO!$O$329*EFEITO!$AA$329</f>
        <v>0</v>
      </c>
      <c r="P329" s="39"/>
      <c r="Q329" s="39"/>
      <c r="R329" s="39"/>
      <c r="S329" s="39"/>
      <c r="T329" s="39"/>
      <c r="U329" s="39"/>
      <c r="V329" s="39"/>
      <c r="W329" s="39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35" t="s">
        <v>21</v>
      </c>
      <c r="B330" s="35" t="s">
        <v>32</v>
      </c>
      <c r="C330" s="35" t="s">
        <v>23</v>
      </c>
      <c r="D330" s="35" t="s">
        <v>33</v>
      </c>
      <c r="E330" s="35" t="s">
        <v>25</v>
      </c>
      <c r="F330" s="35" t="s">
        <v>25</v>
      </c>
      <c r="G330" s="35" t="s">
        <v>25</v>
      </c>
      <c r="H330" s="35" t="s">
        <v>25</v>
      </c>
      <c r="I330" s="54">
        <v>44562</v>
      </c>
      <c r="J330" s="55">
        <f>EFEITO!$J$330*EFEITO!$Y$330</f>
        <v>0</v>
      </c>
      <c r="K330" s="55">
        <f ca="1">EFEITO!$L$330*EFEITO!$Z$330</f>
        <v>45915.565500958284</v>
      </c>
      <c r="L330" s="55">
        <f>EFEITO!$N$330*EFEITO!$AA$330</f>
        <v>27052.978698691644</v>
      </c>
      <c r="M330" s="55">
        <f>$J$330-EFEITO!$K$330*EFEITO!$Y$330</f>
        <v>0</v>
      </c>
      <c r="N330" s="55">
        <f ca="1">$K$330-EFEITO!$M$330*EFEITO!$Z$330</f>
        <v>0</v>
      </c>
      <c r="O330" s="55">
        <f>$L$330-EFEITO!$O$330*EFEITO!$AA$330</f>
        <v>0</v>
      </c>
      <c r="P330" s="39"/>
      <c r="Q330" s="39"/>
      <c r="R330" s="39"/>
      <c r="S330" s="39"/>
      <c r="T330" s="39"/>
      <c r="U330" s="39"/>
      <c r="V330" s="39"/>
      <c r="W330" s="39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35" t="s">
        <v>27</v>
      </c>
      <c r="B331" s="35" t="s">
        <v>32</v>
      </c>
      <c r="C331" s="35" t="s">
        <v>23</v>
      </c>
      <c r="D331" s="35" t="s">
        <v>33</v>
      </c>
      <c r="E331" s="35" t="s">
        <v>25</v>
      </c>
      <c r="F331" s="35" t="s">
        <v>25</v>
      </c>
      <c r="G331" s="35" t="s">
        <v>25</v>
      </c>
      <c r="H331" s="35" t="s">
        <v>25</v>
      </c>
      <c r="I331" s="54">
        <v>44562</v>
      </c>
      <c r="J331" s="55">
        <f>EFEITO!$J$331*EFEITO!$Y$331</f>
        <v>0</v>
      </c>
      <c r="K331" s="55">
        <f ca="1">EFEITO!$L$331*EFEITO!$Z$331</f>
        <v>127.71308330199102</v>
      </c>
      <c r="L331" s="55">
        <f>EFEITO!$N$331*EFEITO!$AA$331</f>
        <v>75.247234449086477</v>
      </c>
      <c r="M331" s="55">
        <f>$J$331-EFEITO!$K$331*EFEITO!$Y$331</f>
        <v>0</v>
      </c>
      <c r="N331" s="55">
        <f ca="1">$K$331-EFEITO!$M$331*EFEITO!$Z$331</f>
        <v>0</v>
      </c>
      <c r="O331" s="55">
        <f>$L$331-EFEITO!$O$331*EFEITO!$AA$331</f>
        <v>0</v>
      </c>
      <c r="P331" s="39"/>
      <c r="Q331" s="39"/>
      <c r="R331" s="39"/>
      <c r="S331" s="39"/>
      <c r="T331" s="39"/>
      <c r="U331" s="39"/>
      <c r="V331" s="39"/>
      <c r="W331" s="39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35" t="s">
        <v>21</v>
      </c>
      <c r="B332" s="35" t="s">
        <v>32</v>
      </c>
      <c r="C332" s="35" t="s">
        <v>23</v>
      </c>
      <c r="D332" s="35" t="s">
        <v>33</v>
      </c>
      <c r="E332" s="35" t="s">
        <v>25</v>
      </c>
      <c r="F332" s="35" t="s">
        <v>25</v>
      </c>
      <c r="G332" s="35" t="s">
        <v>25</v>
      </c>
      <c r="H332" s="35" t="s">
        <v>25</v>
      </c>
      <c r="I332" s="54">
        <v>44593</v>
      </c>
      <c r="J332" s="55">
        <f>EFEITO!$J$332*EFEITO!$Y$332</f>
        <v>0</v>
      </c>
      <c r="K332" s="55">
        <f ca="1">EFEITO!$L$332*EFEITO!$Z$332</f>
        <v>51271.625388318229</v>
      </c>
      <c r="L332" s="55">
        <f>EFEITO!$N$332*EFEITO!$AA$332</f>
        <v>30208.714067749472</v>
      </c>
      <c r="M332" s="55">
        <f>$J$332-EFEITO!$K$332*EFEITO!$Y$332</f>
        <v>0</v>
      </c>
      <c r="N332" s="55">
        <f ca="1">$K$332-EFEITO!$M$332*EFEITO!$Z$332</f>
        <v>0</v>
      </c>
      <c r="O332" s="55">
        <f>$L$332-EFEITO!$O$332*EFEITO!$AA$332</f>
        <v>0</v>
      </c>
      <c r="P332" s="39"/>
      <c r="Q332" s="39"/>
      <c r="R332" s="39"/>
      <c r="S332" s="39"/>
      <c r="T332" s="39"/>
      <c r="U332" s="39"/>
      <c r="V332" s="39"/>
      <c r="W332" s="39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35" t="s">
        <v>27</v>
      </c>
      <c r="B333" s="35" t="s">
        <v>32</v>
      </c>
      <c r="C333" s="35" t="s">
        <v>23</v>
      </c>
      <c r="D333" s="35" t="s">
        <v>33</v>
      </c>
      <c r="E333" s="35" t="s">
        <v>25</v>
      </c>
      <c r="F333" s="35" t="s">
        <v>25</v>
      </c>
      <c r="G333" s="35" t="s">
        <v>25</v>
      </c>
      <c r="H333" s="35" t="s">
        <v>25</v>
      </c>
      <c r="I333" s="54">
        <v>44593</v>
      </c>
      <c r="J333" s="55">
        <f>EFEITO!$J$333*EFEITO!$Y$333</f>
        <v>0</v>
      </c>
      <c r="K333" s="55">
        <f ca="1">EFEITO!$L$333*EFEITO!$Z$333</f>
        <v>179.98175832133867</v>
      </c>
      <c r="L333" s="55">
        <f>EFEITO!$N$333*EFEITO!$AA$333</f>
        <v>106.04339989929174</v>
      </c>
      <c r="M333" s="55">
        <f>$J$333-EFEITO!$K$333*EFEITO!$Y$333</f>
        <v>0</v>
      </c>
      <c r="N333" s="55">
        <f ca="1">$K$333-EFEITO!$M$333*EFEITO!$Z$333</f>
        <v>0</v>
      </c>
      <c r="O333" s="55">
        <f>$L$333-EFEITO!$O$333*EFEITO!$AA$333</f>
        <v>0</v>
      </c>
      <c r="P333" s="39"/>
      <c r="Q333" s="39"/>
      <c r="R333" s="39"/>
      <c r="S333" s="39"/>
      <c r="T333" s="39"/>
      <c r="U333" s="39"/>
      <c r="V333" s="39"/>
      <c r="W333" s="39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35" t="s">
        <v>21</v>
      </c>
      <c r="B334" s="35" t="s">
        <v>32</v>
      </c>
      <c r="C334" s="35" t="s">
        <v>23</v>
      </c>
      <c r="D334" s="35" t="s">
        <v>33</v>
      </c>
      <c r="E334" s="35" t="s">
        <v>25</v>
      </c>
      <c r="F334" s="35" t="s">
        <v>25</v>
      </c>
      <c r="G334" s="35" t="s">
        <v>25</v>
      </c>
      <c r="H334" s="35" t="s">
        <v>25</v>
      </c>
      <c r="I334" s="54">
        <v>44621</v>
      </c>
      <c r="J334" s="55">
        <f>EFEITO!$J$334*EFEITO!$Y$334</f>
        <v>0</v>
      </c>
      <c r="K334" s="55">
        <f ca="1">EFEITO!$L$334*EFEITO!$Z$334</f>
        <v>44928.377884083435</v>
      </c>
      <c r="L334" s="55">
        <f>EFEITO!$N$334*EFEITO!$AA$334</f>
        <v>26471.337913490599</v>
      </c>
      <c r="M334" s="55">
        <f>$J$334-EFEITO!$K$334*EFEITO!$Y$334</f>
        <v>0</v>
      </c>
      <c r="N334" s="55">
        <f ca="1">$K$334-EFEITO!$M$334*EFEITO!$Z$334</f>
        <v>0</v>
      </c>
      <c r="O334" s="55">
        <f>$L$334-EFEITO!$O$334*EFEITO!$AA$334</f>
        <v>0</v>
      </c>
      <c r="P334" s="39"/>
      <c r="Q334" s="39"/>
      <c r="R334" s="39"/>
      <c r="S334" s="39"/>
      <c r="T334" s="39"/>
      <c r="U334" s="39"/>
      <c r="V334" s="39"/>
      <c r="W334" s="39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35" t="s">
        <v>27</v>
      </c>
      <c r="B335" s="35" t="s">
        <v>32</v>
      </c>
      <c r="C335" s="35" t="s">
        <v>23</v>
      </c>
      <c r="D335" s="35" t="s">
        <v>33</v>
      </c>
      <c r="E335" s="35" t="s">
        <v>25</v>
      </c>
      <c r="F335" s="35" t="s">
        <v>25</v>
      </c>
      <c r="G335" s="35" t="s">
        <v>25</v>
      </c>
      <c r="H335" s="35" t="s">
        <v>25</v>
      </c>
      <c r="I335" s="54">
        <v>44621</v>
      </c>
      <c r="J335" s="55">
        <f>EFEITO!$J$335*EFEITO!$Y$335</f>
        <v>0</v>
      </c>
      <c r="K335" s="55">
        <f ca="1">EFEITO!$L$335*EFEITO!$Z$335</f>
        <v>49.31007077296951</v>
      </c>
      <c r="L335" s="55">
        <f>EFEITO!$N$335*EFEITO!$AA$335</f>
        <v>29.052986273778561</v>
      </c>
      <c r="M335" s="55">
        <f>$J$335-EFEITO!$K$335*EFEITO!$Y$335</f>
        <v>0</v>
      </c>
      <c r="N335" s="55">
        <f ca="1">$K$335-EFEITO!$M$335*EFEITO!$Z$335</f>
        <v>0</v>
      </c>
      <c r="O335" s="55">
        <f>$L$335-EFEITO!$O$335*EFEITO!$AA$335</f>
        <v>0</v>
      </c>
      <c r="P335" s="39"/>
      <c r="Q335" s="39"/>
      <c r="R335" s="39"/>
      <c r="S335" s="39"/>
      <c r="T335" s="39"/>
      <c r="U335" s="39"/>
      <c r="V335" s="39"/>
      <c r="W335" s="39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35" t="s">
        <v>21</v>
      </c>
      <c r="B336" s="35" t="s">
        <v>32</v>
      </c>
      <c r="C336" s="35" t="s">
        <v>23</v>
      </c>
      <c r="D336" s="35" t="s">
        <v>33</v>
      </c>
      <c r="E336" s="35" t="s">
        <v>25</v>
      </c>
      <c r="F336" s="35" t="s">
        <v>25</v>
      </c>
      <c r="G336" s="35" t="s">
        <v>25</v>
      </c>
      <c r="H336" s="35" t="s">
        <v>25</v>
      </c>
      <c r="I336" s="54">
        <v>44652</v>
      </c>
      <c r="J336" s="55">
        <f>EFEITO!$J$336*EFEITO!$Y$336</f>
        <v>0</v>
      </c>
      <c r="K336" s="55">
        <f ca="1">EFEITO!$L$336*EFEITO!$Z$336</f>
        <v>43346.017712978843</v>
      </c>
      <c r="L336" s="55">
        <f>EFEITO!$N$336*EFEITO!$AA$336</f>
        <v>25539.027583965046</v>
      </c>
      <c r="M336" s="55">
        <f>$J$336-EFEITO!$K$336*EFEITO!$Y$336</f>
        <v>0</v>
      </c>
      <c r="N336" s="55">
        <f ca="1">$K$336-EFEITO!$M$336*EFEITO!$Z$336</f>
        <v>0</v>
      </c>
      <c r="O336" s="55">
        <f>$L$336-EFEITO!$O$336*EFEITO!$AA$336</f>
        <v>0</v>
      </c>
      <c r="P336" s="39"/>
      <c r="Q336" s="39"/>
      <c r="R336" s="39"/>
      <c r="S336" s="39"/>
      <c r="T336" s="39"/>
      <c r="U336" s="39"/>
      <c r="V336" s="39"/>
      <c r="W336" s="39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35" t="s">
        <v>27</v>
      </c>
      <c r="B337" s="35" t="s">
        <v>32</v>
      </c>
      <c r="C337" s="35" t="s">
        <v>23</v>
      </c>
      <c r="D337" s="35" t="s">
        <v>33</v>
      </c>
      <c r="E337" s="35" t="s">
        <v>25</v>
      </c>
      <c r="F337" s="35" t="s">
        <v>25</v>
      </c>
      <c r="G337" s="35" t="s">
        <v>25</v>
      </c>
      <c r="H337" s="35" t="s">
        <v>25</v>
      </c>
      <c r="I337" s="54">
        <v>44652</v>
      </c>
      <c r="J337" s="55">
        <f>EFEITO!$J$337*EFEITO!$Y$337</f>
        <v>0</v>
      </c>
      <c r="K337" s="55">
        <f ca="1">EFEITO!$L$337*EFEITO!$Z$337</f>
        <v>49.31007077296951</v>
      </c>
      <c r="L337" s="55">
        <f>EFEITO!$N$337*EFEITO!$AA$337</f>
        <v>29.052986273778561</v>
      </c>
      <c r="M337" s="55">
        <f>$J$337-EFEITO!$K$337*EFEITO!$Y$337</f>
        <v>0</v>
      </c>
      <c r="N337" s="55">
        <f ca="1">$K$337-EFEITO!$M$337*EFEITO!$Z$337</f>
        <v>0</v>
      </c>
      <c r="O337" s="55">
        <f>$L$337-EFEITO!$O$337*EFEITO!$AA$337</f>
        <v>0</v>
      </c>
      <c r="P337" s="39"/>
      <c r="Q337" s="39"/>
      <c r="R337" s="39"/>
      <c r="S337" s="39"/>
      <c r="T337" s="39"/>
      <c r="U337" s="39"/>
      <c r="V337" s="39"/>
      <c r="W337" s="39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35" t="s">
        <v>21</v>
      </c>
      <c r="B338" s="35" t="s">
        <v>32</v>
      </c>
      <c r="C338" s="35" t="s">
        <v>23</v>
      </c>
      <c r="D338" s="35" t="s">
        <v>33</v>
      </c>
      <c r="E338" s="35" t="s">
        <v>25</v>
      </c>
      <c r="F338" s="35" t="s">
        <v>25</v>
      </c>
      <c r="G338" s="35" t="s">
        <v>25</v>
      </c>
      <c r="H338" s="35" t="s">
        <v>25</v>
      </c>
      <c r="I338" s="54">
        <v>44682</v>
      </c>
      <c r="J338" s="55">
        <f>EFEITO!$J$338*EFEITO!$Y$338</f>
        <v>0</v>
      </c>
      <c r="K338" s="55">
        <f ca="1">EFEITO!$L$338*EFEITO!$Z$338</f>
        <v>46426.417834166248</v>
      </c>
      <c r="L338" s="55">
        <f>EFEITO!$N$338*EFEITO!$AA$338</f>
        <v>27353.967636487992</v>
      </c>
      <c r="M338" s="55">
        <f>$J$338-EFEITO!$K$338*EFEITO!$Y$338</f>
        <v>0</v>
      </c>
      <c r="N338" s="55">
        <f ca="1">$K$338-EFEITO!$M$338*EFEITO!$Z$338</f>
        <v>0</v>
      </c>
      <c r="O338" s="55">
        <f>$L$338-EFEITO!$O$338*EFEITO!$AA$338</f>
        <v>0</v>
      </c>
      <c r="P338" s="39"/>
      <c r="Q338" s="39"/>
      <c r="R338" s="39"/>
      <c r="S338" s="39"/>
      <c r="T338" s="39"/>
      <c r="U338" s="39"/>
      <c r="V338" s="39"/>
      <c r="W338" s="39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35" t="s">
        <v>27</v>
      </c>
      <c r="B339" s="35" t="s">
        <v>32</v>
      </c>
      <c r="C339" s="35" t="s">
        <v>23</v>
      </c>
      <c r="D339" s="35" t="s">
        <v>33</v>
      </c>
      <c r="E339" s="35" t="s">
        <v>25</v>
      </c>
      <c r="F339" s="35" t="s">
        <v>25</v>
      </c>
      <c r="G339" s="35" t="s">
        <v>25</v>
      </c>
      <c r="H339" s="35" t="s">
        <v>25</v>
      </c>
      <c r="I339" s="54">
        <v>44682</v>
      </c>
      <c r="J339" s="55">
        <f>EFEITO!$J$339*EFEITO!$Y$339</f>
        <v>0</v>
      </c>
      <c r="K339" s="55">
        <f ca="1">EFEITO!$L$339*EFEITO!$Z$339</f>
        <v>95.661537299560848</v>
      </c>
      <c r="L339" s="55">
        <f>EFEITO!$N$339*EFEITO!$AA$339</f>
        <v>56.362793371130408</v>
      </c>
      <c r="M339" s="55">
        <f>$J$339-EFEITO!$K$339*EFEITO!$Y$339</f>
        <v>0</v>
      </c>
      <c r="N339" s="55">
        <f ca="1">$K$339-EFEITO!$M$339*EFEITO!$Z$339</f>
        <v>0</v>
      </c>
      <c r="O339" s="55">
        <f>$L$339-EFEITO!$O$339*EFEITO!$AA$339</f>
        <v>0</v>
      </c>
      <c r="P339" s="39"/>
      <c r="Q339" s="39"/>
      <c r="R339" s="39"/>
      <c r="S339" s="39"/>
      <c r="T339" s="39"/>
      <c r="U339" s="39"/>
      <c r="V339" s="39"/>
      <c r="W339" s="39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35" t="s">
        <v>21</v>
      </c>
      <c r="B340" s="35" t="s">
        <v>32</v>
      </c>
      <c r="C340" s="35" t="s">
        <v>23</v>
      </c>
      <c r="D340" s="35" t="s">
        <v>33</v>
      </c>
      <c r="E340" s="35" t="s">
        <v>25</v>
      </c>
      <c r="F340" s="35" t="s">
        <v>25</v>
      </c>
      <c r="G340" s="35" t="s">
        <v>25</v>
      </c>
      <c r="H340" s="35" t="s">
        <v>25</v>
      </c>
      <c r="I340" s="54">
        <v>44713</v>
      </c>
      <c r="J340" s="55">
        <f>EFEITO!$J$340*EFEITO!$Y$340</f>
        <v>0</v>
      </c>
      <c r="K340" s="55">
        <f ca="1">EFEITO!$L$340*EFEITO!$Z$340</f>
        <v>42827.768869154934</v>
      </c>
      <c r="L340" s="55">
        <f>EFEITO!$N$340*EFEITO!$AA$340</f>
        <v>25233.680698227632</v>
      </c>
      <c r="M340" s="55">
        <f>$J$340-EFEITO!$K$340*EFEITO!$Y$340</f>
        <v>0</v>
      </c>
      <c r="N340" s="55">
        <f ca="1">$K$340-EFEITO!$M$340*EFEITO!$Z$340</f>
        <v>0</v>
      </c>
      <c r="O340" s="55">
        <f>$L$340-EFEITO!$O$340*EFEITO!$AA$340</f>
        <v>0</v>
      </c>
      <c r="P340" s="39"/>
      <c r="Q340" s="39"/>
      <c r="R340" s="39"/>
      <c r="S340" s="39"/>
      <c r="T340" s="39"/>
      <c r="U340" s="39"/>
      <c r="V340" s="39"/>
      <c r="W340" s="39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35" t="s">
        <v>27</v>
      </c>
      <c r="B341" s="35" t="s">
        <v>32</v>
      </c>
      <c r="C341" s="35" t="s">
        <v>23</v>
      </c>
      <c r="D341" s="35" t="s">
        <v>33</v>
      </c>
      <c r="E341" s="35" t="s">
        <v>25</v>
      </c>
      <c r="F341" s="35" t="s">
        <v>25</v>
      </c>
      <c r="G341" s="35" t="s">
        <v>25</v>
      </c>
      <c r="H341" s="35" t="s">
        <v>25</v>
      </c>
      <c r="I341" s="54">
        <v>44713</v>
      </c>
      <c r="J341" s="55">
        <f>EFEITO!$J$341*EFEITO!$Y$341</f>
        <v>0</v>
      </c>
      <c r="K341" s="55">
        <f ca="1">EFEITO!$L$341*EFEITO!$Z$341</f>
        <v>56.706581388914934</v>
      </c>
      <c r="L341" s="55">
        <f>EFEITO!$N$341*EFEITO!$AA$341</f>
        <v>33.410934214845348</v>
      </c>
      <c r="M341" s="55">
        <f>$J$341-EFEITO!$K$341*EFEITO!$Y$341</f>
        <v>0</v>
      </c>
      <c r="N341" s="55">
        <f ca="1">$K$341-EFEITO!$M$341*EFEITO!$Z$341</f>
        <v>0</v>
      </c>
      <c r="O341" s="55">
        <f>$L$341-EFEITO!$O$341*EFEITO!$AA$341</f>
        <v>0</v>
      </c>
      <c r="P341" s="39"/>
      <c r="Q341" s="39"/>
      <c r="R341" s="39"/>
      <c r="S341" s="39"/>
      <c r="T341" s="39"/>
      <c r="U341" s="39"/>
      <c r="V341" s="39"/>
      <c r="W341" s="39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35" t="s">
        <v>21</v>
      </c>
      <c r="B342" s="35" t="s">
        <v>32</v>
      </c>
      <c r="C342" s="35" t="s">
        <v>23</v>
      </c>
      <c r="D342" s="35" t="s">
        <v>33</v>
      </c>
      <c r="E342" s="35" t="s">
        <v>25</v>
      </c>
      <c r="F342" s="35" t="s">
        <v>25</v>
      </c>
      <c r="G342" s="35" t="s">
        <v>25</v>
      </c>
      <c r="H342" s="35" t="s">
        <v>25</v>
      </c>
      <c r="I342" s="54">
        <v>44743</v>
      </c>
      <c r="J342" s="55">
        <f>EFEITO!$J$342*EFEITO!$Y$342</f>
        <v>0</v>
      </c>
      <c r="K342" s="55">
        <f ca="1">EFEITO!$L$342*EFEITO!$Z$342</f>
        <v>44708.454968435995</v>
      </c>
      <c r="L342" s="55">
        <f>EFEITO!$N$342*EFEITO!$AA$342</f>
        <v>26341.761594709547</v>
      </c>
      <c r="M342" s="55">
        <f>$J$342-EFEITO!$K$342*EFEITO!$Y$342</f>
        <v>0</v>
      </c>
      <c r="N342" s="55">
        <f ca="1">$K$342-EFEITO!$M$342*EFEITO!$Z$342</f>
        <v>0</v>
      </c>
      <c r="O342" s="55">
        <f>$L$342-EFEITO!$O$342*EFEITO!$AA$342</f>
        <v>0</v>
      </c>
      <c r="P342" s="39"/>
      <c r="Q342" s="39"/>
      <c r="R342" s="39"/>
      <c r="S342" s="39"/>
      <c r="T342" s="39"/>
      <c r="U342" s="39"/>
      <c r="V342" s="39"/>
      <c r="W342" s="39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35" t="s">
        <v>27</v>
      </c>
      <c r="B343" s="35" t="s">
        <v>32</v>
      </c>
      <c r="C343" s="35" t="s">
        <v>23</v>
      </c>
      <c r="D343" s="35" t="s">
        <v>33</v>
      </c>
      <c r="E343" s="35" t="s">
        <v>25</v>
      </c>
      <c r="F343" s="35" t="s">
        <v>25</v>
      </c>
      <c r="G343" s="35" t="s">
        <v>25</v>
      </c>
      <c r="H343" s="35" t="s">
        <v>25</v>
      </c>
      <c r="I343" s="54">
        <v>44743</v>
      </c>
      <c r="J343" s="55">
        <f>EFEITO!$J$343*EFEITO!$Y$343</f>
        <v>0</v>
      </c>
      <c r="K343" s="55">
        <f ca="1">EFEITO!$L$343*EFEITO!$Z$343</f>
        <v>1187.8796049208352</v>
      </c>
      <c r="L343" s="55">
        <f>EFEITO!$N$343*EFEITO!$AA$343</f>
        <v>699.88643933532546</v>
      </c>
      <c r="M343" s="55">
        <f>$J$343-EFEITO!$K$343*EFEITO!$Y$343</f>
        <v>0</v>
      </c>
      <c r="N343" s="55">
        <f ca="1">$K$343-EFEITO!$M$343*EFEITO!$Z$343</f>
        <v>0</v>
      </c>
      <c r="O343" s="55">
        <f>$L$343-EFEITO!$O$343*EFEITO!$AA$343</f>
        <v>0</v>
      </c>
      <c r="P343" s="39"/>
      <c r="Q343" s="39"/>
      <c r="R343" s="39"/>
      <c r="S343" s="39"/>
      <c r="T343" s="39"/>
      <c r="U343" s="39"/>
      <c r="V343" s="39"/>
      <c r="W343" s="39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35" t="s">
        <v>21</v>
      </c>
      <c r="B344" s="35" t="s">
        <v>32</v>
      </c>
      <c r="C344" s="35" t="s">
        <v>23</v>
      </c>
      <c r="D344" s="35" t="s">
        <v>43</v>
      </c>
      <c r="E344" s="35" t="s">
        <v>25</v>
      </c>
      <c r="F344" s="35" t="s">
        <v>25</v>
      </c>
      <c r="G344" s="35" t="s">
        <v>25</v>
      </c>
      <c r="H344" s="35" t="s">
        <v>25</v>
      </c>
      <c r="I344" s="54">
        <v>44409</v>
      </c>
      <c r="J344" s="55">
        <f>EFEITO!$J$344*EFEITO!$Y$344</f>
        <v>0</v>
      </c>
      <c r="K344" s="55">
        <f ca="1">EFEITO!$L$344*EFEITO!$Z$344</f>
        <v>15881.294493850288</v>
      </c>
      <c r="L344" s="55">
        <f>EFEITO!$N$344*EFEITO!$AA$344</f>
        <v>9357.0952891958605</v>
      </c>
      <c r="M344" s="55">
        <f>$J$344-EFEITO!$K$344*EFEITO!$Y$344</f>
        <v>0</v>
      </c>
      <c r="N344" s="55">
        <f ca="1">$K$344-EFEITO!$M$344*EFEITO!$Z$344</f>
        <v>0</v>
      </c>
      <c r="O344" s="55">
        <f>$L$344-EFEITO!$O$344*EFEITO!$AA$344</f>
        <v>0</v>
      </c>
      <c r="P344" s="39"/>
      <c r="Q344" s="39"/>
      <c r="R344" s="39"/>
      <c r="S344" s="39"/>
      <c r="T344" s="39"/>
      <c r="U344" s="39"/>
      <c r="V344" s="39"/>
      <c r="W344" s="39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35" t="s">
        <v>21</v>
      </c>
      <c r="B345" s="35" t="s">
        <v>32</v>
      </c>
      <c r="C345" s="35" t="s">
        <v>23</v>
      </c>
      <c r="D345" s="35" t="s">
        <v>43</v>
      </c>
      <c r="E345" s="35" t="s">
        <v>25</v>
      </c>
      <c r="F345" s="35" t="s">
        <v>25</v>
      </c>
      <c r="G345" s="35" t="s">
        <v>25</v>
      </c>
      <c r="H345" s="35" t="s">
        <v>25</v>
      </c>
      <c r="I345" s="54">
        <v>44440</v>
      </c>
      <c r="J345" s="55">
        <f>EFEITO!$J$345*EFEITO!$Y$345</f>
        <v>0</v>
      </c>
      <c r="K345" s="55">
        <f ca="1">EFEITO!$L$345*EFEITO!$Z$345</f>
        <v>14738.287053332855</v>
      </c>
      <c r="L345" s="55">
        <f>EFEITO!$N$345*EFEITO!$AA$345</f>
        <v>8683.6470673696731</v>
      </c>
      <c r="M345" s="55">
        <f>$J$345-EFEITO!$K$345*EFEITO!$Y$345</f>
        <v>0</v>
      </c>
      <c r="N345" s="55">
        <f ca="1">$K$345-EFEITO!$M$345*EFEITO!$Z$345</f>
        <v>0</v>
      </c>
      <c r="O345" s="55">
        <f>$L$345-EFEITO!$O$345*EFEITO!$AA$345</f>
        <v>0</v>
      </c>
      <c r="P345" s="39"/>
      <c r="Q345" s="39"/>
      <c r="R345" s="39"/>
      <c r="S345" s="39"/>
      <c r="T345" s="39"/>
      <c r="U345" s="39"/>
      <c r="V345" s="39"/>
      <c r="W345" s="39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35" t="s">
        <v>21</v>
      </c>
      <c r="B346" s="35" t="s">
        <v>32</v>
      </c>
      <c r="C346" s="35" t="s">
        <v>23</v>
      </c>
      <c r="D346" s="35" t="s">
        <v>43</v>
      </c>
      <c r="E346" s="35" t="s">
        <v>25</v>
      </c>
      <c r="F346" s="35" t="s">
        <v>25</v>
      </c>
      <c r="G346" s="35" t="s">
        <v>25</v>
      </c>
      <c r="H346" s="35" t="s">
        <v>25</v>
      </c>
      <c r="I346" s="54">
        <v>44470</v>
      </c>
      <c r="J346" s="55">
        <f>EFEITO!$J$346*EFEITO!$Y$346</f>
        <v>0</v>
      </c>
      <c r="K346" s="55">
        <f ca="1">EFEITO!$L$346*EFEITO!$Z$346</f>
        <v>16281.199167819072</v>
      </c>
      <c r="L346" s="55">
        <f>EFEITO!$N$346*EFEITO!$AA$346</f>
        <v>9592.7150078762061</v>
      </c>
      <c r="M346" s="55">
        <f>$J$346-EFEITO!$K$346*EFEITO!$Y$346</f>
        <v>0</v>
      </c>
      <c r="N346" s="55">
        <f ca="1">$K$346-EFEITO!$M$346*EFEITO!$Z$346</f>
        <v>0</v>
      </c>
      <c r="O346" s="55">
        <f>$L$346-EFEITO!$O$346*EFEITO!$AA$346</f>
        <v>0</v>
      </c>
      <c r="P346" s="39"/>
      <c r="Q346" s="39"/>
      <c r="R346" s="39"/>
      <c r="S346" s="39"/>
      <c r="T346" s="39"/>
      <c r="U346" s="39"/>
      <c r="V346" s="39"/>
      <c r="W346" s="39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35" t="s">
        <v>21</v>
      </c>
      <c r="B347" s="35" t="s">
        <v>32</v>
      </c>
      <c r="C347" s="35" t="s">
        <v>23</v>
      </c>
      <c r="D347" s="35" t="s">
        <v>43</v>
      </c>
      <c r="E347" s="35" t="s">
        <v>25</v>
      </c>
      <c r="F347" s="35" t="s">
        <v>25</v>
      </c>
      <c r="G347" s="35" t="s">
        <v>25</v>
      </c>
      <c r="H347" s="35" t="s">
        <v>25</v>
      </c>
      <c r="I347" s="54">
        <v>44501</v>
      </c>
      <c r="J347" s="55">
        <f>EFEITO!$J$347*EFEITO!$Y$347</f>
        <v>0</v>
      </c>
      <c r="K347" s="55">
        <f ca="1">EFEITO!$L$347*EFEITO!$Z$347</f>
        <v>15241.742875924874</v>
      </c>
      <c r="L347" s="55">
        <f>EFEITO!$N$347*EFEITO!$AA$347</f>
        <v>8980.278057224954</v>
      </c>
      <c r="M347" s="55">
        <f>$J$347-EFEITO!$K$347*EFEITO!$Y$347</f>
        <v>0</v>
      </c>
      <c r="N347" s="55">
        <f ca="1">$K$347-EFEITO!$M$347*EFEITO!$Z$347</f>
        <v>0</v>
      </c>
      <c r="O347" s="55">
        <f>$L$347-EFEITO!$O$347*EFEITO!$AA$347</f>
        <v>0</v>
      </c>
      <c r="P347" s="39"/>
      <c r="Q347" s="39"/>
      <c r="R347" s="39"/>
      <c r="S347" s="39"/>
      <c r="T347" s="39"/>
      <c r="U347" s="39"/>
      <c r="V347" s="39"/>
      <c r="W347" s="39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35" t="s">
        <v>21</v>
      </c>
      <c r="B348" s="35" t="s">
        <v>32</v>
      </c>
      <c r="C348" s="35" t="s">
        <v>23</v>
      </c>
      <c r="D348" s="35" t="s">
        <v>43</v>
      </c>
      <c r="E348" s="35" t="s">
        <v>25</v>
      </c>
      <c r="F348" s="35" t="s">
        <v>25</v>
      </c>
      <c r="G348" s="35" t="s">
        <v>25</v>
      </c>
      <c r="H348" s="35" t="s">
        <v>25</v>
      </c>
      <c r="I348" s="54">
        <v>44531</v>
      </c>
      <c r="J348" s="55">
        <f>EFEITO!$J$348*EFEITO!$Y$348</f>
        <v>0</v>
      </c>
      <c r="K348" s="55">
        <f ca="1">EFEITO!$L$348*EFEITO!$Z$348</f>
        <v>19350.751073436422</v>
      </c>
      <c r="L348" s="55">
        <f>EFEITO!$N$348*EFEITO!$AA$348</f>
        <v>11401.263403418921</v>
      </c>
      <c r="M348" s="55">
        <f>$J$348-EFEITO!$K$348*EFEITO!$Y$348</f>
        <v>0</v>
      </c>
      <c r="N348" s="55">
        <f ca="1">$K$348-EFEITO!$M$348*EFEITO!$Z$348</f>
        <v>0</v>
      </c>
      <c r="O348" s="55">
        <f>$L$348-EFEITO!$O$348*EFEITO!$AA$348</f>
        <v>0</v>
      </c>
      <c r="P348" s="39"/>
      <c r="Q348" s="39"/>
      <c r="R348" s="39"/>
      <c r="S348" s="39"/>
      <c r="T348" s="39"/>
      <c r="U348" s="39"/>
      <c r="V348" s="39"/>
      <c r="W348" s="39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35" t="s">
        <v>21</v>
      </c>
      <c r="B349" s="35" t="s">
        <v>32</v>
      </c>
      <c r="C349" s="35" t="s">
        <v>23</v>
      </c>
      <c r="D349" s="35" t="s">
        <v>43</v>
      </c>
      <c r="E349" s="35" t="s">
        <v>25</v>
      </c>
      <c r="F349" s="35" t="s">
        <v>25</v>
      </c>
      <c r="G349" s="35" t="s">
        <v>25</v>
      </c>
      <c r="H349" s="35" t="s">
        <v>25</v>
      </c>
      <c r="I349" s="54">
        <v>44562</v>
      </c>
      <c r="J349" s="55">
        <f>EFEITO!$J$349*EFEITO!$Y$349</f>
        <v>0</v>
      </c>
      <c r="K349" s="55">
        <f ca="1">EFEITO!$L$349*EFEITO!$Z$349</f>
        <v>19025.304606334823</v>
      </c>
      <c r="L349" s="55">
        <f>EFEITO!$N$349*EFEITO!$AA$349</f>
        <v>11209.513694011981</v>
      </c>
      <c r="M349" s="55">
        <f>$J$349-EFEITO!$K$349*EFEITO!$Y$349</f>
        <v>0</v>
      </c>
      <c r="N349" s="55">
        <f ca="1">$K$349-EFEITO!$M$349*EFEITO!$Z$349</f>
        <v>0</v>
      </c>
      <c r="O349" s="55">
        <f>$L$349-EFEITO!$O$349*EFEITO!$AA$349</f>
        <v>0</v>
      </c>
      <c r="P349" s="39"/>
      <c r="Q349" s="39"/>
      <c r="R349" s="39"/>
      <c r="S349" s="39"/>
      <c r="T349" s="39"/>
      <c r="U349" s="39"/>
      <c r="V349" s="39"/>
      <c r="W349" s="39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35" t="s">
        <v>21</v>
      </c>
      <c r="B350" s="35" t="s">
        <v>32</v>
      </c>
      <c r="C350" s="35" t="s">
        <v>23</v>
      </c>
      <c r="D350" s="35" t="s">
        <v>43</v>
      </c>
      <c r="E350" s="35" t="s">
        <v>25</v>
      </c>
      <c r="F350" s="35" t="s">
        <v>25</v>
      </c>
      <c r="G350" s="35" t="s">
        <v>25</v>
      </c>
      <c r="H350" s="35" t="s">
        <v>25</v>
      </c>
      <c r="I350" s="54">
        <v>44593</v>
      </c>
      <c r="J350" s="55">
        <f>EFEITO!$J$350*EFEITO!$Y$350</f>
        <v>0</v>
      </c>
      <c r="K350" s="55">
        <f ca="1">EFEITO!$L$350*EFEITO!$Z$350</f>
        <v>24792.117383233606</v>
      </c>
      <c r="L350" s="55">
        <f>EFEITO!$N$350*EFEITO!$AA$350</f>
        <v>14607.260438730384</v>
      </c>
      <c r="M350" s="55">
        <f>$J$350-EFEITO!$K$350*EFEITO!$Y$350</f>
        <v>0</v>
      </c>
      <c r="N350" s="55">
        <f ca="1">$K$350-EFEITO!$M$350*EFEITO!$Z$350</f>
        <v>0</v>
      </c>
      <c r="O350" s="55">
        <f>$L$350-EFEITO!$O$350*EFEITO!$AA$350</f>
        <v>0</v>
      </c>
      <c r="P350" s="39"/>
      <c r="Q350" s="39"/>
      <c r="R350" s="39"/>
      <c r="S350" s="39"/>
      <c r="T350" s="39"/>
      <c r="U350" s="39"/>
      <c r="V350" s="39"/>
      <c r="W350" s="39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35" t="s">
        <v>21</v>
      </c>
      <c r="B351" s="35" t="s">
        <v>32</v>
      </c>
      <c r="C351" s="35" t="s">
        <v>23</v>
      </c>
      <c r="D351" s="35" t="s">
        <v>43</v>
      </c>
      <c r="E351" s="35" t="s">
        <v>25</v>
      </c>
      <c r="F351" s="35" t="s">
        <v>25</v>
      </c>
      <c r="G351" s="35" t="s">
        <v>25</v>
      </c>
      <c r="H351" s="35" t="s">
        <v>25</v>
      </c>
      <c r="I351" s="54">
        <v>44621</v>
      </c>
      <c r="J351" s="55">
        <f>EFEITO!$J$351*EFEITO!$Y$351</f>
        <v>0</v>
      </c>
      <c r="K351" s="55">
        <f ca="1">EFEITO!$L$351*EFEITO!$Z$351</f>
        <v>25517.468524303989</v>
      </c>
      <c r="L351" s="55">
        <f>EFEITO!$N$351*EFEITO!$AA$351</f>
        <v>15034.629866817668</v>
      </c>
      <c r="M351" s="55">
        <f>$J$351-EFEITO!$K$351*EFEITO!$Y$351</f>
        <v>0</v>
      </c>
      <c r="N351" s="55">
        <f ca="1">$K$351-EFEITO!$M$351*EFEITO!$Z$351</f>
        <v>0</v>
      </c>
      <c r="O351" s="55">
        <f>$L$351-EFEITO!$O$351*EFEITO!$AA$351</f>
        <v>0</v>
      </c>
      <c r="P351" s="39"/>
      <c r="Q351" s="39"/>
      <c r="R351" s="39"/>
      <c r="S351" s="39"/>
      <c r="T351" s="39"/>
      <c r="U351" s="39"/>
      <c r="V351" s="39"/>
      <c r="W351" s="39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35" t="s">
        <v>21</v>
      </c>
      <c r="B352" s="35" t="s">
        <v>32</v>
      </c>
      <c r="C352" s="35" t="s">
        <v>23</v>
      </c>
      <c r="D352" s="35" t="s">
        <v>43</v>
      </c>
      <c r="E352" s="35" t="s">
        <v>25</v>
      </c>
      <c r="F352" s="35" t="s">
        <v>25</v>
      </c>
      <c r="G352" s="35" t="s">
        <v>25</v>
      </c>
      <c r="H352" s="35" t="s">
        <v>25</v>
      </c>
      <c r="I352" s="54">
        <v>44652</v>
      </c>
      <c r="J352" s="55">
        <f>EFEITO!$J$352*EFEITO!$Y$352</f>
        <v>0</v>
      </c>
      <c r="K352" s="55">
        <f ca="1">EFEITO!$L$352*EFEITO!$Z$352</f>
        <v>25914.907694734124</v>
      </c>
      <c r="L352" s="55">
        <f>EFEITO!$N$352*EFEITO!$AA$352</f>
        <v>15268.796936184322</v>
      </c>
      <c r="M352" s="55">
        <f>$J$352-EFEITO!$K$352*EFEITO!$Y$352</f>
        <v>0</v>
      </c>
      <c r="N352" s="55">
        <f ca="1">$K$352-EFEITO!$M$352*EFEITO!$Z$352</f>
        <v>0</v>
      </c>
      <c r="O352" s="55">
        <f>$L$352-EFEITO!$O$352*EFEITO!$AA$352</f>
        <v>0</v>
      </c>
      <c r="P352" s="39"/>
      <c r="Q352" s="39"/>
      <c r="R352" s="39"/>
      <c r="S352" s="39"/>
      <c r="T352" s="39"/>
      <c r="U352" s="39"/>
      <c r="V352" s="39"/>
      <c r="W352" s="39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35" t="s">
        <v>21</v>
      </c>
      <c r="B353" s="35" t="s">
        <v>32</v>
      </c>
      <c r="C353" s="35" t="s">
        <v>23</v>
      </c>
      <c r="D353" s="35" t="s">
        <v>43</v>
      </c>
      <c r="E353" s="35" t="s">
        <v>25</v>
      </c>
      <c r="F353" s="35" t="s">
        <v>25</v>
      </c>
      <c r="G353" s="35" t="s">
        <v>25</v>
      </c>
      <c r="H353" s="35" t="s">
        <v>25</v>
      </c>
      <c r="I353" s="54">
        <v>44682</v>
      </c>
      <c r="J353" s="55">
        <f>EFEITO!$J$353*EFEITO!$Y$353</f>
        <v>0</v>
      </c>
      <c r="K353" s="55">
        <f ca="1">EFEITO!$L$353*EFEITO!$Z$353</f>
        <v>18192.950611687102</v>
      </c>
      <c r="L353" s="55">
        <f>EFEITO!$N$353*EFEITO!$AA$353</f>
        <v>10719.099285710601</v>
      </c>
      <c r="M353" s="55">
        <f>$J$353-EFEITO!$K$353*EFEITO!$Y$353</f>
        <v>0</v>
      </c>
      <c r="N353" s="55">
        <f ca="1">$K$353-EFEITO!$M$353*EFEITO!$Z$353</f>
        <v>0</v>
      </c>
      <c r="O353" s="55">
        <f>$L$353-EFEITO!$O$353*EFEITO!$AA$353</f>
        <v>0</v>
      </c>
      <c r="P353" s="39"/>
      <c r="Q353" s="39"/>
      <c r="R353" s="39"/>
      <c r="S353" s="39"/>
      <c r="T353" s="39"/>
      <c r="U353" s="39"/>
      <c r="V353" s="39"/>
      <c r="W353" s="39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35" t="s">
        <v>21</v>
      </c>
      <c r="B354" s="35" t="s">
        <v>32</v>
      </c>
      <c r="C354" s="35" t="s">
        <v>23</v>
      </c>
      <c r="D354" s="35" t="s">
        <v>43</v>
      </c>
      <c r="E354" s="35" t="s">
        <v>25</v>
      </c>
      <c r="F354" s="35" t="s">
        <v>25</v>
      </c>
      <c r="G354" s="35" t="s">
        <v>25</v>
      </c>
      <c r="H354" s="35" t="s">
        <v>25</v>
      </c>
      <c r="I354" s="54">
        <v>44713</v>
      </c>
      <c r="J354" s="55">
        <f>EFEITO!$J$354*EFEITO!$Y$354</f>
        <v>0</v>
      </c>
      <c r="K354" s="55">
        <f ca="1">EFEITO!$L$354*EFEITO!$Z$354</f>
        <v>15310.776975007031</v>
      </c>
      <c r="L354" s="55">
        <f>EFEITO!$N$354*EFEITO!$AA$354</f>
        <v>9020.9522380082435</v>
      </c>
      <c r="M354" s="55">
        <f>$J$354-EFEITO!$K$354*EFEITO!$Y$354</f>
        <v>0</v>
      </c>
      <c r="N354" s="55">
        <f ca="1">$K$354-EFEITO!$M$354*EFEITO!$Z$354</f>
        <v>0</v>
      </c>
      <c r="O354" s="55">
        <f>$L$354-EFEITO!$O$354*EFEITO!$AA$354</f>
        <v>0</v>
      </c>
      <c r="P354" s="39"/>
      <c r="Q354" s="39"/>
      <c r="R354" s="39"/>
      <c r="S354" s="39"/>
      <c r="T354" s="39"/>
      <c r="U354" s="39"/>
      <c r="V354" s="39"/>
      <c r="W354" s="39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35" t="s">
        <v>21</v>
      </c>
      <c r="B355" s="35" t="s">
        <v>32</v>
      </c>
      <c r="C355" s="35" t="s">
        <v>23</v>
      </c>
      <c r="D355" s="35" t="s">
        <v>43</v>
      </c>
      <c r="E355" s="35" t="s">
        <v>25</v>
      </c>
      <c r="F355" s="35" t="s">
        <v>25</v>
      </c>
      <c r="G355" s="35" t="s">
        <v>25</v>
      </c>
      <c r="H355" s="35" t="s">
        <v>25</v>
      </c>
      <c r="I355" s="54">
        <v>44743</v>
      </c>
      <c r="J355" s="55">
        <f>EFEITO!$J$355*EFEITO!$Y$355</f>
        <v>0</v>
      </c>
      <c r="K355" s="55">
        <f ca="1">EFEITO!$L$355*EFEITO!$Z$355</f>
        <v>18514.945373834591</v>
      </c>
      <c r="L355" s="55">
        <f>EFEITO!$N$355*EFEITO!$AA$355</f>
        <v>10908.815286078374</v>
      </c>
      <c r="M355" s="55">
        <f>$J$355-EFEITO!$K$355*EFEITO!$Y$355</f>
        <v>0</v>
      </c>
      <c r="N355" s="55">
        <f ca="1">$K$355-EFEITO!$M$355*EFEITO!$Z$355</f>
        <v>0</v>
      </c>
      <c r="O355" s="55">
        <f>$L$355-EFEITO!$O$355*EFEITO!$AA$355</f>
        <v>0</v>
      </c>
      <c r="P355" s="39"/>
      <c r="Q355" s="39"/>
      <c r="R355" s="39"/>
      <c r="S355" s="39"/>
      <c r="T355" s="39"/>
      <c r="U355" s="39"/>
      <c r="V355" s="39"/>
      <c r="W355" s="39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35" t="s">
        <v>21</v>
      </c>
      <c r="B356" s="35" t="s">
        <v>32</v>
      </c>
      <c r="C356" s="35" t="s">
        <v>23</v>
      </c>
      <c r="D356" s="35" t="s">
        <v>47</v>
      </c>
      <c r="E356" s="35" t="s">
        <v>48</v>
      </c>
      <c r="F356" s="35" t="s">
        <v>25</v>
      </c>
      <c r="G356" s="35" t="s">
        <v>25</v>
      </c>
      <c r="H356" s="35" t="s">
        <v>25</v>
      </c>
      <c r="I356" s="54">
        <v>44409</v>
      </c>
      <c r="J356" s="55">
        <f>EFEITO!$J$356*EFEITO!$Y$355</f>
        <v>0</v>
      </c>
      <c r="K356" s="55">
        <f ca="1">EFEITO!$L$356*EFEITO!$Z$355</f>
        <v>453.15955040358978</v>
      </c>
      <c r="L356" s="55">
        <f>EFEITO!$N$356*EFEITO!$AA$355</f>
        <v>266.99694385602498</v>
      </c>
      <c r="M356" s="55">
        <f>$J$356-EFEITO!$K$356*EFEITO!$Y$356</f>
        <v>0</v>
      </c>
      <c r="N356" s="55">
        <f ca="1">$K$356-EFEITO!$M$356*EFEITO!$Z$356</f>
        <v>13.594786512107703</v>
      </c>
      <c r="O356" s="55">
        <f>$L$356-EFEITO!$O$356*EFEITO!$AA$356</f>
        <v>8.0099083156807751</v>
      </c>
      <c r="P356" s="39"/>
      <c r="Q356" s="39"/>
      <c r="R356" s="39"/>
      <c r="S356" s="39"/>
      <c r="T356" s="39"/>
      <c r="U356" s="39"/>
      <c r="V356" s="39"/>
      <c r="W356" s="39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35" t="s">
        <v>21</v>
      </c>
      <c r="B357" s="35" t="s">
        <v>32</v>
      </c>
      <c r="C357" s="35" t="s">
        <v>23</v>
      </c>
      <c r="D357" s="35" t="s">
        <v>47</v>
      </c>
      <c r="E357" s="35" t="s">
        <v>48</v>
      </c>
      <c r="F357" s="35" t="s">
        <v>25</v>
      </c>
      <c r="G357" s="35" t="s">
        <v>25</v>
      </c>
      <c r="H357" s="35" t="s">
        <v>25</v>
      </c>
      <c r="I357" s="54">
        <v>44440</v>
      </c>
      <c r="J357" s="55">
        <f>EFEITO!$J$357*EFEITO!$Y$355</f>
        <v>0</v>
      </c>
      <c r="K357" s="55">
        <f ca="1">EFEITO!$L$357*EFEITO!$Z$355</f>
        <v>459.56985960407582</v>
      </c>
      <c r="L357" s="55">
        <f>EFEITO!$N$357*EFEITO!$AA$355</f>
        <v>270.7738320716162</v>
      </c>
      <c r="M357" s="55">
        <f>$J$357-EFEITO!$K$357*EFEITO!$Y$357</f>
        <v>0</v>
      </c>
      <c r="N357" s="55">
        <f ca="1">$K$357-EFEITO!$M$357*EFEITO!$Z$357</f>
        <v>13.787095788122315</v>
      </c>
      <c r="O357" s="55">
        <f>$L$357-EFEITO!$O$357*EFEITO!$AA$357</f>
        <v>8.123214962148495</v>
      </c>
      <c r="P357" s="39"/>
      <c r="Q357" s="39"/>
      <c r="R357" s="39"/>
      <c r="S357" s="39"/>
      <c r="T357" s="39"/>
      <c r="U357" s="39"/>
      <c r="V357" s="39"/>
      <c r="W357" s="39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35" t="s">
        <v>21</v>
      </c>
      <c r="B358" s="35" t="s">
        <v>32</v>
      </c>
      <c r="C358" s="35" t="s">
        <v>23</v>
      </c>
      <c r="D358" s="35" t="s">
        <v>47</v>
      </c>
      <c r="E358" s="35" t="s">
        <v>48</v>
      </c>
      <c r="F358" s="35" t="s">
        <v>25</v>
      </c>
      <c r="G358" s="35" t="s">
        <v>25</v>
      </c>
      <c r="H358" s="35" t="s">
        <v>25</v>
      </c>
      <c r="I358" s="54">
        <v>44470</v>
      </c>
      <c r="J358" s="55">
        <f>EFEITO!$J$358*EFEITO!$Y$355</f>
        <v>0</v>
      </c>
      <c r="K358" s="55">
        <f ca="1">EFEITO!$L$358*EFEITO!$Z$355</f>
        <v>598.13115847612016</v>
      </c>
      <c r="L358" s="55">
        <f>EFEITO!$N$358*EFEITO!$AA$355</f>
        <v>352.41272350093396</v>
      </c>
      <c r="M358" s="55">
        <f>$J$358-EFEITO!$K$358*EFEITO!$Y$358</f>
        <v>0</v>
      </c>
      <c r="N358" s="55">
        <f ca="1">$K$358-EFEITO!$M$358*EFEITO!$Z$358</f>
        <v>17.943934754283646</v>
      </c>
      <c r="O358" s="55">
        <f>$L$358-EFEITO!$O$358*EFEITO!$AA$358</f>
        <v>10.572381705028022</v>
      </c>
      <c r="P358" s="39"/>
      <c r="Q358" s="39"/>
      <c r="R358" s="39"/>
      <c r="S358" s="39"/>
      <c r="T358" s="39"/>
      <c r="U358" s="39"/>
      <c r="V358" s="39"/>
      <c r="W358" s="39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35" t="s">
        <v>21</v>
      </c>
      <c r="B359" s="35" t="s">
        <v>32</v>
      </c>
      <c r="C359" s="35" t="s">
        <v>23</v>
      </c>
      <c r="D359" s="35" t="s">
        <v>47</v>
      </c>
      <c r="E359" s="35" t="s">
        <v>48</v>
      </c>
      <c r="F359" s="35" t="s">
        <v>25</v>
      </c>
      <c r="G359" s="35" t="s">
        <v>25</v>
      </c>
      <c r="H359" s="35" t="s">
        <v>25</v>
      </c>
      <c r="I359" s="54">
        <v>44501</v>
      </c>
      <c r="J359" s="55">
        <f>EFEITO!$J$359*EFEITO!$Y$355</f>
        <v>0</v>
      </c>
      <c r="K359" s="55">
        <f ca="1">EFEITO!$L$359*EFEITO!$Z$355</f>
        <v>562.6279075195821</v>
      </c>
      <c r="L359" s="55">
        <f>EFEITO!$N$359*EFEITO!$AA$355</f>
        <v>331.49457338381336</v>
      </c>
      <c r="M359" s="55">
        <f>$J$359-EFEITO!$K$359*EFEITO!$Y$359</f>
        <v>0</v>
      </c>
      <c r="N359" s="55">
        <f ca="1">$K$359-EFEITO!$M$359*EFEITO!$Z$359</f>
        <v>16.878837225587517</v>
      </c>
      <c r="O359" s="55">
        <f>$L$359-EFEITO!$O$359*EFEITO!$AA$359</f>
        <v>9.9448372015143605</v>
      </c>
      <c r="P359" s="39"/>
      <c r="Q359" s="39"/>
      <c r="R359" s="39"/>
      <c r="S359" s="39"/>
      <c r="T359" s="39"/>
      <c r="U359" s="39"/>
      <c r="V359" s="39"/>
      <c r="W359" s="39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35" t="s">
        <v>21</v>
      </c>
      <c r="B360" s="35" t="s">
        <v>32</v>
      </c>
      <c r="C360" s="35" t="s">
        <v>23</v>
      </c>
      <c r="D360" s="35" t="s">
        <v>47</v>
      </c>
      <c r="E360" s="35" t="s">
        <v>48</v>
      </c>
      <c r="F360" s="35" t="s">
        <v>25</v>
      </c>
      <c r="G360" s="35" t="s">
        <v>25</v>
      </c>
      <c r="H360" s="35" t="s">
        <v>25</v>
      </c>
      <c r="I360" s="54">
        <v>44531</v>
      </c>
      <c r="J360" s="55">
        <f>EFEITO!$J$360*EFEITO!$Y$355</f>
        <v>0</v>
      </c>
      <c r="K360" s="55">
        <f ca="1">EFEITO!$L$360*EFEITO!$Z$355</f>
        <v>428.50451501710501</v>
      </c>
      <c r="L360" s="55">
        <f>EFEITO!$N$360*EFEITO!$AA$355</f>
        <v>252.4704507191357</v>
      </c>
      <c r="M360" s="55">
        <f>$J$360-EFEITO!$K$360*EFEITO!$Y$360</f>
        <v>0</v>
      </c>
      <c r="N360" s="55">
        <f ca="1">$K$360-EFEITO!$M$360*EFEITO!$Z$360</f>
        <v>12.85513545051316</v>
      </c>
      <c r="O360" s="55">
        <f>$L$360-EFEITO!$O$360*EFEITO!$AA$360</f>
        <v>7.5741135215740769</v>
      </c>
      <c r="P360" s="39"/>
      <c r="Q360" s="39"/>
      <c r="R360" s="39"/>
      <c r="S360" s="39"/>
      <c r="T360" s="39"/>
      <c r="U360" s="39"/>
      <c r="V360" s="39"/>
      <c r="W360" s="39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35" t="s">
        <v>21</v>
      </c>
      <c r="B361" s="35" t="s">
        <v>32</v>
      </c>
      <c r="C361" s="35" t="s">
        <v>23</v>
      </c>
      <c r="D361" s="35" t="s">
        <v>47</v>
      </c>
      <c r="E361" s="35" t="s">
        <v>48</v>
      </c>
      <c r="F361" s="35" t="s">
        <v>25</v>
      </c>
      <c r="G361" s="35" t="s">
        <v>25</v>
      </c>
      <c r="H361" s="35" t="s">
        <v>25</v>
      </c>
      <c r="I361" s="54">
        <v>44562</v>
      </c>
      <c r="J361" s="55">
        <f>EFEITO!$J$361*EFEITO!$Y$355</f>
        <v>0</v>
      </c>
      <c r="K361" s="55">
        <f ca="1">EFEITO!$L$361*EFEITO!$Z$355</f>
        <v>340.73258904121923</v>
      </c>
      <c r="L361" s="55">
        <f>EFEITO!$N$361*EFEITO!$AA$355</f>
        <v>200.75613515180984</v>
      </c>
      <c r="M361" s="55">
        <f>$J$361-EFEITO!$K$361*EFEITO!$Y$361</f>
        <v>0</v>
      </c>
      <c r="N361" s="55">
        <f ca="1">$K$361-EFEITO!$M$361*EFEITO!$Z$361</f>
        <v>10.221977671236573</v>
      </c>
      <c r="O361" s="55">
        <f>$L$361-EFEITO!$O$361*EFEITO!$AA$361</f>
        <v>6.0226840545543041</v>
      </c>
      <c r="P361" s="39"/>
      <c r="Q361" s="39"/>
      <c r="R361" s="39"/>
      <c r="S361" s="39"/>
      <c r="T361" s="39"/>
      <c r="U361" s="39"/>
      <c r="V361" s="39"/>
      <c r="W361" s="39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35" t="s">
        <v>21</v>
      </c>
      <c r="B362" s="35" t="s">
        <v>32</v>
      </c>
      <c r="C362" s="35" t="s">
        <v>23</v>
      </c>
      <c r="D362" s="35" t="s">
        <v>47</v>
      </c>
      <c r="E362" s="35" t="s">
        <v>48</v>
      </c>
      <c r="F362" s="35" t="s">
        <v>25</v>
      </c>
      <c r="G362" s="35" t="s">
        <v>25</v>
      </c>
      <c r="H362" s="35" t="s">
        <v>25</v>
      </c>
      <c r="I362" s="54">
        <v>44593</v>
      </c>
      <c r="J362" s="55">
        <f>EFEITO!$J$362*EFEITO!$Y$355</f>
        <v>0</v>
      </c>
      <c r="K362" s="55">
        <f ca="1">EFEITO!$L$362*EFEITO!$Z$355</f>
        <v>435.40792492532074</v>
      </c>
      <c r="L362" s="55">
        <f>EFEITO!$N$362*EFEITO!$AA$355</f>
        <v>256.53786879746468</v>
      </c>
      <c r="M362" s="55">
        <f>$J$362-EFEITO!$K$362*EFEITO!$Y$362</f>
        <v>0</v>
      </c>
      <c r="N362" s="55">
        <f ca="1">$K$362-EFEITO!$M$362*EFEITO!$Z$362</f>
        <v>13.062237747759639</v>
      </c>
      <c r="O362" s="55">
        <f>$L$362-EFEITO!$O$362*EFEITO!$AA$362</f>
        <v>7.696136063923916</v>
      </c>
      <c r="P362" s="39"/>
      <c r="Q362" s="39"/>
      <c r="R362" s="39"/>
      <c r="S362" s="39"/>
      <c r="T362" s="39"/>
      <c r="U362" s="39"/>
      <c r="V362" s="39"/>
      <c r="W362" s="39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35" t="s">
        <v>21</v>
      </c>
      <c r="B363" s="35" t="s">
        <v>32</v>
      </c>
      <c r="C363" s="35" t="s">
        <v>23</v>
      </c>
      <c r="D363" s="35" t="s">
        <v>47</v>
      </c>
      <c r="E363" s="35" t="s">
        <v>48</v>
      </c>
      <c r="F363" s="35" t="s">
        <v>25</v>
      </c>
      <c r="G363" s="35" t="s">
        <v>25</v>
      </c>
      <c r="H363" s="35" t="s">
        <v>25</v>
      </c>
      <c r="I363" s="54">
        <v>44621</v>
      </c>
      <c r="J363" s="55">
        <f>EFEITO!$J$363*EFEITO!$Y$355</f>
        <v>0</v>
      </c>
      <c r="K363" s="55">
        <f ca="1">EFEITO!$L$363*EFEITO!$Z$355</f>
        <v>350.59460319581314</v>
      </c>
      <c r="L363" s="55">
        <f>EFEITO!$N$363*EFEITO!$AA$355</f>
        <v>206.56673240656556</v>
      </c>
      <c r="M363" s="55">
        <f>$J$363-EFEITO!$K$363*EFEITO!$Y$363</f>
        <v>0</v>
      </c>
      <c r="N363" s="55">
        <f ca="1">$K$363-EFEITO!$M$363*EFEITO!$Z$363</f>
        <v>10.517838095874367</v>
      </c>
      <c r="O363" s="55">
        <f>$L$363-EFEITO!$O$363*EFEITO!$AA$363</f>
        <v>6.197001972196972</v>
      </c>
      <c r="P363" s="39"/>
      <c r="Q363" s="39"/>
      <c r="R363" s="39"/>
      <c r="S363" s="39"/>
      <c r="T363" s="39"/>
      <c r="U363" s="39"/>
      <c r="V363" s="39"/>
      <c r="W363" s="39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35" t="s">
        <v>21</v>
      </c>
      <c r="B364" s="35" t="s">
        <v>32</v>
      </c>
      <c r="C364" s="35" t="s">
        <v>23</v>
      </c>
      <c r="D364" s="35" t="s">
        <v>47</v>
      </c>
      <c r="E364" s="35" t="s">
        <v>48</v>
      </c>
      <c r="F364" s="35" t="s">
        <v>25</v>
      </c>
      <c r="G364" s="35" t="s">
        <v>25</v>
      </c>
      <c r="H364" s="35" t="s">
        <v>25</v>
      </c>
      <c r="I364" s="54">
        <v>44652</v>
      </c>
      <c r="J364" s="55">
        <f>EFEITO!$J$364*EFEITO!$Y$355</f>
        <v>0</v>
      </c>
      <c r="K364" s="55">
        <f ca="1">EFEITO!$L$364*EFEITO!$Z$355</f>
        <v>391.52196193737791</v>
      </c>
      <c r="L364" s="55">
        <f>EFEITO!$N$364*EFEITO!$AA$355</f>
        <v>230.68071101380178</v>
      </c>
      <c r="M364" s="55">
        <f>$J$364-EFEITO!$K$364*EFEITO!$Y$364</f>
        <v>0</v>
      </c>
      <c r="N364" s="55">
        <f ca="1">$K$364-EFEITO!$M$364*EFEITO!$Z$364</f>
        <v>11.745658858121374</v>
      </c>
      <c r="O364" s="55">
        <f>$L$364-EFEITO!$O$364*EFEITO!$AA$364</f>
        <v>6.920421330414058</v>
      </c>
      <c r="P364" s="39"/>
      <c r="Q364" s="39"/>
      <c r="R364" s="39"/>
      <c r="S364" s="39"/>
      <c r="T364" s="39"/>
      <c r="U364" s="39"/>
      <c r="V364" s="39"/>
      <c r="W364" s="39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35" t="s">
        <v>21</v>
      </c>
      <c r="B365" s="35" t="s">
        <v>32</v>
      </c>
      <c r="C365" s="35" t="s">
        <v>23</v>
      </c>
      <c r="D365" s="35" t="s">
        <v>47</v>
      </c>
      <c r="E365" s="35" t="s">
        <v>48</v>
      </c>
      <c r="F365" s="35" t="s">
        <v>25</v>
      </c>
      <c r="G365" s="35" t="s">
        <v>25</v>
      </c>
      <c r="H365" s="35" t="s">
        <v>25</v>
      </c>
      <c r="I365" s="54">
        <v>44682</v>
      </c>
      <c r="J365" s="55">
        <f>EFEITO!$J$365*EFEITO!$Y$355</f>
        <v>0</v>
      </c>
      <c r="K365" s="55">
        <f ca="1">EFEITO!$L$365*EFEITO!$Z$355</f>
        <v>333.33607842527385</v>
      </c>
      <c r="L365" s="55">
        <f>EFEITO!$N$365*EFEITO!$AA$355</f>
        <v>196.39818721074309</v>
      </c>
      <c r="M365" s="55">
        <f>$J$365-EFEITO!$K$365*EFEITO!$Y$365</f>
        <v>0</v>
      </c>
      <c r="N365" s="55">
        <f ca="1">$K$365-EFEITO!$M$365*EFEITO!$Z$365</f>
        <v>10.000082352758227</v>
      </c>
      <c r="O365" s="55">
        <f>$L$365-EFEITO!$O$365*EFEITO!$AA$365</f>
        <v>5.891945616322289</v>
      </c>
      <c r="P365" s="39"/>
      <c r="Q365" s="39"/>
      <c r="R365" s="39"/>
      <c r="S365" s="39"/>
      <c r="T365" s="39"/>
      <c r="U365" s="39"/>
      <c r="V365" s="39"/>
      <c r="W365" s="39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35" t="s">
        <v>21</v>
      </c>
      <c r="B366" s="35" t="s">
        <v>32</v>
      </c>
      <c r="C366" s="35" t="s">
        <v>23</v>
      </c>
      <c r="D366" s="35" t="s">
        <v>47</v>
      </c>
      <c r="E366" s="35" t="s">
        <v>48</v>
      </c>
      <c r="F366" s="35" t="s">
        <v>25</v>
      </c>
      <c r="G366" s="35" t="s">
        <v>25</v>
      </c>
      <c r="H366" s="35" t="s">
        <v>25</v>
      </c>
      <c r="I366" s="54">
        <v>44713</v>
      </c>
      <c r="J366" s="55">
        <f>EFEITO!$J$366*EFEITO!$Y$355</f>
        <v>0</v>
      </c>
      <c r="K366" s="55">
        <f ca="1">EFEITO!$L$366*EFEITO!$Z$355</f>
        <v>414.69769520067354</v>
      </c>
      <c r="L366" s="55">
        <f>EFEITO!$N$366*EFEITO!$AA$355</f>
        <v>244.33561456247767</v>
      </c>
      <c r="M366" s="55">
        <f>$J$366-EFEITO!$K$366*EFEITO!$Y$366</f>
        <v>0</v>
      </c>
      <c r="N366" s="55">
        <f ca="1">$K$366-EFEITO!$M$366*EFEITO!$Z$366</f>
        <v>12.440930856020259</v>
      </c>
      <c r="O366" s="55">
        <f>$L$366-EFEITO!$O$366*EFEITO!$AA$366</f>
        <v>7.3300684368743134</v>
      </c>
      <c r="P366" s="39"/>
      <c r="Q366" s="39"/>
      <c r="R366" s="39"/>
      <c r="S366" s="39"/>
      <c r="T366" s="39"/>
      <c r="U366" s="39"/>
      <c r="V366" s="39"/>
      <c r="W366" s="39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35" t="s">
        <v>21</v>
      </c>
      <c r="B367" s="35" t="s">
        <v>32</v>
      </c>
      <c r="C367" s="35" t="s">
        <v>23</v>
      </c>
      <c r="D367" s="35" t="s">
        <v>47</v>
      </c>
      <c r="E367" s="35" t="s">
        <v>48</v>
      </c>
      <c r="F367" s="35" t="s">
        <v>25</v>
      </c>
      <c r="G367" s="35" t="s">
        <v>25</v>
      </c>
      <c r="H367" s="35" t="s">
        <v>25</v>
      </c>
      <c r="I367" s="54">
        <v>44743</v>
      </c>
      <c r="J367" s="55">
        <f>EFEITO!$J$367*EFEITO!$Y$355</f>
        <v>0</v>
      </c>
      <c r="K367" s="55">
        <f ca="1">EFEITO!$L$367*EFEITO!$Z$355</f>
        <v>408.78048670791719</v>
      </c>
      <c r="L367" s="55">
        <f>EFEITO!$N$367*EFEITO!$AA$355</f>
        <v>240.84925620962426</v>
      </c>
      <c r="M367" s="55">
        <f>$J$367-EFEITO!$K$367*EFEITO!$Y$367</f>
        <v>0</v>
      </c>
      <c r="N367" s="55">
        <f ca="1">$K$367-EFEITO!$M$367*EFEITO!$Z$367</f>
        <v>12.263414601237514</v>
      </c>
      <c r="O367" s="55">
        <f>$L$367-EFEITO!$O$367*EFEITO!$AA$367</f>
        <v>7.2254776862887411</v>
      </c>
      <c r="P367" s="39"/>
      <c r="Q367" s="39"/>
      <c r="R367" s="39"/>
      <c r="S367" s="39"/>
      <c r="T367" s="39"/>
      <c r="U367" s="39"/>
      <c r="V367" s="39"/>
      <c r="W367" s="39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35" t="s">
        <v>21</v>
      </c>
      <c r="B368" s="35" t="s">
        <v>44</v>
      </c>
      <c r="C368" s="35" t="s">
        <v>23</v>
      </c>
      <c r="D368" s="35" t="s">
        <v>45</v>
      </c>
      <c r="E368" s="35" t="s">
        <v>46</v>
      </c>
      <c r="F368" s="35" t="s">
        <v>25</v>
      </c>
      <c r="G368" s="35" t="s">
        <v>25</v>
      </c>
      <c r="H368" s="35" t="s">
        <v>25</v>
      </c>
      <c r="I368" s="54">
        <v>44409</v>
      </c>
      <c r="J368" s="55">
        <f>EFEITO!$J$368*EFEITO!$Y$368</f>
        <v>0</v>
      </c>
      <c r="K368" s="55">
        <f ca="1">EFEITO!$L$368*EFEITO!$Z$368</f>
        <v>8211.8279811410903</v>
      </c>
      <c r="L368" s="55">
        <f>EFEITO!$N$368*EFEITO!$AA$368</f>
        <v>4838.3245426105759</v>
      </c>
      <c r="M368" s="55">
        <f>$J$368-EFEITO!$K$368*EFEITO!$Y$368</f>
        <v>0</v>
      </c>
      <c r="N368" s="55">
        <f ca="1">$K$368-EFEITO!$M$368*EFEITO!$Z$368</f>
        <v>0</v>
      </c>
      <c r="O368" s="55">
        <f>$L$368-EFEITO!$O$368*EFEITO!$AA$368</f>
        <v>0</v>
      </c>
      <c r="P368" s="39"/>
      <c r="Q368" s="39"/>
      <c r="R368" s="39"/>
      <c r="S368" s="39"/>
      <c r="T368" s="39"/>
      <c r="U368" s="39"/>
      <c r="V368" s="39"/>
      <c r="W368" s="39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35" t="s">
        <v>21</v>
      </c>
      <c r="B369" s="35" t="s">
        <v>44</v>
      </c>
      <c r="C369" s="35" t="s">
        <v>23</v>
      </c>
      <c r="D369" s="35" t="s">
        <v>45</v>
      </c>
      <c r="E369" s="35" t="s">
        <v>46</v>
      </c>
      <c r="F369" s="35" t="s">
        <v>25</v>
      </c>
      <c r="G369" s="35" t="s">
        <v>25</v>
      </c>
      <c r="H369" s="35" t="s">
        <v>25</v>
      </c>
      <c r="I369" s="54">
        <v>44440</v>
      </c>
      <c r="J369" s="55">
        <f>EFEITO!$J$369*EFEITO!$Y$369</f>
        <v>0</v>
      </c>
      <c r="K369" s="55">
        <f ca="1">EFEITO!$L$369*EFEITO!$Z$369</f>
        <v>7950.1147805135552</v>
      </c>
      <c r="L369" s="55">
        <f>EFEITO!$N$369*EFEITO!$AA$369</f>
        <v>4684.1258179624965</v>
      </c>
      <c r="M369" s="55">
        <f>$J$369-EFEITO!$K$369*EFEITO!$Y$369</f>
        <v>0</v>
      </c>
      <c r="N369" s="55">
        <f ca="1">$K$369-EFEITO!$M$369*EFEITO!$Z$369</f>
        <v>0</v>
      </c>
      <c r="O369" s="55">
        <f>$L$369-EFEITO!$O$369*EFEITO!$AA$369</f>
        <v>0</v>
      </c>
      <c r="P369" s="39"/>
      <c r="Q369" s="39"/>
      <c r="R369" s="39"/>
      <c r="S369" s="39"/>
      <c r="T369" s="39"/>
      <c r="U369" s="39"/>
      <c r="V369" s="39"/>
      <c r="W369" s="39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35" t="s">
        <v>21</v>
      </c>
      <c r="B370" s="35" t="s">
        <v>44</v>
      </c>
      <c r="C370" s="35" t="s">
        <v>23</v>
      </c>
      <c r="D370" s="35" t="s">
        <v>45</v>
      </c>
      <c r="E370" s="35" t="s">
        <v>46</v>
      </c>
      <c r="F370" s="35" t="s">
        <v>25</v>
      </c>
      <c r="G370" s="35" t="s">
        <v>25</v>
      </c>
      <c r="H370" s="35" t="s">
        <v>25</v>
      </c>
      <c r="I370" s="54">
        <v>44470</v>
      </c>
      <c r="J370" s="55">
        <f>EFEITO!$J$370*EFEITO!$Y$370</f>
        <v>0</v>
      </c>
      <c r="K370" s="55">
        <f ca="1">EFEITO!$L$370*EFEITO!$Z$370</f>
        <v>8213.1840080873462</v>
      </c>
      <c r="L370" s="55">
        <f>EFEITO!$N$370*EFEITO!$AA$370</f>
        <v>4839.1234997331048</v>
      </c>
      <c r="M370" s="55">
        <f>$J$370-EFEITO!$K$370*EFEITO!$Y$370</f>
        <v>0</v>
      </c>
      <c r="N370" s="55">
        <f ca="1">$K$370-EFEITO!$M$370*EFEITO!$Z$370</f>
        <v>0</v>
      </c>
      <c r="O370" s="55">
        <f>$L$370-EFEITO!$O$370*EFEITO!$AA$370</f>
        <v>0</v>
      </c>
      <c r="P370" s="39"/>
      <c r="Q370" s="39"/>
      <c r="R370" s="39"/>
      <c r="S370" s="39"/>
      <c r="T370" s="39"/>
      <c r="U370" s="39"/>
      <c r="V370" s="39"/>
      <c r="W370" s="39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35" t="s">
        <v>21</v>
      </c>
      <c r="B371" s="35" t="s">
        <v>44</v>
      </c>
      <c r="C371" s="35" t="s">
        <v>23</v>
      </c>
      <c r="D371" s="35" t="s">
        <v>45</v>
      </c>
      <c r="E371" s="35" t="s">
        <v>46</v>
      </c>
      <c r="F371" s="35" t="s">
        <v>25</v>
      </c>
      <c r="G371" s="35" t="s">
        <v>25</v>
      </c>
      <c r="H371" s="35" t="s">
        <v>25</v>
      </c>
      <c r="I371" s="54">
        <v>44501</v>
      </c>
      <c r="J371" s="55">
        <f>EFEITO!$J$371*EFEITO!$Y$371</f>
        <v>0</v>
      </c>
      <c r="K371" s="55">
        <f ca="1">EFEITO!$L$371*EFEITO!$Z$371</f>
        <v>7958.5221475803455</v>
      </c>
      <c r="L371" s="55">
        <f>EFEITO!$N$371*EFEITO!$AA$371</f>
        <v>4689.0793521221749</v>
      </c>
      <c r="M371" s="55">
        <f>$J$371-EFEITO!$K$371*EFEITO!$Y$371</f>
        <v>0</v>
      </c>
      <c r="N371" s="55">
        <f ca="1">$K$371-EFEITO!$M$371*EFEITO!$Z$371</f>
        <v>0</v>
      </c>
      <c r="O371" s="55">
        <f>$L$371-EFEITO!$O$371*EFEITO!$AA$371</f>
        <v>0</v>
      </c>
      <c r="P371" s="39"/>
      <c r="Q371" s="39"/>
      <c r="R371" s="39"/>
      <c r="S371" s="39"/>
      <c r="T371" s="39"/>
      <c r="U371" s="39"/>
      <c r="V371" s="39"/>
      <c r="W371" s="39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35" t="s">
        <v>21</v>
      </c>
      <c r="B372" s="35" t="s">
        <v>44</v>
      </c>
      <c r="C372" s="35" t="s">
        <v>23</v>
      </c>
      <c r="D372" s="35" t="s">
        <v>45</v>
      </c>
      <c r="E372" s="35" t="s">
        <v>46</v>
      </c>
      <c r="F372" s="35" t="s">
        <v>25</v>
      </c>
      <c r="G372" s="35" t="s">
        <v>25</v>
      </c>
      <c r="H372" s="35" t="s">
        <v>25</v>
      </c>
      <c r="I372" s="54">
        <v>44531</v>
      </c>
      <c r="J372" s="55">
        <f>EFEITO!$J$372*EFEITO!$Y$372</f>
        <v>0</v>
      </c>
      <c r="K372" s="55">
        <f ca="1">EFEITO!$L$372*EFEITO!$Z$372</f>
        <v>8443.7085889509799</v>
      </c>
      <c r="L372" s="55">
        <f>EFEITO!$N$372*EFEITO!$AA$372</f>
        <v>4974.94621056302</v>
      </c>
      <c r="M372" s="55">
        <f>$J$372-EFEITO!$K$372*EFEITO!$Y$372</f>
        <v>0</v>
      </c>
      <c r="N372" s="55">
        <f ca="1">$K$372-EFEITO!$M$372*EFEITO!$Z$372</f>
        <v>0</v>
      </c>
      <c r="O372" s="55">
        <f>$L$372-EFEITO!$O$372*EFEITO!$AA$372</f>
        <v>0</v>
      </c>
      <c r="P372" s="39"/>
      <c r="Q372" s="39"/>
      <c r="R372" s="39"/>
      <c r="S372" s="39"/>
      <c r="T372" s="39"/>
      <c r="U372" s="39"/>
      <c r="V372" s="39"/>
      <c r="W372" s="39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35" t="s">
        <v>21</v>
      </c>
      <c r="B373" s="35" t="s">
        <v>44</v>
      </c>
      <c r="C373" s="35" t="s">
        <v>23</v>
      </c>
      <c r="D373" s="35" t="s">
        <v>45</v>
      </c>
      <c r="E373" s="35" t="s">
        <v>46</v>
      </c>
      <c r="F373" s="35" t="s">
        <v>25</v>
      </c>
      <c r="G373" s="35" t="s">
        <v>25</v>
      </c>
      <c r="H373" s="35" t="s">
        <v>25</v>
      </c>
      <c r="I373" s="54">
        <v>44562</v>
      </c>
      <c r="J373" s="55">
        <f>EFEITO!$J$373*EFEITO!$Y$373</f>
        <v>0</v>
      </c>
      <c r="K373" s="55">
        <f ca="1">EFEITO!$L$373*EFEITO!$Z$373</f>
        <v>8229.9987422209306</v>
      </c>
      <c r="L373" s="55">
        <f>EFEITO!$N$373*EFEITO!$AA$373</f>
        <v>4849.0305680524634</v>
      </c>
      <c r="M373" s="55">
        <f>$J$373-EFEITO!$K$373*EFEITO!$Y$373</f>
        <v>0</v>
      </c>
      <c r="N373" s="55">
        <f ca="1">$K$373-EFEITO!$M$373*EFEITO!$Z$373</f>
        <v>0</v>
      </c>
      <c r="O373" s="55">
        <f>$L$373-EFEITO!$O$373*EFEITO!$AA$373</f>
        <v>0</v>
      </c>
      <c r="P373" s="39"/>
      <c r="Q373" s="39"/>
      <c r="R373" s="39"/>
      <c r="S373" s="39"/>
      <c r="T373" s="39"/>
      <c r="U373" s="39"/>
      <c r="V373" s="39"/>
      <c r="W373" s="39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35" t="s">
        <v>21</v>
      </c>
      <c r="B374" s="35" t="s">
        <v>44</v>
      </c>
      <c r="C374" s="35" t="s">
        <v>23</v>
      </c>
      <c r="D374" s="35" t="s">
        <v>45</v>
      </c>
      <c r="E374" s="35" t="s">
        <v>46</v>
      </c>
      <c r="F374" s="35" t="s">
        <v>25</v>
      </c>
      <c r="G374" s="35" t="s">
        <v>25</v>
      </c>
      <c r="H374" s="35" t="s">
        <v>25</v>
      </c>
      <c r="I374" s="54">
        <v>44593</v>
      </c>
      <c r="J374" s="55">
        <f>EFEITO!$J$374*EFEITO!$Y$374</f>
        <v>0</v>
      </c>
      <c r="K374" s="55">
        <f ca="1">EFEITO!$L$374*EFEITO!$Z$374</f>
        <v>7367.8368097909452</v>
      </c>
      <c r="L374" s="55">
        <f>EFEITO!$N$374*EFEITO!$AA$374</f>
        <v>4341.0536295485826</v>
      </c>
      <c r="M374" s="55">
        <f>$J$374-EFEITO!$K$374*EFEITO!$Y$374</f>
        <v>0</v>
      </c>
      <c r="N374" s="55">
        <f ca="1">$K$374-EFEITO!$M$374*EFEITO!$Z$374</f>
        <v>0</v>
      </c>
      <c r="O374" s="55">
        <f>$L$374-EFEITO!$O$374*EFEITO!$AA$374</f>
        <v>0</v>
      </c>
      <c r="P374" s="39"/>
      <c r="Q374" s="39"/>
      <c r="R374" s="39"/>
      <c r="S374" s="39"/>
      <c r="T374" s="39"/>
      <c r="U374" s="39"/>
      <c r="V374" s="39"/>
      <c r="W374" s="39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35" t="s">
        <v>21</v>
      </c>
      <c r="B375" s="35" t="s">
        <v>44</v>
      </c>
      <c r="C375" s="35" t="s">
        <v>23</v>
      </c>
      <c r="D375" s="35" t="s">
        <v>45</v>
      </c>
      <c r="E375" s="35" t="s">
        <v>46</v>
      </c>
      <c r="F375" s="35" t="s">
        <v>25</v>
      </c>
      <c r="G375" s="35" t="s">
        <v>25</v>
      </c>
      <c r="H375" s="35" t="s">
        <v>25</v>
      </c>
      <c r="I375" s="54">
        <v>44621</v>
      </c>
      <c r="J375" s="55">
        <f>EFEITO!$J$375*EFEITO!$Y$375</f>
        <v>0</v>
      </c>
      <c r="K375" s="55">
        <f ca="1">EFEITO!$L$375*EFEITO!$Z$375</f>
        <v>8196.3692739537655</v>
      </c>
      <c r="L375" s="55">
        <f>EFEITO!$N$375*EFEITO!$AA$375</f>
        <v>4829.2164314137462</v>
      </c>
      <c r="M375" s="55">
        <f>$J$375-EFEITO!$K$375*EFEITO!$Y$375</f>
        <v>0</v>
      </c>
      <c r="N375" s="55">
        <f ca="1">$K$375-EFEITO!$M$375*EFEITO!$Z$375</f>
        <v>0</v>
      </c>
      <c r="O375" s="55">
        <f>$L$375-EFEITO!$O$375*EFEITO!$AA$375</f>
        <v>0</v>
      </c>
      <c r="P375" s="39"/>
      <c r="Q375" s="39"/>
      <c r="R375" s="39"/>
      <c r="S375" s="39"/>
      <c r="T375" s="39"/>
      <c r="U375" s="39"/>
      <c r="V375" s="39"/>
      <c r="W375" s="39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35" t="s">
        <v>21</v>
      </c>
      <c r="B376" s="35" t="s">
        <v>44</v>
      </c>
      <c r="C376" s="35" t="s">
        <v>23</v>
      </c>
      <c r="D376" s="35" t="s">
        <v>45</v>
      </c>
      <c r="E376" s="35" t="s">
        <v>46</v>
      </c>
      <c r="F376" s="35" t="s">
        <v>25</v>
      </c>
      <c r="G376" s="35" t="s">
        <v>25</v>
      </c>
      <c r="H376" s="35" t="s">
        <v>25</v>
      </c>
      <c r="I376" s="54">
        <v>44652</v>
      </c>
      <c r="J376" s="55">
        <f>EFEITO!$J$376*EFEITO!$Y$376</f>
        <v>0</v>
      </c>
      <c r="K376" s="55">
        <f ca="1">EFEITO!$L$376*EFEITO!$Z$376</f>
        <v>7947.6739320102924</v>
      </c>
      <c r="L376" s="55">
        <f>EFEITO!$N$376*EFEITO!$AA$376</f>
        <v>4682.6876951419445</v>
      </c>
      <c r="M376" s="55">
        <f>$J$376-EFEITO!$K$376*EFEITO!$Y$376</f>
        <v>0</v>
      </c>
      <c r="N376" s="55">
        <f ca="1">$K$376-EFEITO!$M$376*EFEITO!$Z$376</f>
        <v>0</v>
      </c>
      <c r="O376" s="55">
        <f>$L$376-EFEITO!$O$376*EFEITO!$AA$376</f>
        <v>0</v>
      </c>
      <c r="P376" s="39"/>
      <c r="Q376" s="39"/>
      <c r="R376" s="39"/>
      <c r="S376" s="39"/>
      <c r="T376" s="39"/>
      <c r="U376" s="39"/>
      <c r="V376" s="39"/>
      <c r="W376" s="39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35" t="s">
        <v>21</v>
      </c>
      <c r="B377" s="35" t="s">
        <v>44</v>
      </c>
      <c r="C377" s="35" t="s">
        <v>23</v>
      </c>
      <c r="D377" s="35" t="s">
        <v>45</v>
      </c>
      <c r="E377" s="35" t="s">
        <v>46</v>
      </c>
      <c r="F377" s="35" t="s">
        <v>25</v>
      </c>
      <c r="G377" s="35" t="s">
        <v>25</v>
      </c>
      <c r="H377" s="35" t="s">
        <v>25</v>
      </c>
      <c r="I377" s="54">
        <v>44682</v>
      </c>
      <c r="J377" s="55">
        <f>EFEITO!$J$377*EFEITO!$Y$377</f>
        <v>0</v>
      </c>
      <c r="K377" s="55">
        <f ca="1">EFEITO!$L$377*EFEITO!$Z$377</f>
        <v>8157.044492512322</v>
      </c>
      <c r="L377" s="55">
        <f>EFEITO!$N$377*EFEITO!$AA$377</f>
        <v>4806.0466748604085</v>
      </c>
      <c r="M377" s="55">
        <f>$J$377-EFEITO!$K$377*EFEITO!$Y$377</f>
        <v>0</v>
      </c>
      <c r="N377" s="55">
        <f ca="1">$K$377-EFEITO!$M$377*EFEITO!$Z$377</f>
        <v>0</v>
      </c>
      <c r="O377" s="55">
        <f>$L$377-EFEITO!$O$377*EFEITO!$AA$377</f>
        <v>0</v>
      </c>
      <c r="P377" s="39"/>
      <c r="Q377" s="39"/>
      <c r="R377" s="39"/>
      <c r="S377" s="39"/>
      <c r="T377" s="39"/>
      <c r="U377" s="39"/>
      <c r="V377" s="39"/>
      <c r="W377" s="39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35" t="s">
        <v>21</v>
      </c>
      <c r="B378" s="35" t="s">
        <v>44</v>
      </c>
      <c r="C378" s="35" t="s">
        <v>23</v>
      </c>
      <c r="D378" s="35" t="s">
        <v>45</v>
      </c>
      <c r="E378" s="35" t="s">
        <v>46</v>
      </c>
      <c r="F378" s="35" t="s">
        <v>25</v>
      </c>
      <c r="G378" s="35" t="s">
        <v>25</v>
      </c>
      <c r="H378" s="35" t="s">
        <v>25</v>
      </c>
      <c r="I378" s="54">
        <v>44713</v>
      </c>
      <c r="J378" s="55">
        <f>EFEITO!$J$378*EFEITO!$Y$378</f>
        <v>0</v>
      </c>
      <c r="K378" s="55">
        <f ca="1">EFEITO!$L$378*EFEITO!$Z$378</f>
        <v>7907.8067397903469</v>
      </c>
      <c r="L378" s="55">
        <f>EFEITO!$N$378*EFEITO!$AA$378</f>
        <v>4659.1983557395943</v>
      </c>
      <c r="M378" s="55">
        <f>$J$378-EFEITO!$K$378*EFEITO!$Y$378</f>
        <v>0</v>
      </c>
      <c r="N378" s="55">
        <f ca="1">$K$378-EFEITO!$M$378*EFEITO!$Z$378</f>
        <v>0</v>
      </c>
      <c r="O378" s="55">
        <f>$L$378-EFEITO!$O$378*EFEITO!$AA$378</f>
        <v>0</v>
      </c>
      <c r="P378" s="39"/>
      <c r="Q378" s="39"/>
      <c r="R378" s="39"/>
      <c r="S378" s="39"/>
      <c r="T378" s="39"/>
      <c r="U378" s="39"/>
      <c r="V378" s="39"/>
      <c r="W378" s="39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35" t="s">
        <v>21</v>
      </c>
      <c r="B379" s="35" t="s">
        <v>44</v>
      </c>
      <c r="C379" s="35" t="s">
        <v>23</v>
      </c>
      <c r="D379" s="35" t="s">
        <v>45</v>
      </c>
      <c r="E379" s="35" t="s">
        <v>46</v>
      </c>
      <c r="F379" s="35" t="s">
        <v>25</v>
      </c>
      <c r="G379" s="35" t="s">
        <v>25</v>
      </c>
      <c r="H379" s="35" t="s">
        <v>25</v>
      </c>
      <c r="I379" s="54">
        <v>44743</v>
      </c>
      <c r="J379" s="55">
        <f>EFEITO!$J$379*EFEITO!$Y$379</f>
        <v>0</v>
      </c>
      <c r="K379" s="55">
        <f ca="1">EFEITO!$L$379*EFEITO!$Z$379</f>
        <v>8153.7900278413053</v>
      </c>
      <c r="L379" s="55">
        <f>EFEITO!$N$379*EFEITO!$AA$379</f>
        <v>4804.1291777663391</v>
      </c>
      <c r="M379" s="55">
        <f>$J$379-EFEITO!$K$379*EFEITO!$Y$379</f>
        <v>0</v>
      </c>
      <c r="N379" s="55">
        <f ca="1">$K$379-EFEITO!$M$379*EFEITO!$Z$379</f>
        <v>0</v>
      </c>
      <c r="O379" s="55">
        <f>$L$379-EFEITO!$O$379*EFEITO!$AA$379</f>
        <v>0</v>
      </c>
      <c r="P379" s="39"/>
      <c r="Q379" s="39"/>
      <c r="R379" s="39"/>
      <c r="S379" s="39"/>
      <c r="T379" s="39"/>
      <c r="U379" s="39"/>
      <c r="V379" s="39"/>
      <c r="W379" s="39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A2AE-A6BC-4323-BF90-01ADEC5778F8}">
  <sheetPr codeName="Planilha23"/>
  <dimension ref="A1:BD103"/>
  <sheetViews>
    <sheetView showGridLines="0" topLeftCell="D40" workbookViewId="0">
      <selection activeCell="L53" sqref="L53:BD103"/>
    </sheetView>
  </sheetViews>
  <sheetFormatPr defaultColWidth="9.140625"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" style="9" bestFit="1" customWidth="1"/>
    <col min="14" max="14" width="7.85546875" style="9" bestFit="1" customWidth="1"/>
    <col min="15" max="15" width="4.140625" style="9" bestFit="1" customWidth="1"/>
    <col min="16" max="16" width="4.42578125" style="9" bestFit="1" customWidth="1"/>
    <col min="17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8.7109375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" style="9" bestFit="1" customWidth="1"/>
    <col min="37" max="37" width="7.85546875" style="9" bestFit="1" customWidth="1"/>
    <col min="38" max="38" width="4.140625" style="9" bestFit="1" customWidth="1"/>
    <col min="39" max="39" width="4.42578125" style="9" bestFit="1" customWidth="1"/>
    <col min="40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8.7109375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40" t="s">
        <v>58</v>
      </c>
      <c r="B1" s="140" t="s">
        <v>59</v>
      </c>
      <c r="C1" s="140" t="s">
        <v>60</v>
      </c>
      <c r="D1" s="140" t="s">
        <v>61</v>
      </c>
      <c r="E1" s="140" t="s">
        <v>62</v>
      </c>
      <c r="F1" s="140" t="s">
        <v>15</v>
      </c>
      <c r="G1" s="140" t="s">
        <v>64</v>
      </c>
      <c r="H1" s="140" t="s">
        <v>65</v>
      </c>
      <c r="I1" s="140" t="s">
        <v>520</v>
      </c>
      <c r="J1" s="128"/>
      <c r="L1" s="141" t="s">
        <v>800</v>
      </c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I1" s="141" t="s">
        <v>801</v>
      </c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</row>
    <row r="2" spans="1:56" ht="11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28"/>
      <c r="L2" s="141" t="s">
        <v>419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I2" s="141" t="s">
        <v>419</v>
      </c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</row>
    <row r="3" spans="1:56" ht="11.2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28"/>
      <c r="L3" s="141" t="s">
        <v>420</v>
      </c>
      <c r="M3" s="141"/>
      <c r="N3" s="141"/>
      <c r="O3" s="141"/>
      <c r="P3" s="141"/>
      <c r="Q3" s="141"/>
      <c r="R3" s="141"/>
      <c r="S3" s="141"/>
      <c r="T3" s="141" t="s">
        <v>429</v>
      </c>
      <c r="U3" s="141"/>
      <c r="V3" s="141"/>
      <c r="W3" s="141"/>
      <c r="X3" s="141"/>
      <c r="Y3" s="141"/>
      <c r="Z3" s="141"/>
      <c r="AA3" s="10" t="s">
        <v>437</v>
      </c>
      <c r="AB3" s="141" t="s">
        <v>439</v>
      </c>
      <c r="AC3" s="141"/>
      <c r="AD3" s="141" t="s">
        <v>442</v>
      </c>
      <c r="AE3" s="141"/>
      <c r="AF3" s="141"/>
      <c r="AG3" s="141"/>
      <c r="AI3" s="141" t="s">
        <v>420</v>
      </c>
      <c r="AJ3" s="141"/>
      <c r="AK3" s="141"/>
      <c r="AL3" s="141"/>
      <c r="AM3" s="141"/>
      <c r="AN3" s="141"/>
      <c r="AO3" s="141"/>
      <c r="AP3" s="141"/>
      <c r="AQ3" s="141" t="s">
        <v>429</v>
      </c>
      <c r="AR3" s="141"/>
      <c r="AS3" s="141"/>
      <c r="AT3" s="141"/>
      <c r="AU3" s="141"/>
      <c r="AV3" s="141"/>
      <c r="AW3" s="141"/>
      <c r="AX3" s="10" t="s">
        <v>437</v>
      </c>
      <c r="AY3" s="141" t="s">
        <v>439</v>
      </c>
      <c r="AZ3" s="141"/>
      <c r="BA3" s="141" t="s">
        <v>442</v>
      </c>
      <c r="BB3" s="141"/>
      <c r="BC3" s="141"/>
      <c r="BD3" s="141"/>
    </row>
    <row r="4" spans="1:56" ht="11.25" customHeight="1" x14ac:dyDescent="0.25">
      <c r="A4" s="140"/>
      <c r="B4" s="140"/>
      <c r="C4" s="140"/>
      <c r="D4" s="140"/>
      <c r="E4" s="140"/>
      <c r="F4" s="140"/>
      <c r="G4" s="140"/>
      <c r="H4" s="140"/>
      <c r="I4" s="140"/>
      <c r="J4" s="128"/>
      <c r="L4" s="10" t="s">
        <v>505</v>
      </c>
      <c r="M4" s="10" t="s">
        <v>421</v>
      </c>
      <c r="N4" s="10" t="s">
        <v>422</v>
      </c>
      <c r="O4" s="10" t="s">
        <v>423</v>
      </c>
      <c r="P4" s="10" t="s">
        <v>424</v>
      </c>
      <c r="Q4" s="10" t="s">
        <v>425</v>
      </c>
      <c r="R4" s="10" t="s">
        <v>426</v>
      </c>
      <c r="S4" s="10" t="s">
        <v>427</v>
      </c>
      <c r="T4" s="10" t="s">
        <v>430</v>
      </c>
      <c r="U4" s="10" t="s">
        <v>431</v>
      </c>
      <c r="V4" s="10" t="s">
        <v>432</v>
      </c>
      <c r="W4" s="10" t="s">
        <v>433</v>
      </c>
      <c r="X4" s="10" t="s">
        <v>434</v>
      </c>
      <c r="Y4" s="10" t="s">
        <v>435</v>
      </c>
      <c r="Z4" s="10" t="s">
        <v>436</v>
      </c>
      <c r="AA4" s="10" t="s">
        <v>438</v>
      </c>
      <c r="AB4" s="10" t="s">
        <v>440</v>
      </c>
      <c r="AC4" s="10" t="s">
        <v>441</v>
      </c>
      <c r="AD4" s="10" t="s">
        <v>443</v>
      </c>
      <c r="AE4" s="10" t="s">
        <v>444</v>
      </c>
      <c r="AF4" s="10" t="s">
        <v>445</v>
      </c>
      <c r="AG4" s="10" t="s">
        <v>446</v>
      </c>
      <c r="AI4" s="10" t="s">
        <v>505</v>
      </c>
      <c r="AJ4" s="10" t="s">
        <v>421</v>
      </c>
      <c r="AK4" s="10" t="s">
        <v>422</v>
      </c>
      <c r="AL4" s="10" t="s">
        <v>423</v>
      </c>
      <c r="AM4" s="10" t="s">
        <v>424</v>
      </c>
      <c r="AN4" s="10" t="s">
        <v>425</v>
      </c>
      <c r="AO4" s="10" t="s">
        <v>426</v>
      </c>
      <c r="AP4" s="10" t="s">
        <v>427</v>
      </c>
      <c r="AQ4" s="10" t="s">
        <v>430</v>
      </c>
      <c r="AR4" s="10" t="s">
        <v>431</v>
      </c>
      <c r="AS4" s="10" t="s">
        <v>432</v>
      </c>
      <c r="AT4" s="10" t="s">
        <v>433</v>
      </c>
      <c r="AU4" s="10" t="s">
        <v>434</v>
      </c>
      <c r="AV4" s="10" t="s">
        <v>435</v>
      </c>
      <c r="AW4" s="10" t="s">
        <v>436</v>
      </c>
      <c r="AX4" s="10" t="s">
        <v>438</v>
      </c>
      <c r="AY4" s="10" t="s">
        <v>440</v>
      </c>
      <c r="AZ4" s="10" t="s">
        <v>441</v>
      </c>
      <c r="BA4" s="10" t="s">
        <v>443</v>
      </c>
      <c r="BB4" s="10" t="s">
        <v>444</v>
      </c>
      <c r="BC4" s="10" t="s">
        <v>445</v>
      </c>
      <c r="BD4" s="10" t="s">
        <v>446</v>
      </c>
    </row>
    <row r="5" spans="1:56" ht="11.25" customHeight="1" x14ac:dyDescent="0.25">
      <c r="A5" s="139" t="s">
        <v>34</v>
      </c>
      <c r="B5" s="139" t="s">
        <v>73</v>
      </c>
      <c r="C5" s="139" t="s">
        <v>25</v>
      </c>
      <c r="D5" s="139" t="s">
        <v>25</v>
      </c>
      <c r="E5" s="139" t="s">
        <v>25</v>
      </c>
      <c r="F5" s="139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31.398037429103294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16.901015110154596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37.599383012408801</v>
      </c>
      <c r="AV5" s="13">
        <v>0</v>
      </c>
      <c r="AW5" s="13">
        <v>0</v>
      </c>
      <c r="AX5" s="13">
        <v>17.932247505450398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139"/>
      <c r="B6" s="139"/>
      <c r="C6" s="139"/>
      <c r="D6" s="139"/>
      <c r="E6" s="139"/>
      <c r="F6" s="139"/>
      <c r="G6" s="18" t="s">
        <v>76</v>
      </c>
      <c r="H6" s="18" t="s">
        <v>74</v>
      </c>
      <c r="I6" s="18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12.100379789909459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5.6019329129302777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14.4902946671024</v>
      </c>
      <c r="AV6" s="13">
        <v>0</v>
      </c>
      <c r="AW6" s="13">
        <v>0</v>
      </c>
      <c r="AX6" s="13">
        <v>5.9437404705494998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139"/>
      <c r="B7" s="139"/>
      <c r="C7" s="139"/>
      <c r="D7" s="139"/>
      <c r="E7" s="139"/>
      <c r="F7" s="139"/>
      <c r="G7" s="18" t="s">
        <v>72</v>
      </c>
      <c r="H7" s="18" t="s">
        <v>68</v>
      </c>
      <c r="I7" s="18">
        <f>'MERCADO TUSD'!$U$4</f>
        <v>0</v>
      </c>
      <c r="J7" s="15"/>
      <c r="L7" s="13">
        <f>('TUSD BE'!$L$7+'TUSD BF'!$L$7+'TUSD CVA'!$L$7)*1</f>
        <v>0</v>
      </c>
      <c r="M7" s="13">
        <f>('TUSD BE'!$M$7+'TUSD BF'!$M$7+'TUSD CVA'!$M$7)*1</f>
        <v>0.27076415621780231</v>
      </c>
      <c r="N7" s="13">
        <f ca="1">('TUSD BE'!$N$7+'TUSD BF'!$N$7+'TUSD CVA'!$N$7)*1</f>
        <v>9.1183856476506245E-2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89.596343628389576</v>
      </c>
      <c r="R7" s="13">
        <f>('TUSD BE'!$R$7+'TUSD BF'!$R$7+'TUSD CVA'!$R$7)*1</f>
        <v>17.182618455402725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1.7999473550950238</v>
      </c>
      <c r="AE7" s="13">
        <f>('TUSD BE'!$AI$7+'TUSD BF'!$AI$7+'TUSD CVA'!$AI$7)*1</f>
        <v>0</v>
      </c>
      <c r="AF7" s="13">
        <f ca="1">('TUSD BE'!$AJ$7+'TUSD BF'!$AJ$7+'TUSD CVA'!$AJ$7)*1</f>
        <v>0.80655041817786566</v>
      </c>
      <c r="AG7" s="13">
        <f ca="1">('TUSD BE'!$AK$7+'TUSD BF'!$AK$7+'TUSD CVA'!$AK$7)*1</f>
        <v>0.25483448385981533</v>
      </c>
      <c r="AI7" s="13">
        <v>0</v>
      </c>
      <c r="AJ7" s="13">
        <v>0.27024083598960702</v>
      </c>
      <c r="AK7" s="13">
        <v>0.104432093637402</v>
      </c>
      <c r="AL7" s="13">
        <v>0</v>
      </c>
      <c r="AM7" s="13">
        <v>0</v>
      </c>
      <c r="AN7" s="13">
        <v>55.927390812736299</v>
      </c>
      <c r="AO7" s="13">
        <v>10.674403699467399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1.96874920399097</v>
      </c>
      <c r="BB7" s="13">
        <v>0</v>
      </c>
      <c r="BC7" s="13">
        <v>0.95304162768645395</v>
      </c>
      <c r="BD7" s="13">
        <v>0.28709369597982998</v>
      </c>
    </row>
    <row r="8" spans="1:56" ht="11.25" customHeight="1" x14ac:dyDescent="0.25">
      <c r="A8" s="139"/>
      <c r="B8" s="139"/>
      <c r="C8" s="139"/>
      <c r="D8" s="139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0.27076415621780231</v>
      </c>
      <c r="N8" s="13">
        <f ca="1">('TUSD BE'!$N$8+'TUSD BF'!$N$8+'TUSD CVA'!$N$8)*1</f>
        <v>7.8656397747592727E-2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1.7999473550950238</v>
      </c>
      <c r="AE8" s="13">
        <f>('TUSD BE'!$AI$8+'TUSD BF'!$AI$8+'TUSD CVA'!$AI$8)*1</f>
        <v>0</v>
      </c>
      <c r="AF8" s="13">
        <f ca="1">('TUSD BE'!$AJ$8+'TUSD BF'!$AJ$8+'TUSD CVA'!$AJ$8)*1</f>
        <v>0.80655041817786566</v>
      </c>
      <c r="AG8" s="13">
        <f ca="1">('TUSD BE'!$AK$8+'TUSD BF'!$AK$8+'TUSD CVA'!$AK$8)*1</f>
        <v>0.25483448385981533</v>
      </c>
      <c r="AI8" s="13">
        <v>0</v>
      </c>
      <c r="AJ8" s="13">
        <v>0.27024083598960702</v>
      </c>
      <c r="AK8" s="13">
        <v>9.0608294081610904E-2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1.96874920399097</v>
      </c>
      <c r="BB8" s="13">
        <v>0</v>
      </c>
      <c r="BC8" s="13">
        <v>0.95304162768645395</v>
      </c>
      <c r="BD8" s="13">
        <v>0.28709369597982998</v>
      </c>
    </row>
    <row r="9" spans="1:56" ht="11.25" customHeight="1" x14ac:dyDescent="0.25">
      <c r="A9" s="139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2.4199241151283496E-2</v>
      </c>
      <c r="N9" s="13">
        <f ca="1">('TUSD BE'!$N$9+'TUSD BF'!$N$9+'TUSD CVA'!$N$9)*1</f>
        <v>7.754496953197465E-2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6.7319721643564208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2.4109168914444999E-2</v>
      </c>
      <c r="AK9" s="13">
        <v>8.5569319250346595E-2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7.1427302007741797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139"/>
      <c r="B10" s="139" t="s">
        <v>35</v>
      </c>
      <c r="C10" s="139" t="s">
        <v>25</v>
      </c>
      <c r="D10" s="139" t="s">
        <v>25</v>
      </c>
      <c r="E10" s="139" t="s">
        <v>25</v>
      </c>
      <c r="F10" s="139" t="s">
        <v>25</v>
      </c>
      <c r="G10" s="18" t="s">
        <v>9</v>
      </c>
      <c r="H10" s="18" t="s">
        <v>74</v>
      </c>
      <c r="I10" s="18">
        <f>'MERCADO TUSD'!$U$7</f>
        <v>31517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12.100379789909459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5.6019329129302777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14.4902946671024</v>
      </c>
      <c r="AV10" s="13">
        <v>0</v>
      </c>
      <c r="AW10" s="13">
        <v>0</v>
      </c>
      <c r="AX10" s="13">
        <v>5.9437404705494998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139"/>
      <c r="B11" s="139"/>
      <c r="C11" s="139"/>
      <c r="D11" s="139"/>
      <c r="E11" s="139"/>
      <c r="F11" s="139"/>
      <c r="G11" s="18" t="s">
        <v>69</v>
      </c>
      <c r="H11" s="18" t="s">
        <v>68</v>
      </c>
      <c r="I11" s="18">
        <f>'MERCADO TUSD'!$U$8</f>
        <v>644.95300000000009</v>
      </c>
      <c r="J11" s="15"/>
      <c r="L11" s="13">
        <f>('TUSD BE'!$L$11+'TUSD BF'!$L$11+'TUSD CVA'!$L$11)*1</f>
        <v>0</v>
      </c>
      <c r="M11" s="13">
        <f>('TUSD BE'!$M$11+'TUSD BF'!$M$11+'TUSD CVA'!$M$11)*1</f>
        <v>0.27076415621780231</v>
      </c>
      <c r="N11" s="13">
        <f ca="1">('TUSD BE'!$N$11+'TUSD BF'!$N$11+'TUSD CVA'!$N$11)*1</f>
        <v>12.349389914929482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89.596343628389576</v>
      </c>
      <c r="R11" s="13">
        <f>('TUSD BE'!$R$11+'TUSD BF'!$R$11+'TUSD CVA'!$R$11)*1</f>
        <v>17.182618455402725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755.12291226930552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406.47093664277372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1.7999473550950238</v>
      </c>
      <c r="AE11" s="13">
        <f>('TUSD BE'!$AI$11+'TUSD BF'!$AI$11+'TUSD CVA'!$AI$11)*1</f>
        <v>0</v>
      </c>
      <c r="AF11" s="13">
        <f ca="1">('TUSD BE'!$AJ$11+'TUSD BF'!$AJ$11+'TUSD CVA'!$AJ$11)*1</f>
        <v>0.80655041817786566</v>
      </c>
      <c r="AG11" s="13">
        <f ca="1">('TUSD BE'!$AK$11+'TUSD BF'!$AK$11+'TUSD CVA'!$AK$11)*1</f>
        <v>0.25483448385981533</v>
      </c>
      <c r="AI11" s="13">
        <v>0</v>
      </c>
      <c r="AJ11" s="13">
        <v>0.27024083598960702</v>
      </c>
      <c r="AK11" s="13">
        <v>13.631116725575801</v>
      </c>
      <c r="AL11" s="13">
        <v>0</v>
      </c>
      <c r="AM11" s="13">
        <v>0</v>
      </c>
      <c r="AN11" s="13">
        <v>55.927390812736299</v>
      </c>
      <c r="AO11" s="13">
        <v>10.674403699467399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904.26529568826095</v>
      </c>
      <c r="AV11" s="13">
        <v>0</v>
      </c>
      <c r="AW11" s="13">
        <v>0</v>
      </c>
      <c r="AX11" s="13">
        <v>431.27216869187203</v>
      </c>
      <c r="AY11" s="13">
        <v>0</v>
      </c>
      <c r="AZ11" s="13">
        <v>0</v>
      </c>
      <c r="BA11" s="13">
        <v>1.96874920399097</v>
      </c>
      <c r="BB11" s="13">
        <v>0</v>
      </c>
      <c r="BC11" s="13">
        <v>0.95304162768645395</v>
      </c>
      <c r="BD11" s="13">
        <v>0.28709369597982998</v>
      </c>
    </row>
    <row r="12" spans="1:56" ht="11.25" customHeight="1" x14ac:dyDescent="0.25">
      <c r="A12" s="139"/>
      <c r="B12" s="139"/>
      <c r="C12" s="139"/>
      <c r="D12" s="139"/>
      <c r="E12" s="139"/>
      <c r="F12" s="139"/>
      <c r="G12" s="18" t="s">
        <v>70</v>
      </c>
      <c r="H12" s="18" t="s">
        <v>68</v>
      </c>
      <c r="I12" s="18">
        <f>'MERCADO TUSD'!$U$9</f>
        <v>8036.4479999999985</v>
      </c>
      <c r="J12" s="15"/>
      <c r="L12" s="13">
        <f>('TUSD BE'!$L$12+'TUSD BF'!$L$12+'TUSD CVA'!$L$12)*1</f>
        <v>0</v>
      </c>
      <c r="M12" s="13">
        <f>('TUSD BE'!$M$12+'TUSD BF'!$M$12+'TUSD CVA'!$M$12)*1</f>
        <v>0.27076415621780231</v>
      </c>
      <c r="N12" s="13">
        <f ca="1">('TUSD BE'!$N$12+'TUSD BF'!$N$12+'TUSD CVA'!$N$12)*1</f>
        <v>9.1183856476506245E-2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89.596343628389576</v>
      </c>
      <c r="R12" s="13">
        <f>('TUSD BE'!$R$12+'TUSD BF'!$R$12+'TUSD CVA'!$R$12)*1</f>
        <v>17.182618455402725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1.7999473550950238</v>
      </c>
      <c r="AE12" s="13">
        <f>('TUSD BE'!$AI$12+'TUSD BF'!$AI$12+'TUSD CVA'!$AI$12)*1</f>
        <v>0</v>
      </c>
      <c r="AF12" s="13">
        <f ca="1">('TUSD BE'!$AJ$12+'TUSD BF'!$AJ$12+'TUSD CVA'!$AJ$12)*1</f>
        <v>0.80655041817786566</v>
      </c>
      <c r="AG12" s="13">
        <f ca="1">('TUSD BE'!$AK$12+'TUSD BF'!$AK$12+'TUSD CVA'!$AK$12)*1</f>
        <v>0.25483448385981533</v>
      </c>
      <c r="AI12" s="13">
        <v>0</v>
      </c>
      <c r="AJ12" s="13">
        <v>0.27024083598960702</v>
      </c>
      <c r="AK12" s="13">
        <v>0.104432093637402</v>
      </c>
      <c r="AL12" s="13">
        <v>0</v>
      </c>
      <c r="AM12" s="13">
        <v>0</v>
      </c>
      <c r="AN12" s="13">
        <v>55.927390812736299</v>
      </c>
      <c r="AO12" s="13">
        <v>10.674403699467399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1.96874920399097</v>
      </c>
      <c r="BB12" s="13">
        <v>0</v>
      </c>
      <c r="BC12" s="13">
        <v>0.95304162768645395</v>
      </c>
      <c r="BD12" s="13">
        <v>0.28709369597982998</v>
      </c>
    </row>
    <row r="13" spans="1:56" ht="11.25" customHeight="1" x14ac:dyDescent="0.25">
      <c r="A13" s="139"/>
      <c r="B13" s="139"/>
      <c r="C13" s="139"/>
      <c r="D13" s="139"/>
      <c r="E13" s="139" t="s">
        <v>77</v>
      </c>
      <c r="F13" s="139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0.27076415621780231</v>
      </c>
      <c r="N13" s="13">
        <f ca="1">('TUSD BE'!$N$13+'TUSD BF'!$N$13+'TUSD CVA'!$N$13)*1</f>
        <v>12.336862456200569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755.12291226930552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406.47093664277372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1.7999473550950238</v>
      </c>
      <c r="AE13" s="13">
        <f>('TUSD BE'!$AI$13+'TUSD BF'!$AI$13+'TUSD CVA'!$AI$13)*1</f>
        <v>0</v>
      </c>
      <c r="AF13" s="13">
        <f ca="1">('TUSD BE'!$AJ$13+'TUSD BF'!$AJ$13+'TUSD CVA'!$AJ$13)*1</f>
        <v>0.80655041817786566</v>
      </c>
      <c r="AG13" s="13">
        <f ca="1">('TUSD BE'!$AK$13+'TUSD BF'!$AK$13+'TUSD CVA'!$AK$13)*1</f>
        <v>0.25483448385981533</v>
      </c>
      <c r="AI13" s="13">
        <v>0</v>
      </c>
      <c r="AJ13" s="13">
        <v>0.27024083598960702</v>
      </c>
      <c r="AK13" s="13">
        <v>13.617292926019999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904.26529568826095</v>
      </c>
      <c r="AV13" s="13">
        <v>0</v>
      </c>
      <c r="AW13" s="13">
        <v>0</v>
      </c>
      <c r="AX13" s="13">
        <v>431.27216869187203</v>
      </c>
      <c r="AY13" s="13">
        <v>0</v>
      </c>
      <c r="AZ13" s="13">
        <v>0</v>
      </c>
      <c r="BA13" s="13">
        <v>1.96874920399097</v>
      </c>
      <c r="BB13" s="13">
        <v>0</v>
      </c>
      <c r="BC13" s="13">
        <v>0.95304162768645395</v>
      </c>
      <c r="BD13" s="13">
        <v>0.28709369597982998</v>
      </c>
    </row>
    <row r="14" spans="1:56" ht="11.25" customHeight="1" x14ac:dyDescent="0.25">
      <c r="A14" s="139"/>
      <c r="B14" s="139"/>
      <c r="C14" s="139"/>
      <c r="D14" s="139"/>
      <c r="E14" s="139"/>
      <c r="F14" s="139"/>
      <c r="G14" s="18" t="s">
        <v>70</v>
      </c>
      <c r="H14" s="18" t="s">
        <v>68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0.27076415621780231</v>
      </c>
      <c r="N14" s="13">
        <f ca="1">('TUSD BE'!$N$14+'TUSD BF'!$N$14+'TUSD CVA'!$N$14)*1</f>
        <v>7.8656397747592727E-2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1.7999473550950238</v>
      </c>
      <c r="AE14" s="13">
        <f>('TUSD BE'!$AI$14+'TUSD BF'!$AI$14+'TUSD CVA'!$AI$14)*1</f>
        <v>0</v>
      </c>
      <c r="AF14" s="13">
        <f ca="1">('TUSD BE'!$AJ$14+'TUSD BF'!$AJ$14+'TUSD CVA'!$AJ$14)*1</f>
        <v>0.80655041817786566</v>
      </c>
      <c r="AG14" s="13">
        <f ca="1">('TUSD BE'!$AK$14+'TUSD BF'!$AK$14+'TUSD CVA'!$AK$14)*1</f>
        <v>0.25483448385981533</v>
      </c>
      <c r="AI14" s="13">
        <v>0</v>
      </c>
      <c r="AJ14" s="13">
        <v>0.27024083598960702</v>
      </c>
      <c r="AK14" s="13">
        <v>9.0608294081610904E-2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1.96874920399097</v>
      </c>
      <c r="BB14" s="13">
        <v>0</v>
      </c>
      <c r="BC14" s="13">
        <v>0.95304162768645395</v>
      </c>
      <c r="BD14" s="13">
        <v>0.28709369597982998</v>
      </c>
    </row>
    <row r="15" spans="1:56" ht="11.25" customHeight="1" x14ac:dyDescent="0.25">
      <c r="A15" s="139" t="s">
        <v>79</v>
      </c>
      <c r="B15" s="139" t="s">
        <v>78</v>
      </c>
      <c r="C15" s="139" t="s">
        <v>25</v>
      </c>
      <c r="D15" s="139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5.2317387752167564E-2</v>
      </c>
      <c r="N15" s="13">
        <f ca="1">('TUSD BE'!$N$15+'TUSD BF'!$N$15+'TUSD CVA'!$N$15)*1</f>
        <v>0.16774267238015195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14.566466922359549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5.2122656681431699E-2</v>
      </c>
      <c r="AK15" s="13">
        <v>0.185100676052042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15.4552545175092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139"/>
      <c r="B16" s="139"/>
      <c r="C16" s="139"/>
      <c r="D16" s="139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5.2317387752167564E-2</v>
      </c>
      <c r="N16" s="13">
        <f ca="1">('TUSD BE'!$N$16+'TUSD BF'!$N$16+'TUSD CVA'!$N$16)*1</f>
        <v>0.16774267238015195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22.362853293199887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5.2122656681431699E-2</v>
      </c>
      <c r="AK16" s="13">
        <v>0.185100676052042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23.727345225600999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139" t="s">
        <v>22</v>
      </c>
      <c r="B17" s="139" t="s">
        <v>38</v>
      </c>
      <c r="C17" s="139" t="s">
        <v>24</v>
      </c>
      <c r="D17" s="139" t="s">
        <v>24</v>
      </c>
      <c r="E17" s="139" t="s">
        <v>25</v>
      </c>
      <c r="F17" s="139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1.3156555728078294</v>
      </c>
      <c r="N17" s="13">
        <f ca="1">('TUSD BE'!$N$17+'TUSD BF'!$N$17+'TUSD CVA'!$N$17)*1</f>
        <v>11.154199028636802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106.66231384332093</v>
      </c>
      <c r="R17" s="13">
        <f>('TUSD BE'!$R$17+'TUSD BF'!$R$17+'TUSD CVA'!$R$17)*1</f>
        <v>17.182618455402725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270.26722449877911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688.36479129877864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19.252605441263579</v>
      </c>
      <c r="AE17" s="13">
        <f>('TUSD BE'!$AI$17+'TUSD BF'!$AI$17+'TUSD CVA'!$AI$17)*1</f>
        <v>0</v>
      </c>
      <c r="AF17" s="13">
        <f ca="1">('TUSD BE'!$AJ$17+'TUSD BF'!$AJ$17+'TUSD CVA'!$AJ$17)*1</f>
        <v>1.5115686905058916</v>
      </c>
      <c r="AG17" s="13">
        <f ca="1">('TUSD BE'!$AK$17+'TUSD BF'!$AK$17+'TUSD CVA'!$AK$17)*1</f>
        <v>0.47758927201842843</v>
      </c>
      <c r="AI17" s="13">
        <v>0</v>
      </c>
      <c r="AJ17" s="13">
        <v>1.0882243820712101</v>
      </c>
      <c r="AK17" s="13">
        <v>9.9659681817429995</v>
      </c>
      <c r="AL17" s="13">
        <v>0</v>
      </c>
      <c r="AM17" s="13">
        <v>0</v>
      </c>
      <c r="AN17" s="13">
        <v>64.284357256018694</v>
      </c>
      <c r="AO17" s="13">
        <v>10.674403699467399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258.91760687465302</v>
      </c>
      <c r="AV17" s="13">
        <v>0</v>
      </c>
      <c r="AW17" s="13">
        <v>0</v>
      </c>
      <c r="AX17" s="13">
        <v>584.29284779188697</v>
      </c>
      <c r="AY17" s="13">
        <v>0</v>
      </c>
      <c r="AZ17" s="13">
        <v>0</v>
      </c>
      <c r="BA17" s="13">
        <v>21.058144578477901</v>
      </c>
      <c r="BB17" s="13">
        <v>0</v>
      </c>
      <c r="BC17" s="13">
        <v>1.65181629039438</v>
      </c>
      <c r="BD17" s="13">
        <v>0.497592161887219</v>
      </c>
    </row>
    <row r="18" spans="1:56" ht="11.25" customHeight="1" x14ac:dyDescent="0.25">
      <c r="A18" s="139"/>
      <c r="B18" s="139"/>
      <c r="C18" s="139"/>
      <c r="D18" s="139"/>
      <c r="E18" s="139"/>
      <c r="F18" s="139"/>
      <c r="G18" s="18" t="s">
        <v>82</v>
      </c>
      <c r="H18" s="18" t="s">
        <v>68</v>
      </c>
      <c r="I18" s="18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1.3156555728078294</v>
      </c>
      <c r="N18" s="13">
        <f ca="1">('TUSD BE'!$N$18+'TUSD BF'!$N$18+'TUSD CVA'!$N$18)*1</f>
        <v>6.9079053980888787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106.66231384332093</v>
      </c>
      <c r="R18" s="13">
        <f>('TUSD BE'!$R$18+'TUSD BF'!$R$18+'TUSD CVA'!$R$18)*1</f>
        <v>17.182618455402725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162.16033469926745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413.01880926341533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19.252605441263579</v>
      </c>
      <c r="AE18" s="13">
        <f>('TUSD BE'!$AI$18+'TUSD BF'!$AI$18+'TUSD CVA'!$AI$18)*1</f>
        <v>0</v>
      </c>
      <c r="AF18" s="13">
        <f ca="1">('TUSD BE'!$AJ$18+'TUSD BF'!$AJ$18+'TUSD CVA'!$AJ$18)*1</f>
        <v>1.5115686905058916</v>
      </c>
      <c r="AG18" s="13">
        <f ca="1">('TUSD BE'!$AK$18+'TUSD BF'!$AK$18+'TUSD CVA'!$AK$18)*1</f>
        <v>0.47758927201842843</v>
      </c>
      <c r="AI18" s="13">
        <v>0</v>
      </c>
      <c r="AJ18" s="13">
        <v>1.0882243820712101</v>
      </c>
      <c r="AK18" s="13">
        <v>6.2174082687418499</v>
      </c>
      <c r="AL18" s="13">
        <v>0</v>
      </c>
      <c r="AM18" s="13">
        <v>0</v>
      </c>
      <c r="AN18" s="13">
        <v>64.284357256018694</v>
      </c>
      <c r="AO18" s="13">
        <v>10.674403699467399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155.35056412479199</v>
      </c>
      <c r="AV18" s="13">
        <v>0</v>
      </c>
      <c r="AW18" s="13">
        <v>0</v>
      </c>
      <c r="AX18" s="13">
        <v>350.57565306443797</v>
      </c>
      <c r="AY18" s="13">
        <v>0</v>
      </c>
      <c r="AZ18" s="13">
        <v>0</v>
      </c>
      <c r="BA18" s="13">
        <v>21.058144578477901</v>
      </c>
      <c r="BB18" s="13">
        <v>0</v>
      </c>
      <c r="BC18" s="13">
        <v>1.65181629039438</v>
      </c>
      <c r="BD18" s="13">
        <v>0.497592161887219</v>
      </c>
    </row>
    <row r="19" spans="1:56" ht="11.25" customHeight="1" x14ac:dyDescent="0.25">
      <c r="A19" s="139"/>
      <c r="B19" s="139"/>
      <c r="C19" s="139"/>
      <c r="D19" s="139"/>
      <c r="E19" s="139"/>
      <c r="F19" s="139"/>
      <c r="G19" s="18" t="s">
        <v>70</v>
      </c>
      <c r="H19" s="18" t="s">
        <v>68</v>
      </c>
      <c r="I19" s="18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1.3156555728078294</v>
      </c>
      <c r="N19" s="13">
        <f ca="1">('TUSD BE'!$N$19+'TUSD BF'!$N$19+'TUSD CVA'!$N$19)*1</f>
        <v>2.6616130202868269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106.66231384332093</v>
      </c>
      <c r="R19" s="13">
        <f>('TUSD BE'!$R$19+'TUSD BF'!$R$19+'TUSD CVA'!$R$19)*1</f>
        <v>17.182618455402725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54.05344489975581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137.67293642113844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19.252605441263579</v>
      </c>
      <c r="AE19" s="13">
        <f>('TUSD BE'!$AI$19+'TUSD BF'!$AI$19+'TUSD CVA'!$AI$19)*1</f>
        <v>0</v>
      </c>
      <c r="AF19" s="13">
        <f ca="1">('TUSD BE'!$AJ$19+'TUSD BF'!$AJ$19+'TUSD CVA'!$AJ$19)*1</f>
        <v>1.5115686905058916</v>
      </c>
      <c r="AG19" s="13">
        <f ca="1">('TUSD BE'!$AK$19+'TUSD BF'!$AK$19+'TUSD CVA'!$AK$19)*1</f>
        <v>0.47758927201842843</v>
      </c>
      <c r="AI19" s="13">
        <v>0</v>
      </c>
      <c r="AJ19" s="13">
        <v>1.0882243820712101</v>
      </c>
      <c r="AK19" s="13">
        <v>2.4688494616446799</v>
      </c>
      <c r="AL19" s="13">
        <v>0</v>
      </c>
      <c r="AM19" s="13">
        <v>0</v>
      </c>
      <c r="AN19" s="13">
        <v>64.284357256018694</v>
      </c>
      <c r="AO19" s="13">
        <v>10.674403699467399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51.783521374930601</v>
      </c>
      <c r="AV19" s="13">
        <v>0</v>
      </c>
      <c r="AW19" s="13">
        <v>0</v>
      </c>
      <c r="AX19" s="13">
        <v>116.858551021479</v>
      </c>
      <c r="AY19" s="13">
        <v>0</v>
      </c>
      <c r="AZ19" s="13">
        <v>0</v>
      </c>
      <c r="BA19" s="13">
        <v>21.058144578477901</v>
      </c>
      <c r="BB19" s="13">
        <v>0</v>
      </c>
      <c r="BC19" s="13">
        <v>1.65181629039438</v>
      </c>
      <c r="BD19" s="13">
        <v>0.497592161887219</v>
      </c>
    </row>
    <row r="20" spans="1:56" ht="11.25" customHeight="1" x14ac:dyDescent="0.25">
      <c r="A20" s="139"/>
      <c r="B20" s="139" t="s">
        <v>23</v>
      </c>
      <c r="C20" s="139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6670.0239999999994</v>
      </c>
      <c r="J20" s="15"/>
      <c r="L20" s="13">
        <f>('TUSD BE'!$L$20+'TUSD BF'!$L$20+'TUSD CVA'!$L$20)*1</f>
        <v>0</v>
      </c>
      <c r="M20" s="13">
        <f>('TUSD BE'!$M$20+'TUSD BF'!$M$20+'TUSD CVA'!$M$20)*1</f>
        <v>1.3156555728078294</v>
      </c>
      <c r="N20" s="13">
        <f ca="1">('TUSD BE'!$N$20+'TUSD BF'!$N$20+'TUSD CVA'!$N$20)*1</f>
        <v>4.3297994905298998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106.66231384332093</v>
      </c>
      <c r="R20" s="13">
        <f>('TUSD BE'!$R$20+'TUSD BF'!$R$20+'TUSD CVA'!$R$20)*1</f>
        <v>17.182618455402725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96.524035439890412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245.84452152395534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19.252605441263579</v>
      </c>
      <c r="AE20" s="13">
        <f>('TUSD BE'!$AI$20+'TUSD BF'!$AI$20+'TUSD CVA'!$AI$20)*1</f>
        <v>0</v>
      </c>
      <c r="AF20" s="13">
        <f ca="1">('TUSD BE'!$AJ$20+'TUSD BF'!$AJ$20+'TUSD CVA'!$AJ$20)*1</f>
        <v>1.5115686905058916</v>
      </c>
      <c r="AG20" s="13">
        <f ca="1">('TUSD BE'!$AK$20+'TUSD BF'!$AK$20+'TUSD CVA'!$AK$20)*1</f>
        <v>0.47758927201842843</v>
      </c>
      <c r="AI20" s="13">
        <v>0</v>
      </c>
      <c r="AJ20" s="13">
        <v>1.0882243820712101</v>
      </c>
      <c r="AK20" s="13">
        <v>3.9414977224191299</v>
      </c>
      <c r="AL20" s="13">
        <v>0</v>
      </c>
      <c r="AM20" s="13">
        <v>0</v>
      </c>
      <c r="AN20" s="13">
        <v>64.284357256018694</v>
      </c>
      <c r="AO20" s="13">
        <v>10.674403699467399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92.470599453296103</v>
      </c>
      <c r="AV20" s="13">
        <v>0</v>
      </c>
      <c r="AW20" s="13">
        <v>0</v>
      </c>
      <c r="AX20" s="13">
        <v>208.675977346607</v>
      </c>
      <c r="AY20" s="13">
        <v>0</v>
      </c>
      <c r="AZ20" s="13">
        <v>0</v>
      </c>
      <c r="BA20" s="13">
        <v>21.058144578477901</v>
      </c>
      <c r="BB20" s="13">
        <v>0</v>
      </c>
      <c r="BC20" s="13">
        <v>1.65181629039438</v>
      </c>
      <c r="BD20" s="13">
        <v>0.497592161887219</v>
      </c>
    </row>
    <row r="21" spans="1:56" ht="11.25" customHeight="1" x14ac:dyDescent="0.25">
      <c r="A21" s="139"/>
      <c r="B21" s="139"/>
      <c r="C21" s="139"/>
      <c r="D21" s="17" t="s">
        <v>28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127.41000000000001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0.46047945048274025</v>
      </c>
      <c r="N21" s="13">
        <f ca="1">('TUSD BE'!$N$21+'TUSD BF'!$N$21+'TUSD CVA'!$N$21)*(1 - 0.65)</f>
        <v>1.511045211130345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33.783412403961641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86.045582533384362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6.7384119044422528</v>
      </c>
      <c r="AE21" s="13">
        <f>('TUSD BE'!$AI$21+'TUSD BF'!$AI$21+'TUSD CVA'!$AI$21)*(1 - 0.65)</f>
        <v>0</v>
      </c>
      <c r="AF21" s="13">
        <f ca="1">('TUSD BE'!$AJ$21+'TUSD BF'!$AJ$21+'TUSD CVA'!$AJ$21)*(1 - 0.65)</f>
        <v>0.52904904167706202</v>
      </c>
      <c r="AG21" s="13">
        <f ca="1">('TUSD BE'!$AK$21+'TUSD BF'!$AK$21+'TUSD CVA'!$AK$21)*(1 - 0.65)</f>
        <v>0.16715624520644995</v>
      </c>
      <c r="AI21" s="13">
        <v>0</v>
      </c>
      <c r="AJ21" s="13">
        <v>0.38087853372492497</v>
      </c>
      <c r="AK21" s="13">
        <v>1.37468587300217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32.3647098086536</v>
      </c>
      <c r="AV21" s="13">
        <v>0</v>
      </c>
      <c r="AW21" s="13">
        <v>0</v>
      </c>
      <c r="AX21" s="13">
        <v>73.036592071312398</v>
      </c>
      <c r="AY21" s="13">
        <v>0</v>
      </c>
      <c r="AZ21" s="13">
        <v>0</v>
      </c>
      <c r="BA21" s="13">
        <v>7.3703506024672496</v>
      </c>
      <c r="BB21" s="13">
        <v>0</v>
      </c>
      <c r="BC21" s="13">
        <v>0.57813570163803496</v>
      </c>
      <c r="BD21" s="13">
        <v>0.174157256660527</v>
      </c>
    </row>
    <row r="22" spans="1:56" ht="11.25" customHeight="1" x14ac:dyDescent="0.25">
      <c r="A22" s="139"/>
      <c r="B22" s="139"/>
      <c r="C22" s="139"/>
      <c r="D22" s="17" t="s">
        <v>29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275.43099999999998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0.7893933436846976</v>
      </c>
      <c r="N22" s="13">
        <f ca="1">('TUSD BE'!$N$22+'TUSD BF'!$N$22+'TUSD CVA'!$N$22)*(1 - 0.4)</f>
        <v>2.5903632190805914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57.914421263934244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147.5067129143732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11.551563264758148</v>
      </c>
      <c r="AE22" s="13">
        <f>('TUSD BE'!$AI$22+'TUSD BF'!$AI$22+'TUSD CVA'!$AI$22)*(1 - 0.4)</f>
        <v>0</v>
      </c>
      <c r="AF22" s="13">
        <f ca="1">('TUSD BE'!$AJ$22+'TUSD BF'!$AJ$22+'TUSD CVA'!$AJ$22)*(1 - 0.4)</f>
        <v>0.90694121430353491</v>
      </c>
      <c r="AG22" s="13">
        <f ca="1">('TUSD BE'!$AK$22+'TUSD BF'!$AK$22+'TUSD CVA'!$AK$22)*(1 - 0.4)</f>
        <v>0.28655356321105707</v>
      </c>
      <c r="AI22" s="13">
        <v>0</v>
      </c>
      <c r="AJ22" s="13">
        <v>0.65293462924272805</v>
      </c>
      <c r="AK22" s="13">
        <v>2.3566043537180001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55.482359671977598</v>
      </c>
      <c r="AV22" s="13">
        <v>0</v>
      </c>
      <c r="AW22" s="13">
        <v>0</v>
      </c>
      <c r="AX22" s="13">
        <v>125.20558640796401</v>
      </c>
      <c r="AY22" s="13">
        <v>0</v>
      </c>
      <c r="AZ22" s="13">
        <v>0</v>
      </c>
      <c r="BA22" s="13">
        <v>12.6348867470867</v>
      </c>
      <c r="BB22" s="13">
        <v>0</v>
      </c>
      <c r="BC22" s="13">
        <v>0.99108977423663103</v>
      </c>
      <c r="BD22" s="13">
        <v>0.29855529713233098</v>
      </c>
    </row>
    <row r="23" spans="1:56" ht="11.25" customHeight="1" x14ac:dyDescent="0.25">
      <c r="A23" s="139"/>
      <c r="B23" s="139"/>
      <c r="C23" s="139"/>
      <c r="D23" s="17" t="s">
        <v>30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305.03699999999998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1.1840900155270464</v>
      </c>
      <c r="N23" s="13">
        <f ca="1">('TUSD BE'!$N$23+'TUSD BF'!$N$23+'TUSD CVA'!$N$23)*(1 - 0.1)</f>
        <v>3.8855448286208873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86.871631895901373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221.26006937155981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17.327344897137223</v>
      </c>
      <c r="AE23" s="13">
        <f>('TUSD BE'!$AI$23+'TUSD BF'!$AI$23+'TUSD CVA'!$AI$23)*(1 - 0.1)</f>
        <v>0</v>
      </c>
      <c r="AF23" s="13">
        <f ca="1">('TUSD BE'!$AJ$23+'TUSD BF'!$AJ$23+'TUSD CVA'!$AJ$23)*(1 - 0.1)</f>
        <v>1.3604118214553025</v>
      </c>
      <c r="AG23" s="13">
        <f ca="1">('TUSD BE'!$AK$23+'TUSD BF'!$AK$23+'TUSD CVA'!$AK$23)*(1 - 0.1)</f>
        <v>0.42983034481658561</v>
      </c>
      <c r="AI23" s="13">
        <v>0</v>
      </c>
      <c r="AJ23" s="13">
        <v>0.97940194386409196</v>
      </c>
      <c r="AK23" s="13">
        <v>3.5349065305770102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83.223539507966507</v>
      </c>
      <c r="AV23" s="13">
        <v>0</v>
      </c>
      <c r="AW23" s="13">
        <v>0</v>
      </c>
      <c r="AX23" s="13">
        <v>187.80837961194601</v>
      </c>
      <c r="AY23" s="13">
        <v>0</v>
      </c>
      <c r="AZ23" s="13">
        <v>0</v>
      </c>
      <c r="BA23" s="13">
        <v>18.952330120630101</v>
      </c>
      <c r="BB23" s="13">
        <v>0</v>
      </c>
      <c r="BC23" s="13">
        <v>1.4866346613549499</v>
      </c>
      <c r="BD23" s="13">
        <v>0.44783294569849702</v>
      </c>
    </row>
    <row r="24" spans="1:56" ht="11.25" customHeight="1" x14ac:dyDescent="0.25">
      <c r="A24" s="139"/>
      <c r="B24" s="139"/>
      <c r="C24" s="139"/>
      <c r="D24" s="17" t="s">
        <v>31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109.482</v>
      </c>
      <c r="J24" s="15"/>
      <c r="L24" s="13">
        <f>('TUSD BE'!$L$24+'TUSD BF'!$L$24+'TUSD CVA'!$L$24)*1</f>
        <v>0</v>
      </c>
      <c r="M24" s="13">
        <f>('TUSD BE'!$M$24+'TUSD BF'!$M$24+'TUSD CVA'!$M$24)*1</f>
        <v>1.3156555728078294</v>
      </c>
      <c r="N24" s="13">
        <f ca="1">('TUSD BE'!$N$24+'TUSD BF'!$N$24+'TUSD CVA'!$N$24)*1</f>
        <v>4.3172720318009858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96.524035439890412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245.84452152395534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19.252605441263579</v>
      </c>
      <c r="AE24" s="13">
        <f>('TUSD BE'!$AI$24+'TUSD BF'!$AI$24+'TUSD CVA'!$AI$24)*1</f>
        <v>0</v>
      </c>
      <c r="AF24" s="13">
        <f ca="1">('TUSD BE'!$AJ$24+'TUSD BF'!$AJ$24+'TUSD CVA'!$AJ$24)*1</f>
        <v>1.5115686905058916</v>
      </c>
      <c r="AG24" s="13">
        <f ca="1">('TUSD BE'!$AK$24+'TUSD BF'!$AK$24+'TUSD CVA'!$AK$24)*1</f>
        <v>0.47758927201842843</v>
      </c>
      <c r="AI24" s="13">
        <v>0</v>
      </c>
      <c r="AJ24" s="13">
        <v>1.0882243820712101</v>
      </c>
      <c r="AK24" s="13">
        <v>3.9276739228633399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92.470599453296103</v>
      </c>
      <c r="AV24" s="13">
        <v>0</v>
      </c>
      <c r="AW24" s="13">
        <v>0</v>
      </c>
      <c r="AX24" s="13">
        <v>208.675977346607</v>
      </c>
      <c r="AY24" s="13">
        <v>0</v>
      </c>
      <c r="AZ24" s="13">
        <v>0</v>
      </c>
      <c r="BA24" s="13">
        <v>21.058144578477901</v>
      </c>
      <c r="BB24" s="13">
        <v>0</v>
      </c>
      <c r="BC24" s="13">
        <v>1.65181629039438</v>
      </c>
      <c r="BD24" s="13">
        <v>0.497592161887219</v>
      </c>
    </row>
    <row r="25" spans="1:56" ht="11.25" customHeight="1" x14ac:dyDescent="0.25">
      <c r="A25" s="139"/>
      <c r="B25" s="139" t="s">
        <v>84</v>
      </c>
      <c r="C25" s="139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1.3156555728078294</v>
      </c>
      <c r="N25" s="13">
        <f ca="1">('TUSD BE'!$N$25+'TUSD BF'!$N$25+'TUSD CVA'!$N$25)*1</f>
        <v>4.3297994905298998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106.66231384332093</v>
      </c>
      <c r="R25" s="13">
        <f>('TUSD BE'!$R$25+'TUSD BF'!$R$25+'TUSD CVA'!$R$25)*1</f>
        <v>17.182618455402725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96.524035439890412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245.84452152395534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19.252605441263579</v>
      </c>
      <c r="AE25" s="13">
        <f>('TUSD BE'!$AI$25+'TUSD BF'!$AI$25+'TUSD CVA'!$AI$25)*1</f>
        <v>0</v>
      </c>
      <c r="AF25" s="13">
        <f ca="1">('TUSD BE'!$AJ$25+'TUSD BF'!$AJ$25+'TUSD CVA'!$AJ$25)*1</f>
        <v>1.5115686905058916</v>
      </c>
      <c r="AG25" s="13">
        <f ca="1">('TUSD BE'!$AK$25+'TUSD BF'!$AK$25+'TUSD CVA'!$AK$25)*1</f>
        <v>0.47758927201842843</v>
      </c>
      <c r="AI25" s="13">
        <v>0</v>
      </c>
      <c r="AJ25" s="13">
        <v>1.0882243820712101</v>
      </c>
      <c r="AK25" s="13">
        <v>3.9414977224191299</v>
      </c>
      <c r="AL25" s="13">
        <v>0</v>
      </c>
      <c r="AM25" s="13">
        <v>0</v>
      </c>
      <c r="AN25" s="13">
        <v>64.284357256018694</v>
      </c>
      <c r="AO25" s="13">
        <v>10.674403699467399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92.470599453296103</v>
      </c>
      <c r="AV25" s="13">
        <v>0</v>
      </c>
      <c r="AW25" s="13">
        <v>0</v>
      </c>
      <c r="AX25" s="13">
        <v>208.675977346607</v>
      </c>
      <c r="AY25" s="13">
        <v>0</v>
      </c>
      <c r="AZ25" s="13">
        <v>0</v>
      </c>
      <c r="BA25" s="13">
        <v>21.058144578477901</v>
      </c>
      <c r="BB25" s="13">
        <v>0</v>
      </c>
      <c r="BC25" s="13">
        <v>1.65181629039438</v>
      </c>
      <c r="BD25" s="13">
        <v>0.497592161887219</v>
      </c>
    </row>
    <row r="26" spans="1:56" ht="11.25" customHeight="1" x14ac:dyDescent="0.25">
      <c r="A26" s="139"/>
      <c r="B26" s="139"/>
      <c r="C26" s="139"/>
      <c r="D26" s="17" t="s">
        <v>28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0.46047945048274025</v>
      </c>
      <c r="N26" s="13">
        <f ca="1">('TUSD BE'!$N$26+'TUSD BF'!$N$26+'TUSD CVA'!$N$26)*(1 - 0.65)</f>
        <v>1.511045211130345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33.783412403961641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86.045582533384362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6.7384119044422528</v>
      </c>
      <c r="AE26" s="13">
        <f>('TUSD BE'!$AI$26+'TUSD BF'!$AI$26+'TUSD CVA'!$AI$26)*(1 - 0.65)</f>
        <v>0</v>
      </c>
      <c r="AF26" s="13">
        <f ca="1">('TUSD BE'!$AJ$26+'TUSD BF'!$AJ$26+'TUSD CVA'!$AJ$26)*(1 - 0.65)</f>
        <v>0.52904904167706202</v>
      </c>
      <c r="AG26" s="13">
        <f ca="1">('TUSD BE'!$AK$26+'TUSD BF'!$AK$26+'TUSD CVA'!$AK$26)*(1 - 0.65)</f>
        <v>0.16715624520644995</v>
      </c>
      <c r="AI26" s="13">
        <v>0</v>
      </c>
      <c r="AJ26" s="13">
        <v>0.38087853372492497</v>
      </c>
      <c r="AK26" s="13">
        <v>1.37468587300217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32.3647098086536</v>
      </c>
      <c r="AV26" s="13">
        <v>0</v>
      </c>
      <c r="AW26" s="13">
        <v>0</v>
      </c>
      <c r="AX26" s="13">
        <v>73.036592071312398</v>
      </c>
      <c r="AY26" s="13">
        <v>0</v>
      </c>
      <c r="AZ26" s="13">
        <v>0</v>
      </c>
      <c r="BA26" s="13">
        <v>7.3703506024672496</v>
      </c>
      <c r="BB26" s="13">
        <v>0</v>
      </c>
      <c r="BC26" s="13">
        <v>0.57813570163803496</v>
      </c>
      <c r="BD26" s="13">
        <v>0.174157256660527</v>
      </c>
    </row>
    <row r="27" spans="1:56" ht="11.25" customHeight="1" x14ac:dyDescent="0.25">
      <c r="A27" s="139"/>
      <c r="B27" s="139"/>
      <c r="C27" s="139"/>
      <c r="D27" s="17" t="s">
        <v>29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0.7893933436846976</v>
      </c>
      <c r="N27" s="13">
        <f ca="1">('TUSD BE'!$N$27+'TUSD BF'!$N$27+'TUSD CVA'!$N$27)*(1 - 0.4)</f>
        <v>2.5903632190805914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57.914421263934244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147.5067129143732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11.551563264758148</v>
      </c>
      <c r="AE27" s="13">
        <f>('TUSD BE'!$AI$27+'TUSD BF'!$AI$27+'TUSD CVA'!$AI$27)*(1 - 0.4)</f>
        <v>0</v>
      </c>
      <c r="AF27" s="13">
        <f ca="1">('TUSD BE'!$AJ$27+'TUSD BF'!$AJ$27+'TUSD CVA'!$AJ$27)*(1 - 0.4)</f>
        <v>0.90694121430353491</v>
      </c>
      <c r="AG27" s="13">
        <f ca="1">('TUSD BE'!$AK$27+'TUSD BF'!$AK$27+'TUSD CVA'!$AK$27)*(1 - 0.4)</f>
        <v>0.28655356321105707</v>
      </c>
      <c r="AI27" s="13">
        <v>0</v>
      </c>
      <c r="AJ27" s="13">
        <v>0.65293462924272805</v>
      </c>
      <c r="AK27" s="13">
        <v>2.3566043537180001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55.482359671977598</v>
      </c>
      <c r="AV27" s="13">
        <v>0</v>
      </c>
      <c r="AW27" s="13">
        <v>0</v>
      </c>
      <c r="AX27" s="13">
        <v>125.20558640796401</v>
      </c>
      <c r="AY27" s="13">
        <v>0</v>
      </c>
      <c r="AZ27" s="13">
        <v>0</v>
      </c>
      <c r="BA27" s="13">
        <v>12.6348867470867</v>
      </c>
      <c r="BB27" s="13">
        <v>0</v>
      </c>
      <c r="BC27" s="13">
        <v>0.99108977423663103</v>
      </c>
      <c r="BD27" s="13">
        <v>0.29855529713233098</v>
      </c>
    </row>
    <row r="28" spans="1:56" ht="11.25" customHeight="1" x14ac:dyDescent="0.25">
      <c r="A28" s="139"/>
      <c r="B28" s="139"/>
      <c r="C28" s="139"/>
      <c r="D28" s="17" t="s">
        <v>30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1.1840900155270464</v>
      </c>
      <c r="N28" s="13">
        <f ca="1">('TUSD BE'!$N$28+'TUSD BF'!$N$28+'TUSD CVA'!$N$28)*(1 - 0.1)</f>
        <v>3.8855448286208873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86.871631895901373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221.26006937155981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17.327344897137223</v>
      </c>
      <c r="AE28" s="13">
        <f>('TUSD BE'!$AI$28+'TUSD BF'!$AI$28+'TUSD CVA'!$AI$28)*(1 - 0.1)</f>
        <v>0</v>
      </c>
      <c r="AF28" s="13">
        <f ca="1">('TUSD BE'!$AJ$28+'TUSD BF'!$AJ$28+'TUSD CVA'!$AJ$28)*(1 - 0.1)</f>
        <v>1.3604118214553025</v>
      </c>
      <c r="AG28" s="13">
        <f ca="1">('TUSD BE'!$AK$28+'TUSD BF'!$AK$28+'TUSD CVA'!$AK$28)*(1 - 0.1)</f>
        <v>0.42983034481658561</v>
      </c>
      <c r="AI28" s="13">
        <v>0</v>
      </c>
      <c r="AJ28" s="13">
        <v>0.97940194386409196</v>
      </c>
      <c r="AK28" s="13">
        <v>3.5349065305770102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83.223539507966507</v>
      </c>
      <c r="AV28" s="13">
        <v>0</v>
      </c>
      <c r="AW28" s="13">
        <v>0</v>
      </c>
      <c r="AX28" s="13">
        <v>187.80837961194601</v>
      </c>
      <c r="AY28" s="13">
        <v>0</v>
      </c>
      <c r="AZ28" s="13">
        <v>0</v>
      </c>
      <c r="BA28" s="13">
        <v>18.952330120630101</v>
      </c>
      <c r="BB28" s="13">
        <v>0</v>
      </c>
      <c r="BC28" s="13">
        <v>1.4866346613549499</v>
      </c>
      <c r="BD28" s="13">
        <v>0.44783294569849702</v>
      </c>
    </row>
    <row r="29" spans="1:56" ht="11.25" customHeight="1" x14ac:dyDescent="0.25">
      <c r="A29" s="139"/>
      <c r="B29" s="139"/>
      <c r="C29" s="139"/>
      <c r="D29" s="17" t="s">
        <v>31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1.3156555728078294</v>
      </c>
      <c r="N29" s="13">
        <f ca="1">('TUSD BE'!$N$29+'TUSD BF'!$N$29+'TUSD CVA'!$N$29)*1</f>
        <v>4.3172720318009858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96.524035439890412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245.84452152395534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19.252605441263579</v>
      </c>
      <c r="AE29" s="13">
        <f>('TUSD BE'!$AI$29+'TUSD BF'!$AI$29+'TUSD CVA'!$AI$29)*1</f>
        <v>0</v>
      </c>
      <c r="AF29" s="13">
        <f ca="1">('TUSD BE'!$AJ$29+'TUSD BF'!$AJ$29+'TUSD CVA'!$AJ$29)*1</f>
        <v>1.5115686905058916</v>
      </c>
      <c r="AG29" s="13">
        <f ca="1">('TUSD BE'!$AK$29+'TUSD BF'!$AK$29+'TUSD CVA'!$AK$29)*1</f>
        <v>0.47758927201842843</v>
      </c>
      <c r="AI29" s="13">
        <v>0</v>
      </c>
      <c r="AJ29" s="13">
        <v>1.0882243820712101</v>
      </c>
      <c r="AK29" s="13">
        <v>3.9276739228633399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92.470599453296103</v>
      </c>
      <c r="AV29" s="13">
        <v>0</v>
      </c>
      <c r="AW29" s="13">
        <v>0</v>
      </c>
      <c r="AX29" s="13">
        <v>208.675977346607</v>
      </c>
      <c r="AY29" s="13">
        <v>0</v>
      </c>
      <c r="AZ29" s="13">
        <v>0</v>
      </c>
      <c r="BA29" s="13">
        <v>21.058144578477901</v>
      </c>
      <c r="BB29" s="13">
        <v>0</v>
      </c>
      <c r="BC29" s="13">
        <v>1.65181629039438</v>
      </c>
      <c r="BD29" s="13">
        <v>0.497592161887219</v>
      </c>
    </row>
    <row r="30" spans="1:56" ht="11.25" customHeight="1" x14ac:dyDescent="0.25">
      <c r="A30" s="139" t="s">
        <v>41</v>
      </c>
      <c r="B30" s="139" t="s">
        <v>38</v>
      </c>
      <c r="C30" s="139" t="s">
        <v>42</v>
      </c>
      <c r="D30" s="139" t="s">
        <v>25</v>
      </c>
      <c r="E30" s="139" t="s">
        <v>25</v>
      </c>
      <c r="F30" s="139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1.2367162384393595</v>
      </c>
      <c r="N30" s="13">
        <f ca="1">('TUSD BE'!$N$30+'TUSD BF'!$N$30+'TUSD CVA'!$N$30)*(1 - CUSTOS!$M$38)</f>
        <v>0.50615882150265379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100.26257501272167</v>
      </c>
      <c r="R30" s="13">
        <f>('TUSD BE'!$R$30+'TUSD BF'!$R$30+'TUSD CVA'!$R$30)*(1 - CUSTOS!$M$38)</f>
        <v>16.151661348078562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0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0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18.097449114787764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1.420874569075538</v>
      </c>
      <c r="AG30" s="13">
        <f ca="1">('TUSD BE'!$AK$30+'TUSD BF'!$AK$30+'TUSD CVA'!$AK$30)*(1 - CUSTOS!$M$38)</f>
        <v>0.44893391569732272</v>
      </c>
      <c r="AI30" s="13">
        <v>0</v>
      </c>
      <c r="AJ30" s="13">
        <v>0.95763745622266805</v>
      </c>
      <c r="AK30" s="13">
        <v>0.52322165112455699</v>
      </c>
      <c r="AL30" s="13">
        <v>0</v>
      </c>
      <c r="AM30" s="13">
        <v>0</v>
      </c>
      <c r="AN30" s="13">
        <v>56.570234385296502</v>
      </c>
      <c r="AO30" s="13">
        <v>9.3934752555313104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18.5311672290605</v>
      </c>
      <c r="BB30" s="13">
        <v>0</v>
      </c>
      <c r="BC30" s="13">
        <v>1.4535983355470601</v>
      </c>
      <c r="BD30" s="13">
        <v>0.43788110246075301</v>
      </c>
    </row>
    <row r="31" spans="1:56" ht="11.25" customHeight="1" x14ac:dyDescent="0.25">
      <c r="A31" s="139"/>
      <c r="B31" s="139"/>
      <c r="C31" s="139"/>
      <c r="D31" s="139"/>
      <c r="E31" s="139"/>
      <c r="F31" s="139"/>
      <c r="G31" s="18" t="s">
        <v>82</v>
      </c>
      <c r="H31" s="18" t="s">
        <v>68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1.2367162384393595</v>
      </c>
      <c r="N31" s="13">
        <f ca="1">('TUSD BE'!$N$31+'TUSD BF'!$N$31+'TUSD CVA'!$N$31)*(1 - CUSTOS!$M$38)</f>
        <v>0.50615882150265379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100.26257501272167</v>
      </c>
      <c r="R31" s="13">
        <f>('TUSD BE'!$R$31+'TUSD BF'!$R$31+'TUSD CVA'!$R$31)*(1 - CUSTOS!$M$38)</f>
        <v>16.151661348078562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0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0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18.097449114787764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1.420874569075538</v>
      </c>
      <c r="AG31" s="13">
        <f ca="1">('TUSD BE'!$AK$31+'TUSD BF'!$AK$31+'TUSD CVA'!$AK$31)*(1 - CUSTOS!$M$38)</f>
        <v>0.44893391569732272</v>
      </c>
      <c r="AI31" s="13">
        <v>0</v>
      </c>
      <c r="AJ31" s="13">
        <v>0.95763745622266805</v>
      </c>
      <c r="AK31" s="13">
        <v>0.52322165112455699</v>
      </c>
      <c r="AL31" s="13">
        <v>0</v>
      </c>
      <c r="AM31" s="13">
        <v>0</v>
      </c>
      <c r="AN31" s="13">
        <v>56.570234385296502</v>
      </c>
      <c r="AO31" s="13">
        <v>9.3934752555313104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18.5311672290605</v>
      </c>
      <c r="BB31" s="13">
        <v>0</v>
      </c>
      <c r="BC31" s="13">
        <v>1.4535983355470601</v>
      </c>
      <c r="BD31" s="13">
        <v>0.43788110246075301</v>
      </c>
    </row>
    <row r="32" spans="1:56" ht="11.25" customHeight="1" x14ac:dyDescent="0.25">
      <c r="A32" s="139"/>
      <c r="B32" s="139"/>
      <c r="C32" s="139"/>
      <c r="D32" s="139"/>
      <c r="E32" s="139"/>
      <c r="F32" s="139"/>
      <c r="G32" s="18" t="s">
        <v>70</v>
      </c>
      <c r="H32" s="18" t="s">
        <v>68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1.2367162384393595</v>
      </c>
      <c r="N32" s="13">
        <f ca="1">('TUSD BE'!$N$32+'TUSD BF'!$N$32+'TUSD CVA'!$N$32)*(1 - CUSTOS!$M$38)</f>
        <v>0.50615882150265379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100.26257501272167</v>
      </c>
      <c r="R32" s="13">
        <f>('TUSD BE'!$R$32+'TUSD BF'!$R$32+'TUSD CVA'!$R$32)*(1 - CUSTOS!$M$38)</f>
        <v>16.151661348078562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0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0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18.097449114787764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1.420874569075538</v>
      </c>
      <c r="AG32" s="13">
        <f ca="1">('TUSD BE'!$AK$32+'TUSD BF'!$AK$32+'TUSD CVA'!$AK$32)*(1 - CUSTOS!$M$38)</f>
        <v>0.44893391569732272</v>
      </c>
      <c r="AI32" s="13">
        <v>0</v>
      </c>
      <c r="AJ32" s="13">
        <v>0.95763745622266805</v>
      </c>
      <c r="AK32" s="13">
        <v>0.52322165112455699</v>
      </c>
      <c r="AL32" s="13">
        <v>0</v>
      </c>
      <c r="AM32" s="13">
        <v>0</v>
      </c>
      <c r="AN32" s="13">
        <v>56.570234385296502</v>
      </c>
      <c r="AO32" s="13">
        <v>9.3934752555313104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18.5311672290605</v>
      </c>
      <c r="BB32" s="13">
        <v>0</v>
      </c>
      <c r="BC32" s="13">
        <v>1.4535983355470601</v>
      </c>
      <c r="BD32" s="13">
        <v>0.43788110246075301</v>
      </c>
    </row>
    <row r="33" spans="1:56" ht="11.25" customHeight="1" x14ac:dyDescent="0.25">
      <c r="A33" s="139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11.840000000000002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1.2367162384393595</v>
      </c>
      <c r="N33" s="13">
        <f ca="1">('TUSD BE'!$N$33+'TUSD BF'!$N$33+'TUSD CVA'!$N$33)*(1 - CUSTOS!$M$38)</f>
        <v>4.0700115210981052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100.26257501272167</v>
      </c>
      <c r="R33" s="13">
        <f>('TUSD BE'!$R$33+'TUSD BF'!$R$33+'TUSD CVA'!$R$33)*(1 - CUSTOS!$M$38)</f>
        <v>16.151661348078562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90.732593313496977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231.09385023251801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18.097449114787764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1.420874569075538</v>
      </c>
      <c r="AG33" s="13">
        <f ca="1">('TUSD BE'!$AK$33+'TUSD BF'!$AK$33+'TUSD CVA'!$AK$33)*(1 - CUSTOS!$M$38)</f>
        <v>0.44893391569732272</v>
      </c>
      <c r="AI33" s="13">
        <v>0</v>
      </c>
      <c r="AJ33" s="13">
        <v>0.95763745622266805</v>
      </c>
      <c r="AK33" s="13">
        <v>3.4685179957288401</v>
      </c>
      <c r="AL33" s="13">
        <v>0</v>
      </c>
      <c r="AM33" s="13">
        <v>0</v>
      </c>
      <c r="AN33" s="13">
        <v>56.570234385296502</v>
      </c>
      <c r="AO33" s="13">
        <v>9.3934752555313104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81.374127518900494</v>
      </c>
      <c r="AV33" s="13">
        <v>0</v>
      </c>
      <c r="AW33" s="13">
        <v>0</v>
      </c>
      <c r="AX33" s="13">
        <v>183.63486006501401</v>
      </c>
      <c r="AY33" s="13">
        <v>0</v>
      </c>
      <c r="AZ33" s="13">
        <v>0</v>
      </c>
      <c r="BA33" s="13">
        <v>18.5311672290605</v>
      </c>
      <c r="BB33" s="13">
        <v>0</v>
      </c>
      <c r="BC33" s="13">
        <v>1.4535983355470601</v>
      </c>
      <c r="BD33" s="13">
        <v>0.43788110246075301</v>
      </c>
    </row>
    <row r="34" spans="1:56" ht="11.25" customHeight="1" x14ac:dyDescent="0.25">
      <c r="A34" s="139"/>
      <c r="B34" s="139" t="s">
        <v>38</v>
      </c>
      <c r="C34" s="139" t="s">
        <v>42</v>
      </c>
      <c r="D34" s="139" t="s">
        <v>85</v>
      </c>
      <c r="E34" s="139" t="s">
        <v>25</v>
      </c>
      <c r="F34" s="139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1.2367162384393595</v>
      </c>
      <c r="N34" s="13">
        <f ca="1">('TUSD BE'!$N$34+'TUSD BF'!$N$34+'TUSD CVA'!$N$34)*(1 - CUSTOS!$M$39)</f>
        <v>0.50615882150265379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100.26257501272167</v>
      </c>
      <c r="R34" s="13">
        <f>('TUSD BE'!$R$34+'TUSD BF'!$R$34+'TUSD CVA'!$R$34)*(1 - CUSTOS!$M$39)</f>
        <v>16.151661348078562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0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0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18.097449114787764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1.420874569075538</v>
      </c>
      <c r="AG34" s="13">
        <f ca="1">('TUSD BE'!$AK$34+'TUSD BF'!$AK$34+'TUSD CVA'!$AK$34)*(1 - CUSTOS!$M$39)</f>
        <v>0.44893391569732272</v>
      </c>
      <c r="AI34" s="13">
        <v>0</v>
      </c>
      <c r="AJ34" s="13">
        <v>0.95763745622266805</v>
      </c>
      <c r="AK34" s="13">
        <v>0.52322165112455699</v>
      </c>
      <c r="AL34" s="13">
        <v>0</v>
      </c>
      <c r="AM34" s="13">
        <v>0</v>
      </c>
      <c r="AN34" s="13">
        <v>56.570234385296502</v>
      </c>
      <c r="AO34" s="13">
        <v>9.3934752555313104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18.5311672290605</v>
      </c>
      <c r="BB34" s="13">
        <v>0</v>
      </c>
      <c r="BC34" s="13">
        <v>1.4535983355470601</v>
      </c>
      <c r="BD34" s="13">
        <v>0.43788110246075301</v>
      </c>
    </row>
    <row r="35" spans="1:56" ht="11.25" customHeight="1" x14ac:dyDescent="0.25">
      <c r="A35" s="139"/>
      <c r="B35" s="139"/>
      <c r="C35" s="139"/>
      <c r="D35" s="139"/>
      <c r="E35" s="139"/>
      <c r="F35" s="139"/>
      <c r="G35" s="18" t="s">
        <v>82</v>
      </c>
      <c r="H35" s="18" t="s">
        <v>68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1.2367162384393595</v>
      </c>
      <c r="N35" s="13">
        <f ca="1">('TUSD BE'!$N$35+'TUSD BF'!$N$35+'TUSD CVA'!$N$35)*(1 - CUSTOS!$M$39)</f>
        <v>0.50615882150265379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100.26257501272167</v>
      </c>
      <c r="R35" s="13">
        <f>('TUSD BE'!$R$35+'TUSD BF'!$R$35+'TUSD CVA'!$R$35)*(1 - CUSTOS!$M$39)</f>
        <v>16.151661348078562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0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0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18.097449114787764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1.420874569075538</v>
      </c>
      <c r="AG35" s="13">
        <f ca="1">('TUSD BE'!$AK$35+'TUSD BF'!$AK$35+'TUSD CVA'!$AK$35)*(1 - CUSTOS!$M$39)</f>
        <v>0.44893391569732272</v>
      </c>
      <c r="AI35" s="13">
        <v>0</v>
      </c>
      <c r="AJ35" s="13">
        <v>0.95763745622266805</v>
      </c>
      <c r="AK35" s="13">
        <v>0.52322165112455699</v>
      </c>
      <c r="AL35" s="13">
        <v>0</v>
      </c>
      <c r="AM35" s="13">
        <v>0</v>
      </c>
      <c r="AN35" s="13">
        <v>56.570234385296502</v>
      </c>
      <c r="AO35" s="13">
        <v>9.3934752555313104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18.5311672290605</v>
      </c>
      <c r="BB35" s="13">
        <v>0</v>
      </c>
      <c r="BC35" s="13">
        <v>1.4535983355470601</v>
      </c>
      <c r="BD35" s="13">
        <v>0.43788110246075301</v>
      </c>
    </row>
    <row r="36" spans="1:56" ht="11.25" customHeight="1" x14ac:dyDescent="0.25">
      <c r="A36" s="139"/>
      <c r="B36" s="139"/>
      <c r="C36" s="139"/>
      <c r="D36" s="139"/>
      <c r="E36" s="139"/>
      <c r="F36" s="139"/>
      <c r="G36" s="18" t="s">
        <v>70</v>
      </c>
      <c r="H36" s="18" t="s">
        <v>68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1.2367162384393595</v>
      </c>
      <c r="N36" s="13">
        <f ca="1">('TUSD BE'!$N$36+'TUSD BF'!$N$36+'TUSD CVA'!$N$36)*(1 - CUSTOS!$M$39)</f>
        <v>0.50615882150265379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100.26257501272167</v>
      </c>
      <c r="R36" s="13">
        <f>('TUSD BE'!$R$36+'TUSD BF'!$R$36+'TUSD CVA'!$R$36)*(1 - CUSTOS!$M$39)</f>
        <v>16.151661348078562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0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0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18.097449114787764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1.420874569075538</v>
      </c>
      <c r="AG36" s="13">
        <f ca="1">('TUSD BE'!$AK$36+'TUSD BF'!$AK$36+'TUSD CVA'!$AK$36)*(1 - CUSTOS!$M$39)</f>
        <v>0.44893391569732272</v>
      </c>
      <c r="AI36" s="13">
        <v>0</v>
      </c>
      <c r="AJ36" s="13">
        <v>0.95763745622266805</v>
      </c>
      <c r="AK36" s="13">
        <v>0.52322165112455699</v>
      </c>
      <c r="AL36" s="13">
        <v>0</v>
      </c>
      <c r="AM36" s="13">
        <v>0</v>
      </c>
      <c r="AN36" s="13">
        <v>56.570234385296502</v>
      </c>
      <c r="AO36" s="13">
        <v>9.3934752555313104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18.5311672290605</v>
      </c>
      <c r="BB36" s="13">
        <v>0</v>
      </c>
      <c r="BC36" s="13">
        <v>1.4535983355470601</v>
      </c>
      <c r="BD36" s="13">
        <v>0.43788110246075301</v>
      </c>
    </row>
    <row r="37" spans="1:56" ht="11.25" customHeight="1" x14ac:dyDescent="0.25">
      <c r="A37" s="139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1.2367162384393595</v>
      </c>
      <c r="N37" s="13">
        <f ca="1">('TUSD BE'!$N$37+'TUSD BF'!$N$37+'TUSD CVA'!$N$37)*(1 - CUSTOS!$M$39)</f>
        <v>4.0700115210981052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100.26257501272167</v>
      </c>
      <c r="R37" s="13">
        <f>('TUSD BE'!$R$37+'TUSD BF'!$R$37+'TUSD CVA'!$R$37)*(1 - CUSTOS!$M$39)</f>
        <v>16.151661348078562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90.732593313496977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231.09385023251801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18.097449114787764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1.420874569075538</v>
      </c>
      <c r="AG37" s="13">
        <f ca="1">('TUSD BE'!$AK$37+'TUSD BF'!$AK$37+'TUSD CVA'!$AK$37)*(1 - CUSTOS!$M$39)</f>
        <v>0.44893391569732272</v>
      </c>
      <c r="AI37" s="13">
        <v>0</v>
      </c>
      <c r="AJ37" s="13">
        <v>0.95763745622266805</v>
      </c>
      <c r="AK37" s="13">
        <v>3.4685179957288401</v>
      </c>
      <c r="AL37" s="13">
        <v>0</v>
      </c>
      <c r="AM37" s="13">
        <v>0</v>
      </c>
      <c r="AN37" s="13">
        <v>56.570234385296502</v>
      </c>
      <c r="AO37" s="13">
        <v>9.3934752555313104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81.374127518900494</v>
      </c>
      <c r="AV37" s="13">
        <v>0</v>
      </c>
      <c r="AW37" s="13">
        <v>0</v>
      </c>
      <c r="AX37" s="13">
        <v>183.63486006501401</v>
      </c>
      <c r="AY37" s="13">
        <v>0</v>
      </c>
      <c r="AZ37" s="13">
        <v>0</v>
      </c>
      <c r="BA37" s="13">
        <v>18.5311672290605</v>
      </c>
      <c r="BB37" s="13">
        <v>0</v>
      </c>
      <c r="BC37" s="13">
        <v>1.4535983355470601</v>
      </c>
      <c r="BD37" s="13">
        <v>0.43788110246075301</v>
      </c>
    </row>
    <row r="38" spans="1:56" ht="11.25" customHeight="1" x14ac:dyDescent="0.25">
      <c r="A38" s="139"/>
      <c r="B38" s="139" t="s">
        <v>38</v>
      </c>
      <c r="C38" s="139" t="s">
        <v>42</v>
      </c>
      <c r="D38" s="139" t="s">
        <v>86</v>
      </c>
      <c r="E38" s="139" t="s">
        <v>25</v>
      </c>
      <c r="F38" s="139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1.2104031269832032</v>
      </c>
      <c r="N38" s="13">
        <f ca="1">('TUSD BE'!$N$38+'TUSD BF'!$N$38+'TUSD CVA'!$N$38)*(1 - CUSTOS!$M$40)</f>
        <v>0.49538948487493784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98.129328735855267</v>
      </c>
      <c r="R38" s="13">
        <f>('TUSD BE'!$R$38+'TUSD BF'!$R$38+'TUSD CVA'!$R$38)*(1 - CUSTOS!$M$40)</f>
        <v>15.808008978970507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0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0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17.712397005962494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1.3906431952654204</v>
      </c>
      <c r="AG38" s="13">
        <f ca="1">('TUSD BE'!$AK$38+'TUSD BF'!$AK$38+'TUSD CVA'!$AK$38)*(1 - CUSTOS!$M$40)</f>
        <v>0.43938213025695416</v>
      </c>
      <c r="AI38" s="13">
        <v>0</v>
      </c>
      <c r="AJ38" s="13">
        <v>0.914108480939819</v>
      </c>
      <c r="AK38" s="13">
        <v>0.49943884880071399</v>
      </c>
      <c r="AL38" s="13">
        <v>0</v>
      </c>
      <c r="AM38" s="13">
        <v>0</v>
      </c>
      <c r="AN38" s="13">
        <v>53.998860095055697</v>
      </c>
      <c r="AO38" s="13">
        <v>8.9664991075526199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17.688841445921401</v>
      </c>
      <c r="BB38" s="13">
        <v>0</v>
      </c>
      <c r="BC38" s="13">
        <v>1.38752568393128</v>
      </c>
      <c r="BD38" s="13">
        <v>0.417977415985264</v>
      </c>
    </row>
    <row r="39" spans="1:56" ht="11.25" customHeight="1" x14ac:dyDescent="0.25">
      <c r="A39" s="139"/>
      <c r="B39" s="139"/>
      <c r="C39" s="139"/>
      <c r="D39" s="139"/>
      <c r="E39" s="139"/>
      <c r="F39" s="139"/>
      <c r="G39" s="18" t="s">
        <v>82</v>
      </c>
      <c r="H39" s="18" t="s">
        <v>68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1.2104031269832032</v>
      </c>
      <c r="N39" s="13">
        <f ca="1">('TUSD BE'!$N$39+'TUSD BF'!$N$39+'TUSD CVA'!$N$39)*(1 - CUSTOS!$M$40)</f>
        <v>0.49538948487493784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98.129328735855267</v>
      </c>
      <c r="R39" s="13">
        <f>('TUSD BE'!$R$39+'TUSD BF'!$R$39+'TUSD CVA'!$R$39)*(1 - CUSTOS!$M$40)</f>
        <v>15.808008978970507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0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0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17.712397005962494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1.3906431952654204</v>
      </c>
      <c r="AG39" s="13">
        <f ca="1">('TUSD BE'!$AK$39+'TUSD BF'!$AK$39+'TUSD CVA'!$AK$39)*(1 - CUSTOS!$M$40)</f>
        <v>0.43938213025695416</v>
      </c>
      <c r="AI39" s="13">
        <v>0</v>
      </c>
      <c r="AJ39" s="13">
        <v>0.914108480939819</v>
      </c>
      <c r="AK39" s="13">
        <v>0.49943884880071399</v>
      </c>
      <c r="AL39" s="13">
        <v>0</v>
      </c>
      <c r="AM39" s="13">
        <v>0</v>
      </c>
      <c r="AN39" s="13">
        <v>53.998860095055697</v>
      </c>
      <c r="AO39" s="13">
        <v>8.9664991075526199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17.688841445921401</v>
      </c>
      <c r="BB39" s="13">
        <v>0</v>
      </c>
      <c r="BC39" s="13">
        <v>1.38752568393128</v>
      </c>
      <c r="BD39" s="13">
        <v>0.417977415985264</v>
      </c>
    </row>
    <row r="40" spans="1:56" ht="11.25" customHeight="1" x14ac:dyDescent="0.25">
      <c r="A40" s="139"/>
      <c r="B40" s="139"/>
      <c r="C40" s="139"/>
      <c r="D40" s="139"/>
      <c r="E40" s="139"/>
      <c r="F40" s="139"/>
      <c r="G40" s="18" t="s">
        <v>70</v>
      </c>
      <c r="H40" s="18" t="s">
        <v>68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1.2104031269832032</v>
      </c>
      <c r="N40" s="13">
        <f ca="1">('TUSD BE'!$N$40+'TUSD BF'!$N$40+'TUSD CVA'!$N$40)*(1 - CUSTOS!$M$40)</f>
        <v>0.49538948487493784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98.129328735855267</v>
      </c>
      <c r="R40" s="13">
        <f>('TUSD BE'!$R$40+'TUSD BF'!$R$40+'TUSD CVA'!$R$40)*(1 - CUSTOS!$M$40)</f>
        <v>15.808008978970507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0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0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17.712397005962494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1.3906431952654204</v>
      </c>
      <c r="AG40" s="13">
        <f ca="1">('TUSD BE'!$AK$40+'TUSD BF'!$AK$40+'TUSD CVA'!$AK$40)*(1 - CUSTOS!$M$40)</f>
        <v>0.43938213025695416</v>
      </c>
      <c r="AI40" s="13">
        <v>0</v>
      </c>
      <c r="AJ40" s="13">
        <v>0.914108480939819</v>
      </c>
      <c r="AK40" s="13">
        <v>0.49943884880071399</v>
      </c>
      <c r="AL40" s="13">
        <v>0</v>
      </c>
      <c r="AM40" s="13">
        <v>0</v>
      </c>
      <c r="AN40" s="13">
        <v>53.998860095055697</v>
      </c>
      <c r="AO40" s="13">
        <v>8.9664991075526199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17.688841445921401</v>
      </c>
      <c r="BB40" s="13">
        <v>0</v>
      </c>
      <c r="BC40" s="13">
        <v>1.38752568393128</v>
      </c>
      <c r="BD40" s="13">
        <v>0.417977415985264</v>
      </c>
    </row>
    <row r="41" spans="1:56" ht="11.25" customHeight="1" x14ac:dyDescent="0.25">
      <c r="A41" s="139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1.2104031269832032</v>
      </c>
      <c r="N41" s="13">
        <f ca="1">('TUSD BE'!$N$41+'TUSD BF'!$N$41+'TUSD CVA'!$N$41)*(1 - CUSTOS!$M$40)</f>
        <v>3.9834155312875081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98.129328735855267</v>
      </c>
      <c r="R41" s="13">
        <f>('TUSD BE'!$R$41+'TUSD BF'!$R$41+'TUSD CVA'!$R$41)*(1 - CUSTOS!$M$40)</f>
        <v>15.808008978970507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88.80211260469919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226.17695980203891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17.712397005962494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1.3906431952654204</v>
      </c>
      <c r="AG41" s="13">
        <f ca="1">('TUSD BE'!$AK$41+'TUSD BF'!$AK$41+'TUSD CVA'!$AK$41)*(1 - CUSTOS!$M$40)</f>
        <v>0.43938213025695416</v>
      </c>
      <c r="AI41" s="13">
        <v>0</v>
      </c>
      <c r="AJ41" s="13">
        <v>0.914108480939819</v>
      </c>
      <c r="AK41" s="13">
        <v>3.3108580868320701</v>
      </c>
      <c r="AL41" s="13">
        <v>0</v>
      </c>
      <c r="AM41" s="13">
        <v>0</v>
      </c>
      <c r="AN41" s="13">
        <v>53.998860095055697</v>
      </c>
      <c r="AO41" s="13">
        <v>8.9664991075526199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77.675303540768695</v>
      </c>
      <c r="AV41" s="13">
        <v>0</v>
      </c>
      <c r="AW41" s="13">
        <v>0</v>
      </c>
      <c r="AX41" s="13">
        <v>175.28782097115001</v>
      </c>
      <c r="AY41" s="13">
        <v>0</v>
      </c>
      <c r="AZ41" s="13">
        <v>0</v>
      </c>
      <c r="BA41" s="13">
        <v>17.688841445921401</v>
      </c>
      <c r="BB41" s="13">
        <v>0</v>
      </c>
      <c r="BC41" s="13">
        <v>1.38752568393128</v>
      </c>
      <c r="BD41" s="13">
        <v>0.417977415985264</v>
      </c>
    </row>
    <row r="42" spans="1:56" ht="11.25" customHeight="1" x14ac:dyDescent="0.25">
      <c r="A42" s="139"/>
      <c r="B42" s="139" t="s">
        <v>84</v>
      </c>
      <c r="C42" s="139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1.2367162384393595</v>
      </c>
      <c r="N42" s="13">
        <f ca="1">('TUSD BE'!$N$42+'TUSD BF'!$N$42+'TUSD CVA'!$N$42)*(1 - CUSTOS!$M$38)</f>
        <v>4.0700115210981052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100.26257501272167</v>
      </c>
      <c r="R42" s="13">
        <f>('TUSD BE'!$R$42+'TUSD BF'!$R$42+'TUSD CVA'!$R$42)*(1 - CUSTOS!$M$38)</f>
        <v>16.151661348078562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90.732593313496977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231.09385023251801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18.097449114787764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1.420874569075538</v>
      </c>
      <c r="AG42" s="13">
        <f ca="1">('TUSD BE'!$AK$42+'TUSD BF'!$AK$42+'TUSD CVA'!$AK$42)*(1 - CUSTOS!$M$38)</f>
        <v>0.44893391569732272</v>
      </c>
      <c r="AI42" s="13">
        <v>0</v>
      </c>
      <c r="AJ42" s="13">
        <v>0.95763745622266805</v>
      </c>
      <c r="AK42" s="13">
        <v>3.4685179957288401</v>
      </c>
      <c r="AL42" s="13">
        <v>0</v>
      </c>
      <c r="AM42" s="13">
        <v>0</v>
      </c>
      <c r="AN42" s="13">
        <v>56.570234385296502</v>
      </c>
      <c r="AO42" s="13">
        <v>9.3934752555313104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81.374127518900494</v>
      </c>
      <c r="AV42" s="13">
        <v>0</v>
      </c>
      <c r="AW42" s="13">
        <v>0</v>
      </c>
      <c r="AX42" s="13">
        <v>183.63486006501401</v>
      </c>
      <c r="AY42" s="13">
        <v>0</v>
      </c>
      <c r="AZ42" s="13">
        <v>0</v>
      </c>
      <c r="BA42" s="13">
        <v>18.5311672290605</v>
      </c>
      <c r="BB42" s="13">
        <v>0</v>
      </c>
      <c r="BC42" s="13">
        <v>1.4535983355470601</v>
      </c>
      <c r="BD42" s="13">
        <v>0.43788110246075301</v>
      </c>
    </row>
    <row r="43" spans="1:56" ht="11.25" customHeight="1" x14ac:dyDescent="0.25">
      <c r="A43" s="139"/>
      <c r="B43" s="139"/>
      <c r="C43" s="139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1.2367162384393595</v>
      </c>
      <c r="N43" s="13">
        <f ca="1">('TUSD BE'!$N$43+'TUSD BF'!$N$43+'TUSD CVA'!$N$43)*(1 - CUSTOS!$M$39)</f>
        <v>4.0700115210981052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100.26257501272167</v>
      </c>
      <c r="R43" s="13">
        <f>('TUSD BE'!$R$43+'TUSD BF'!$R$43+'TUSD CVA'!$R$43)*(1 - CUSTOS!$M$39)</f>
        <v>16.151661348078562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90.732593313496977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231.09385023251801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18.097449114787764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1.420874569075538</v>
      </c>
      <c r="AG43" s="13">
        <f ca="1">('TUSD BE'!$AK$43+'TUSD BF'!$AK$43+'TUSD CVA'!$AK$43)*(1 - CUSTOS!$M$39)</f>
        <v>0.44893391569732272</v>
      </c>
      <c r="AI43" s="13">
        <v>0</v>
      </c>
      <c r="AJ43" s="13">
        <v>0.95763745622266805</v>
      </c>
      <c r="AK43" s="13">
        <v>3.4685179957288401</v>
      </c>
      <c r="AL43" s="13">
        <v>0</v>
      </c>
      <c r="AM43" s="13">
        <v>0</v>
      </c>
      <c r="AN43" s="13">
        <v>56.570234385296502</v>
      </c>
      <c r="AO43" s="13">
        <v>9.3934752555313104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81.374127518900494</v>
      </c>
      <c r="AV43" s="13">
        <v>0</v>
      </c>
      <c r="AW43" s="13">
        <v>0</v>
      </c>
      <c r="AX43" s="13">
        <v>183.63486006501401</v>
      </c>
      <c r="AY43" s="13">
        <v>0</v>
      </c>
      <c r="AZ43" s="13">
        <v>0</v>
      </c>
      <c r="BA43" s="13">
        <v>18.5311672290605</v>
      </c>
      <c r="BB43" s="13">
        <v>0</v>
      </c>
      <c r="BC43" s="13">
        <v>1.4535983355470601</v>
      </c>
      <c r="BD43" s="13">
        <v>0.43788110246075301</v>
      </c>
    </row>
    <row r="44" spans="1:56" ht="11.25" customHeight="1" x14ac:dyDescent="0.25">
      <c r="A44" s="139"/>
      <c r="B44" s="139"/>
      <c r="C44" s="139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1.2104031269832032</v>
      </c>
      <c r="N44" s="13">
        <f ca="1">('TUSD BE'!$N$44+'TUSD BF'!$N$44+'TUSD CVA'!$N$44)*(1 - CUSTOS!$M$40)</f>
        <v>3.9834155312875081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98.129328735855267</v>
      </c>
      <c r="R44" s="13">
        <f>('TUSD BE'!$R$44+'TUSD BF'!$R$44+'TUSD CVA'!$R$44)*(1 - CUSTOS!$M$40)</f>
        <v>15.808008978970507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88.80211260469919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226.17695980203891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17.712397005962494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1.3906431952654204</v>
      </c>
      <c r="AG44" s="13">
        <f ca="1">('TUSD BE'!$AK$44+'TUSD BF'!$AK$44+'TUSD CVA'!$AK$44)*(1 - CUSTOS!$M$40)</f>
        <v>0.43938213025695416</v>
      </c>
      <c r="AI44" s="13">
        <v>0</v>
      </c>
      <c r="AJ44" s="13">
        <v>0.914108480939819</v>
      </c>
      <c r="AK44" s="13">
        <v>3.3108580868320701</v>
      </c>
      <c r="AL44" s="13">
        <v>0</v>
      </c>
      <c r="AM44" s="13">
        <v>0</v>
      </c>
      <c r="AN44" s="13">
        <v>53.998860095055697</v>
      </c>
      <c r="AO44" s="13">
        <v>8.9664991075526199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77.675303540768695</v>
      </c>
      <c r="AV44" s="13">
        <v>0</v>
      </c>
      <c r="AW44" s="13">
        <v>0</v>
      </c>
      <c r="AX44" s="13">
        <v>175.28782097115001</v>
      </c>
      <c r="AY44" s="13">
        <v>0</v>
      </c>
      <c r="AZ44" s="13">
        <v>0</v>
      </c>
      <c r="BA44" s="13">
        <v>17.688841445921401</v>
      </c>
      <c r="BB44" s="13">
        <v>0</v>
      </c>
      <c r="BC44" s="13">
        <v>1.38752568393128</v>
      </c>
      <c r="BD44" s="13">
        <v>0.417977415985264</v>
      </c>
    </row>
    <row r="45" spans="1:56" ht="11.25" customHeight="1" x14ac:dyDescent="0.25">
      <c r="A45" s="139" t="s">
        <v>32</v>
      </c>
      <c r="B45" s="139" t="s">
        <v>38</v>
      </c>
      <c r="C45" s="139" t="s">
        <v>25</v>
      </c>
      <c r="D45" s="139" t="s">
        <v>25</v>
      </c>
      <c r="E45" s="139" t="s">
        <v>25</v>
      </c>
      <c r="F45" s="139" t="s">
        <v>25</v>
      </c>
      <c r="G45" s="18" t="s">
        <v>69</v>
      </c>
      <c r="H45" s="18" t="s">
        <v>68</v>
      </c>
      <c r="I45" s="18">
        <f>'MERCADO TUSD'!$U$42</f>
        <v>8.897000000000002</v>
      </c>
      <c r="J45" s="15"/>
      <c r="L45" s="13">
        <f>('TUSD BE'!$L$45+'TUSD BF'!$L$45+'TUSD CVA'!$L$45)*1</f>
        <v>0</v>
      </c>
      <c r="M45" s="13">
        <f>('TUSD BE'!$M$45+'TUSD BF'!$M$45+'TUSD CVA'!$M$45)*1</f>
        <v>1.3156555728078294</v>
      </c>
      <c r="N45" s="13">
        <f ca="1">('TUSD BE'!$N$45+'TUSD BF'!$N$45+'TUSD CVA'!$N$45)*1</f>
        <v>14.566398171317312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106.66231384332093</v>
      </c>
      <c r="R45" s="13">
        <f>('TUSD BE'!$R$45+'TUSD BF'!$R$45+'TUSD CVA'!$R$45)*1</f>
        <v>17.182618455402725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357.13888130565175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909.62481699310388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19.252605441263579</v>
      </c>
      <c r="AE45" s="13">
        <f>('TUSD BE'!$AI$45+'TUSD BF'!$AI$45+'TUSD CVA'!$AI$45)*1</f>
        <v>0</v>
      </c>
      <c r="AF45" s="13">
        <f ca="1">('TUSD BE'!$AJ$45+'TUSD BF'!$AJ$45+'TUSD CVA'!$AJ$45)*1</f>
        <v>1.5115686905058916</v>
      </c>
      <c r="AG45" s="13">
        <f ca="1">('TUSD BE'!$AK$45+'TUSD BF'!$AK$45+'TUSD CVA'!$AK$45)*1</f>
        <v>0.47758927201842843</v>
      </c>
      <c r="AI45" s="13">
        <v>0</v>
      </c>
      <c r="AJ45" s="13">
        <v>1.0882243820712101</v>
      </c>
      <c r="AK45" s="13">
        <v>12.978202858452899</v>
      </c>
      <c r="AL45" s="13">
        <v>0</v>
      </c>
      <c r="AM45" s="13">
        <v>0</v>
      </c>
      <c r="AN45" s="13">
        <v>64.284357256018694</v>
      </c>
      <c r="AO45" s="13">
        <v>10.674403699467399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342.14117024747799</v>
      </c>
      <c r="AV45" s="13">
        <v>0</v>
      </c>
      <c r="AW45" s="13">
        <v>0</v>
      </c>
      <c r="AX45" s="13">
        <v>772.10119033003696</v>
      </c>
      <c r="AY45" s="13">
        <v>0</v>
      </c>
      <c r="AZ45" s="13">
        <v>0</v>
      </c>
      <c r="BA45" s="13">
        <v>21.058144578477901</v>
      </c>
      <c r="BB45" s="13">
        <v>0</v>
      </c>
      <c r="BC45" s="13">
        <v>1.65181629039438</v>
      </c>
      <c r="BD45" s="13">
        <v>0.497592161887219</v>
      </c>
    </row>
    <row r="46" spans="1:56" ht="11.25" customHeight="1" x14ac:dyDescent="0.25">
      <c r="A46" s="139"/>
      <c r="B46" s="139"/>
      <c r="C46" s="139"/>
      <c r="D46" s="139"/>
      <c r="E46" s="139"/>
      <c r="F46" s="139"/>
      <c r="G46" s="18" t="s">
        <v>82</v>
      </c>
      <c r="H46" s="18" t="s">
        <v>68</v>
      </c>
      <c r="I46" s="18">
        <f>'MERCADO TUSD'!$U$43</f>
        <v>7.0329999999999995</v>
      </c>
      <c r="J46" s="15"/>
      <c r="L46" s="13">
        <f>('TUSD BE'!$L$46+'TUSD BF'!$L$46+'TUSD CVA'!$L$46)*1</f>
        <v>0</v>
      </c>
      <c r="M46" s="13">
        <f>('TUSD BE'!$M$46+'TUSD BF'!$M$46+'TUSD CVA'!$M$46)*1</f>
        <v>1.3156555728078294</v>
      </c>
      <c r="N46" s="13">
        <f ca="1">('TUSD BE'!$N$46+'TUSD BF'!$N$46+'TUSD CVA'!$N$46)*1</f>
        <v>8.9552253847955345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106.66231384332093</v>
      </c>
      <c r="R46" s="13">
        <f>('TUSD BE'!$R$46+'TUSD BF'!$R$46+'TUSD CVA'!$R$46)*1</f>
        <v>17.182618455402725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214.28330387241974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545.77489019586233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19.252605441263579</v>
      </c>
      <c r="AE46" s="13">
        <f>('TUSD BE'!$AI$46+'TUSD BF'!$AI$46+'TUSD CVA'!$AI$46)*1</f>
        <v>0</v>
      </c>
      <c r="AF46" s="13">
        <f ca="1">('TUSD BE'!$AJ$46+'TUSD BF'!$AJ$46+'TUSD CVA'!$AJ$46)*1</f>
        <v>1.5115686905058916</v>
      </c>
      <c r="AG46" s="13">
        <f ca="1">('TUSD BE'!$AK$46+'TUSD BF'!$AK$46+'TUSD CVA'!$AK$46)*1</f>
        <v>0.47758927201842843</v>
      </c>
      <c r="AI46" s="13">
        <v>0</v>
      </c>
      <c r="AJ46" s="13">
        <v>1.0882243820712101</v>
      </c>
      <c r="AK46" s="13">
        <v>8.0247495171294094</v>
      </c>
      <c r="AL46" s="13">
        <v>0</v>
      </c>
      <c r="AM46" s="13">
        <v>0</v>
      </c>
      <c r="AN46" s="13">
        <v>64.284357256018694</v>
      </c>
      <c r="AO46" s="13">
        <v>10.674403699467399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205.28467828362801</v>
      </c>
      <c r="AV46" s="13">
        <v>0</v>
      </c>
      <c r="AW46" s="13">
        <v>0</v>
      </c>
      <c r="AX46" s="13">
        <v>463.26071419802201</v>
      </c>
      <c r="AY46" s="13">
        <v>0</v>
      </c>
      <c r="AZ46" s="13">
        <v>0</v>
      </c>
      <c r="BA46" s="13">
        <v>21.058144578477901</v>
      </c>
      <c r="BB46" s="13">
        <v>0</v>
      </c>
      <c r="BC46" s="13">
        <v>1.65181629039438</v>
      </c>
      <c r="BD46" s="13">
        <v>0.497592161887219</v>
      </c>
    </row>
    <row r="47" spans="1:56" ht="11.25" customHeight="1" x14ac:dyDescent="0.25">
      <c r="A47" s="139"/>
      <c r="B47" s="139"/>
      <c r="C47" s="139"/>
      <c r="D47" s="139"/>
      <c r="E47" s="139"/>
      <c r="F47" s="139"/>
      <c r="G47" s="18" t="s">
        <v>70</v>
      </c>
      <c r="H47" s="18" t="s">
        <v>68</v>
      </c>
      <c r="I47" s="18">
        <f>'MERCADO TUSD'!$U$44</f>
        <v>183.905</v>
      </c>
      <c r="J47" s="15"/>
      <c r="L47" s="13">
        <f>('TUSD BE'!$L$47+'TUSD BF'!$L$47+'TUSD CVA'!$L$47)*1</f>
        <v>0</v>
      </c>
      <c r="M47" s="13">
        <f>('TUSD BE'!$M$47+'TUSD BF'!$M$47+'TUSD CVA'!$M$47)*1</f>
        <v>1.3156555728078294</v>
      </c>
      <c r="N47" s="13">
        <f ca="1">('TUSD BE'!$N$47+'TUSD BF'!$N$47+'TUSD CVA'!$N$47)*1</f>
        <v>3.344052598273755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106.66231384332093</v>
      </c>
      <c r="R47" s="13">
        <f>('TUSD BE'!$R$47+'TUSD BF'!$R$47+'TUSD CVA'!$R$47)*1</f>
        <v>17.182618455402725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71.427726439187609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181.92496339862075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19.252605441263579</v>
      </c>
      <c r="AE47" s="13">
        <f>('TUSD BE'!$AI$47+'TUSD BF'!$AI$47+'TUSD CVA'!$AI$47)*1</f>
        <v>0</v>
      </c>
      <c r="AF47" s="13">
        <f ca="1">('TUSD BE'!$AJ$47+'TUSD BF'!$AJ$47+'TUSD CVA'!$AJ$47)*1</f>
        <v>1.5115686905058916</v>
      </c>
      <c r="AG47" s="13">
        <f ca="1">('TUSD BE'!$AK$47+'TUSD BF'!$AK$47+'TUSD CVA'!$AK$47)*1</f>
        <v>0.47758927201842843</v>
      </c>
      <c r="AI47" s="13">
        <v>0</v>
      </c>
      <c r="AJ47" s="13">
        <v>1.0882243820712101</v>
      </c>
      <c r="AK47" s="13">
        <v>3.0712961758058701</v>
      </c>
      <c r="AL47" s="13">
        <v>0</v>
      </c>
      <c r="AM47" s="13">
        <v>0</v>
      </c>
      <c r="AN47" s="13">
        <v>64.284357256018694</v>
      </c>
      <c r="AO47" s="13">
        <v>10.674403699467399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68.428186319778504</v>
      </c>
      <c r="AV47" s="13">
        <v>0</v>
      </c>
      <c r="AW47" s="13">
        <v>0</v>
      </c>
      <c r="AX47" s="13">
        <v>154.42023806600699</v>
      </c>
      <c r="AY47" s="13">
        <v>0</v>
      </c>
      <c r="AZ47" s="13">
        <v>0</v>
      </c>
      <c r="BA47" s="13">
        <v>21.058144578477901</v>
      </c>
      <c r="BB47" s="13">
        <v>0</v>
      </c>
      <c r="BC47" s="13">
        <v>1.65181629039438</v>
      </c>
      <c r="BD47" s="13">
        <v>0.497592161887219</v>
      </c>
    </row>
    <row r="48" spans="1:56" ht="11.25" customHeight="1" x14ac:dyDescent="0.25">
      <c r="A48" s="13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4632.741</v>
      </c>
      <c r="J48" s="15"/>
      <c r="L48" s="13">
        <f>('TUSD BE'!$L$48+'TUSD BF'!$L$48+'TUSD CVA'!$L$48)*1</f>
        <v>0</v>
      </c>
      <c r="M48" s="13">
        <f>('TUSD BE'!$M$48+'TUSD BF'!$M$48+'TUSD CVA'!$M$48)*1</f>
        <v>1.3156555728078294</v>
      </c>
      <c r="N48" s="13">
        <f ca="1">('TUSD BE'!$N$48+'TUSD BF'!$N$48+'TUSD CVA'!$N$48)*1</f>
        <v>4.3297994905298998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106.66231384332093</v>
      </c>
      <c r="R48" s="13">
        <f>('TUSD BE'!$R$48+'TUSD BF'!$R$48+'TUSD CVA'!$R$48)*1</f>
        <v>17.182618455402725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96.524035439890412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245.84452152395534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19.252605441263579</v>
      </c>
      <c r="AE48" s="13">
        <f>('TUSD BE'!$AI$48+'TUSD BF'!$AI$48+'TUSD CVA'!$AI$48)*1</f>
        <v>0</v>
      </c>
      <c r="AF48" s="13">
        <f ca="1">('TUSD BE'!$AJ$48+'TUSD BF'!$AJ$48+'TUSD CVA'!$AJ$48)*1</f>
        <v>1.5115686905058916</v>
      </c>
      <c r="AG48" s="13">
        <f ca="1">('TUSD BE'!$AK$48+'TUSD BF'!$AK$48+'TUSD CVA'!$AK$48)*1</f>
        <v>0.47758927201842843</v>
      </c>
      <c r="AI48" s="13">
        <v>0</v>
      </c>
      <c r="AJ48" s="13">
        <v>1.0882243820712101</v>
      </c>
      <c r="AK48" s="13">
        <v>3.9414977224191299</v>
      </c>
      <c r="AL48" s="13">
        <v>0</v>
      </c>
      <c r="AM48" s="13">
        <v>0</v>
      </c>
      <c r="AN48" s="13">
        <v>64.284357256018694</v>
      </c>
      <c r="AO48" s="13">
        <v>10.674403699467399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92.470599453296103</v>
      </c>
      <c r="AV48" s="13">
        <v>0</v>
      </c>
      <c r="AW48" s="13">
        <v>0</v>
      </c>
      <c r="AX48" s="13">
        <v>208.675977346607</v>
      </c>
      <c r="AY48" s="13">
        <v>0</v>
      </c>
      <c r="AZ48" s="13">
        <v>0</v>
      </c>
      <c r="BA48" s="13">
        <v>21.058144578477901</v>
      </c>
      <c r="BB48" s="13">
        <v>0</v>
      </c>
      <c r="BC48" s="13">
        <v>1.65181629039438</v>
      </c>
      <c r="BD48" s="13">
        <v>0.497592161887219</v>
      </c>
    </row>
    <row r="49" spans="1:56" ht="11.25" customHeight="1" x14ac:dyDescent="0.25">
      <c r="A49" s="139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1.3156555728078294</v>
      </c>
      <c r="N49" s="13">
        <f ca="1">('TUSD BE'!$N$49+'TUSD BF'!$N$49+'TUSD CVA'!$N$49)*1</f>
        <v>4.3297994905298998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106.66231384332093</v>
      </c>
      <c r="R49" s="13">
        <f>('TUSD BE'!$R$49+'TUSD BF'!$R$49+'TUSD CVA'!$R$49)*1</f>
        <v>17.182618455402725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96.524035439890412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245.84452152395534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19.252605441263579</v>
      </c>
      <c r="AE49" s="13">
        <f>('TUSD BE'!$AI$49+'TUSD BF'!$AI$49+'TUSD CVA'!$AI$49)*1</f>
        <v>0</v>
      </c>
      <c r="AF49" s="13">
        <f ca="1">('TUSD BE'!$AJ$49+'TUSD BF'!$AJ$49+'TUSD CVA'!$AJ$49)*1</f>
        <v>1.5115686905058916</v>
      </c>
      <c r="AG49" s="13">
        <f ca="1">('TUSD BE'!$AK$49+'TUSD BF'!$AK$49+'TUSD CVA'!$AK$49)*1</f>
        <v>0.47758927201842843</v>
      </c>
      <c r="AI49" s="13">
        <v>0</v>
      </c>
      <c r="AJ49" s="13">
        <v>1.0882243820712101</v>
      </c>
      <c r="AK49" s="13">
        <v>3.9414977224191299</v>
      </c>
      <c r="AL49" s="13">
        <v>0</v>
      </c>
      <c r="AM49" s="13">
        <v>0</v>
      </c>
      <c r="AN49" s="13">
        <v>64.284357256018694</v>
      </c>
      <c r="AO49" s="13">
        <v>10.674403699467399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92.470599453296103</v>
      </c>
      <c r="AV49" s="13">
        <v>0</v>
      </c>
      <c r="AW49" s="13">
        <v>0</v>
      </c>
      <c r="AX49" s="13">
        <v>208.675977346607</v>
      </c>
      <c r="AY49" s="13">
        <v>0</v>
      </c>
      <c r="AZ49" s="13">
        <v>0</v>
      </c>
      <c r="BA49" s="13">
        <v>21.058144578477901</v>
      </c>
      <c r="BB49" s="13">
        <v>0</v>
      </c>
      <c r="BC49" s="13">
        <v>1.65181629039438</v>
      </c>
      <c r="BD49" s="13">
        <v>0.497592161887219</v>
      </c>
    </row>
    <row r="50" spans="1:56" ht="11.25" customHeight="1" x14ac:dyDescent="0.25">
      <c r="A50" s="139" t="s">
        <v>44</v>
      </c>
      <c r="B50" s="139" t="s">
        <v>23</v>
      </c>
      <c r="C50" s="139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356.69600000000003</v>
      </c>
      <c r="J50" s="15"/>
      <c r="L50" s="13">
        <f>('TUSD BE'!$L$50+'TUSD BF'!$L$50+'TUSD CVA'!$L$50)*1</f>
        <v>0</v>
      </c>
      <c r="M50" s="13">
        <f>('TUSD BE'!$M$50+'TUSD BF'!$M$50+'TUSD CVA'!$M$50)*1</f>
        <v>0.72361056504430632</v>
      </c>
      <c r="N50" s="13">
        <f ca="1">('TUSD BE'!$N$50+'TUSD BF'!$N$50+'TUSD CVA'!$N$50)*1</f>
        <v>2.3813897197914451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58.664272613826505</v>
      </c>
      <c r="R50" s="13">
        <f>('TUSD BE'!$R$50+'TUSD BF'!$R$50+'TUSD CVA'!$R$50)*1</f>
        <v>9.4504401504715005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53.088219491939732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135.21448683817545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10.58893299269497</v>
      </c>
      <c r="AE50" s="13">
        <f>('TUSD BE'!$AI$50+'TUSD BF'!$AI$50+'TUSD CVA'!$AI$50)*1</f>
        <v>0</v>
      </c>
      <c r="AF50" s="13">
        <f ca="1">('TUSD BE'!$AJ$50+'TUSD BF'!$AJ$50+'TUSD CVA'!$AJ$50)*1</f>
        <v>0.83136277977824047</v>
      </c>
      <c r="AG50" s="13">
        <f ca="1">('TUSD BE'!$AK$50+'TUSD BF'!$AK$50+'TUSD CVA'!$AK$50)*1</f>
        <v>0.26267409961013566</v>
      </c>
      <c r="AI50" s="13">
        <v>0</v>
      </c>
      <c r="AJ50" s="13">
        <v>0.59852341013916699</v>
      </c>
      <c r="AK50" s="13">
        <v>2.16782374733052</v>
      </c>
      <c r="AL50" s="13">
        <v>0</v>
      </c>
      <c r="AM50" s="13">
        <v>0</v>
      </c>
      <c r="AN50" s="13">
        <v>35.356396490810297</v>
      </c>
      <c r="AO50" s="13">
        <v>5.8709220347070703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50.8588296993128</v>
      </c>
      <c r="AV50" s="13">
        <v>0</v>
      </c>
      <c r="AW50" s="13">
        <v>0</v>
      </c>
      <c r="AX50" s="13">
        <v>114.77178754063399</v>
      </c>
      <c r="AY50" s="13">
        <v>0</v>
      </c>
      <c r="AZ50" s="13">
        <v>0</v>
      </c>
      <c r="BA50" s="13">
        <v>11.5819795181628</v>
      </c>
      <c r="BB50" s="13">
        <v>0</v>
      </c>
      <c r="BC50" s="13">
        <v>0.90849895971691197</v>
      </c>
      <c r="BD50" s="13">
        <v>0.27367568903797002</v>
      </c>
    </row>
    <row r="51" spans="1:56" ht="11.25" customHeight="1" x14ac:dyDescent="0.25">
      <c r="A51" s="139"/>
      <c r="B51" s="139"/>
      <c r="C51" s="139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0.78939334368469782</v>
      </c>
      <c r="N51" s="13">
        <f ca="1">('TUSD BE'!$N$51+'TUSD BF'!$N$51+'TUSD CVA'!$N$51)*1</f>
        <v>2.5978796943179403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63.997388305992558</v>
      </c>
      <c r="R51" s="13">
        <f>('TUSD BE'!$R$51+'TUSD BF'!$R$51+'TUSD CVA'!$R$51)*1</f>
        <v>10.309571073241635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57.914421263934244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147.5067129143732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11.551563264758148</v>
      </c>
      <c r="AE51" s="13">
        <f>('TUSD BE'!$AI$51+'TUSD BF'!$AI$51+'TUSD CVA'!$AI$51)*1</f>
        <v>0</v>
      </c>
      <c r="AF51" s="13">
        <f ca="1">('TUSD BE'!$AJ$51+'TUSD BF'!$AJ$51+'TUSD CVA'!$AJ$51)*1</f>
        <v>0.90694121430353491</v>
      </c>
      <c r="AG51" s="13">
        <f ca="1">('TUSD BE'!$AK$51+'TUSD BF'!$AK$51+'TUSD CVA'!$AK$51)*1</f>
        <v>0.28655356321105702</v>
      </c>
      <c r="AI51" s="13">
        <v>0</v>
      </c>
      <c r="AJ51" s="13">
        <v>0.65293462924272805</v>
      </c>
      <c r="AK51" s="13">
        <v>2.3648986334514799</v>
      </c>
      <c r="AL51" s="13">
        <v>0</v>
      </c>
      <c r="AM51" s="13">
        <v>0</v>
      </c>
      <c r="AN51" s="13">
        <v>38.570614353611198</v>
      </c>
      <c r="AO51" s="13">
        <v>6.40464221968044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55.482359671977598</v>
      </c>
      <c r="AV51" s="13">
        <v>0</v>
      </c>
      <c r="AW51" s="13">
        <v>0</v>
      </c>
      <c r="AX51" s="13">
        <v>125.20558640796401</v>
      </c>
      <c r="AY51" s="13">
        <v>0</v>
      </c>
      <c r="AZ51" s="13">
        <v>0</v>
      </c>
      <c r="BA51" s="13">
        <v>12.6348867470867</v>
      </c>
      <c r="BB51" s="13">
        <v>0</v>
      </c>
      <c r="BC51" s="13">
        <v>0.99108977423663103</v>
      </c>
      <c r="BD51" s="13">
        <v>0.29855529713233098</v>
      </c>
    </row>
    <row r="53" spans="1:56" ht="11.25" customHeight="1" x14ac:dyDescent="0.25">
      <c r="L53" s="141" t="s">
        <v>800</v>
      </c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141"/>
      <c r="AA53" s="141"/>
      <c r="AB53" s="141"/>
      <c r="AC53" s="141"/>
      <c r="AD53" s="141"/>
      <c r="AE53" s="141"/>
      <c r="AF53" s="141"/>
      <c r="AG53" s="141"/>
      <c r="AI53" s="141" t="s">
        <v>801</v>
      </c>
      <c r="AJ53" s="141"/>
      <c r="AK53" s="141"/>
      <c r="AL53" s="141"/>
      <c r="AM53" s="141"/>
      <c r="AN53" s="141"/>
      <c r="AO53" s="141"/>
      <c r="AP53" s="141"/>
      <c r="AQ53" s="141"/>
      <c r="AR53" s="141"/>
      <c r="AS53" s="141"/>
      <c r="AT53" s="141"/>
      <c r="AU53" s="141"/>
      <c r="AV53" s="141"/>
      <c r="AW53" s="141"/>
      <c r="AX53" s="141"/>
      <c r="AY53" s="141"/>
      <c r="AZ53" s="141"/>
      <c r="BA53" s="141"/>
      <c r="BB53" s="141"/>
      <c r="BC53" s="141"/>
      <c r="BD53" s="141"/>
    </row>
    <row r="54" spans="1:56" ht="11.25" customHeight="1" x14ac:dyDescent="0.25">
      <c r="L54" s="141" t="s">
        <v>419</v>
      </c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I54" s="141" t="s">
        <v>419</v>
      </c>
      <c r="AJ54" s="141"/>
      <c r="AK54" s="141"/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41"/>
      <c r="BB54" s="141"/>
      <c r="BC54" s="141"/>
      <c r="BD54" s="141"/>
    </row>
    <row r="55" spans="1:56" ht="11.25" customHeight="1" x14ac:dyDescent="0.25">
      <c r="L55" s="141" t="s">
        <v>420</v>
      </c>
      <c r="M55" s="141"/>
      <c r="N55" s="141"/>
      <c r="O55" s="141"/>
      <c r="P55" s="141"/>
      <c r="Q55" s="141"/>
      <c r="R55" s="141"/>
      <c r="S55" s="141"/>
      <c r="T55" s="141" t="s">
        <v>429</v>
      </c>
      <c r="U55" s="141"/>
      <c r="V55" s="141"/>
      <c r="W55" s="141"/>
      <c r="X55" s="141"/>
      <c r="Y55" s="141"/>
      <c r="Z55" s="141"/>
      <c r="AA55" s="10" t="s">
        <v>437</v>
      </c>
      <c r="AB55" s="141" t="s">
        <v>439</v>
      </c>
      <c r="AC55" s="141"/>
      <c r="AD55" s="141" t="s">
        <v>442</v>
      </c>
      <c r="AE55" s="141"/>
      <c r="AF55" s="141"/>
      <c r="AG55" s="141"/>
      <c r="AI55" s="141" t="s">
        <v>420</v>
      </c>
      <c r="AJ55" s="141"/>
      <c r="AK55" s="141"/>
      <c r="AL55" s="141"/>
      <c r="AM55" s="141"/>
      <c r="AN55" s="141"/>
      <c r="AO55" s="141"/>
      <c r="AP55" s="141"/>
      <c r="AQ55" s="141" t="s">
        <v>429</v>
      </c>
      <c r="AR55" s="141"/>
      <c r="AS55" s="141"/>
      <c r="AT55" s="141"/>
      <c r="AU55" s="141"/>
      <c r="AV55" s="141"/>
      <c r="AW55" s="141"/>
      <c r="AX55" s="10" t="s">
        <v>437</v>
      </c>
      <c r="AY55" s="141" t="s">
        <v>439</v>
      </c>
      <c r="AZ55" s="141"/>
      <c r="BA55" s="141" t="s">
        <v>442</v>
      </c>
      <c r="BB55" s="141"/>
      <c r="BC55" s="141"/>
      <c r="BD55" s="141"/>
    </row>
    <row r="56" spans="1:56" ht="11.25" customHeight="1" x14ac:dyDescent="0.25">
      <c r="L56" s="10" t="s">
        <v>505</v>
      </c>
      <c r="M56" s="10" t="s">
        <v>421</v>
      </c>
      <c r="N56" s="10" t="s">
        <v>422</v>
      </c>
      <c r="O56" s="10" t="s">
        <v>423</v>
      </c>
      <c r="P56" s="10" t="s">
        <v>424</v>
      </c>
      <c r="Q56" s="10" t="s">
        <v>425</v>
      </c>
      <c r="R56" s="10" t="s">
        <v>426</v>
      </c>
      <c r="S56" s="10" t="s">
        <v>427</v>
      </c>
      <c r="T56" s="10" t="s">
        <v>430</v>
      </c>
      <c r="U56" s="10" t="s">
        <v>431</v>
      </c>
      <c r="V56" s="10" t="s">
        <v>432</v>
      </c>
      <c r="W56" s="10" t="s">
        <v>433</v>
      </c>
      <c r="X56" s="10" t="s">
        <v>434</v>
      </c>
      <c r="Y56" s="10" t="s">
        <v>435</v>
      </c>
      <c r="Z56" s="10" t="s">
        <v>436</v>
      </c>
      <c r="AA56" s="10" t="s">
        <v>438</v>
      </c>
      <c r="AB56" s="10" t="s">
        <v>440</v>
      </c>
      <c r="AC56" s="10" t="s">
        <v>441</v>
      </c>
      <c r="AD56" s="10" t="s">
        <v>443</v>
      </c>
      <c r="AE56" s="10" t="s">
        <v>444</v>
      </c>
      <c r="AF56" s="10" t="s">
        <v>445</v>
      </c>
      <c r="AG56" s="10" t="s">
        <v>446</v>
      </c>
      <c r="AI56" s="10" t="s">
        <v>505</v>
      </c>
      <c r="AJ56" s="10" t="s">
        <v>421</v>
      </c>
      <c r="AK56" s="10" t="s">
        <v>422</v>
      </c>
      <c r="AL56" s="10" t="s">
        <v>423</v>
      </c>
      <c r="AM56" s="10" t="s">
        <v>424</v>
      </c>
      <c r="AN56" s="10" t="s">
        <v>425</v>
      </c>
      <c r="AO56" s="10" t="s">
        <v>426</v>
      </c>
      <c r="AP56" s="10" t="s">
        <v>427</v>
      </c>
      <c r="AQ56" s="10" t="s">
        <v>430</v>
      </c>
      <c r="AR56" s="10" t="s">
        <v>431</v>
      </c>
      <c r="AS56" s="10" t="s">
        <v>432</v>
      </c>
      <c r="AT56" s="10" t="s">
        <v>433</v>
      </c>
      <c r="AU56" s="10" t="s">
        <v>434</v>
      </c>
      <c r="AV56" s="10" t="s">
        <v>435</v>
      </c>
      <c r="AW56" s="10" t="s">
        <v>436</v>
      </c>
      <c r="AX56" s="10" t="s">
        <v>438</v>
      </c>
      <c r="AY56" s="10" t="s">
        <v>440</v>
      </c>
      <c r="AZ56" s="10" t="s">
        <v>441</v>
      </c>
      <c r="BA56" s="10" t="s">
        <v>443</v>
      </c>
      <c r="BB56" s="10" t="s">
        <v>444</v>
      </c>
      <c r="BC56" s="10" t="s">
        <v>445</v>
      </c>
      <c r="BD56" s="10" t="s">
        <v>446</v>
      </c>
    </row>
    <row r="57" spans="1:56" ht="11.25" customHeight="1" x14ac:dyDescent="0.25">
      <c r="A57" s="9" t="s">
        <v>34</v>
      </c>
      <c r="B57" s="9" t="s">
        <v>802</v>
      </c>
      <c r="C57" s="9" t="s">
        <v>803</v>
      </c>
      <c r="D57" s="9" t="s">
        <v>804</v>
      </c>
      <c r="E57" s="9" t="s">
        <v>805</v>
      </c>
      <c r="F57" s="9" t="s">
        <v>806</v>
      </c>
      <c r="G57" s="9" t="s">
        <v>807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34</v>
      </c>
      <c r="B58" s="9" t="s">
        <v>802</v>
      </c>
      <c r="C58" s="9" t="s">
        <v>803</v>
      </c>
      <c r="D58" s="9" t="s">
        <v>804</v>
      </c>
      <c r="E58" s="9" t="s">
        <v>805</v>
      </c>
      <c r="F58" s="9" t="s">
        <v>806</v>
      </c>
      <c r="G58" s="9" t="s">
        <v>808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34</v>
      </c>
      <c r="B59" s="9" t="s">
        <v>802</v>
      </c>
      <c r="C59" s="9" t="s">
        <v>803</v>
      </c>
      <c r="D59" s="9" t="s">
        <v>804</v>
      </c>
      <c r="E59" s="9" t="s">
        <v>805</v>
      </c>
      <c r="F59" s="9" t="s">
        <v>806</v>
      </c>
      <c r="G59" s="9" t="s">
        <v>809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34</v>
      </c>
      <c r="B60" s="9" t="s">
        <v>802</v>
      </c>
      <c r="C60" s="9" t="s">
        <v>803</v>
      </c>
      <c r="D60" s="9" t="s">
        <v>804</v>
      </c>
      <c r="E60" s="9" t="s">
        <v>810</v>
      </c>
      <c r="F60" s="9" t="s">
        <v>811</v>
      </c>
      <c r="G60" s="9" t="s">
        <v>812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34</v>
      </c>
      <c r="B61" s="9" t="s">
        <v>813</v>
      </c>
      <c r="C61" s="9" t="s">
        <v>814</v>
      </c>
      <c r="D61" s="9" t="s">
        <v>815</v>
      </c>
      <c r="E61" s="9" t="s">
        <v>816</v>
      </c>
      <c r="F61" s="9" t="s">
        <v>817</v>
      </c>
      <c r="G61" s="9" t="s">
        <v>818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34</v>
      </c>
      <c r="B62" s="9" t="s">
        <v>819</v>
      </c>
      <c r="C62" s="9" t="s">
        <v>820</v>
      </c>
      <c r="D62" s="9" t="s">
        <v>821</v>
      </c>
      <c r="E62" s="9" t="s">
        <v>822</v>
      </c>
      <c r="F62" s="9" t="s">
        <v>823</v>
      </c>
      <c r="G62" s="9" t="s">
        <v>824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381367.6698385764</v>
      </c>
      <c r="Y62" s="13">
        <f>$I$10*$Y$10</f>
        <v>0</v>
      </c>
      <c r="Z62" s="13">
        <f>$I$10*$Z$10</f>
        <v>0</v>
      </c>
      <c r="AA62" s="13">
        <f>$I$10*$AA$10</f>
        <v>176556.11961682356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456690.61702306633</v>
      </c>
      <c r="AV62" s="13">
        <f>$I$10*$AV$10</f>
        <v>0</v>
      </c>
      <c r="AW62" s="13">
        <f>$I$10*$AW$10</f>
        <v>0</v>
      </c>
      <c r="AX62" s="13">
        <f>$I$10*$AX$10</f>
        <v>187328.86841030858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34</v>
      </c>
      <c r="B63" s="9" t="s">
        <v>819</v>
      </c>
      <c r="C63" s="9" t="s">
        <v>820</v>
      </c>
      <c r="D63" s="9" t="s">
        <v>821</v>
      </c>
      <c r="E63" s="9" t="s">
        <v>822</v>
      </c>
      <c r="F63" s="9" t="s">
        <v>823</v>
      </c>
      <c r="G63" s="9" t="s">
        <v>825</v>
      </c>
      <c r="L63" s="13">
        <f>$I$11*$L$11</f>
        <v>0</v>
      </c>
      <c r="M63" s="13">
        <f>$I$11*$M$11</f>
        <v>174.63015484514028</v>
      </c>
      <c r="N63" s="13">
        <f ca="1">$I$11*$N$11</f>
        <v>7964.7760738035149</v>
      </c>
      <c r="O63" s="13">
        <f>$I$11*$O$11</f>
        <v>0</v>
      </c>
      <c r="P63" s="13">
        <f>$I$11*$P$11</f>
        <v>0</v>
      </c>
      <c r="Q63" s="13">
        <f>$I$11*$Q$11</f>
        <v>57785.430612160751</v>
      </c>
      <c r="R63" s="13">
        <f>$I$11*$R$11</f>
        <v>11081.981320667355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487018.78763682547</v>
      </c>
      <c r="Y63" s="13">
        <f>$I$11*$Y$11</f>
        <v>0</v>
      </c>
      <c r="Z63" s="13">
        <f>$I$11*$Z$11</f>
        <v>0</v>
      </c>
      <c r="AA63" s="13">
        <f>$I$11*$AA$11</f>
        <v>262154.65000056685</v>
      </c>
      <c r="AB63" s="13">
        <f ca="1">$I$11*$AB$11</f>
        <v>0</v>
      </c>
      <c r="AC63" s="13">
        <f ca="1">$I$11*$AC$11</f>
        <v>0</v>
      </c>
      <c r="AD63" s="13">
        <f>$I$11*$AD$11</f>
        <v>1160.8814465106011</v>
      </c>
      <c r="AE63" s="13">
        <f>$I$11*$AE$11</f>
        <v>0</v>
      </c>
      <c r="AF63" s="13">
        <f ca="1">$I$11*$AF$11</f>
        <v>520.18711185506902</v>
      </c>
      <c r="AG63" s="13">
        <f ca="1">$I$11*$AG$11</f>
        <v>164.3562648688395</v>
      </c>
      <c r="AI63" s="13">
        <f>$I$11*$AI$11</f>
        <v>0</v>
      </c>
      <c r="AJ63" s="13">
        <f>$I$11*$AJ$11</f>
        <v>174.29263789400505</v>
      </c>
      <c r="AK63" s="13">
        <f>$I$11*$AK$11</f>
        <v>8791.4296255102909</v>
      </c>
      <c r="AL63" s="13">
        <f>$I$11*$AL$11</f>
        <v>0</v>
      </c>
      <c r="AM63" s="13">
        <f>$I$11*$AM$11</f>
        <v>0</v>
      </c>
      <c r="AN63" s="13">
        <f>$I$11*$AN$11</f>
        <v>36070.538486846715</v>
      </c>
      <c r="AO63" s="13">
        <f>$I$11*$AO$11</f>
        <v>6884.488689182599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583208.615250031</v>
      </c>
      <c r="AV63" s="13">
        <f>$I$11*$AV$11</f>
        <v>0</v>
      </c>
      <c r="AW63" s="13">
        <f>$I$11*$AW$11</f>
        <v>0</v>
      </c>
      <c r="AX63" s="13">
        <f>$I$11*$AX$11</f>
        <v>278150.27901432896</v>
      </c>
      <c r="AY63" s="13">
        <f>$I$11*$AY$11</f>
        <v>0</v>
      </c>
      <c r="AZ63" s="13">
        <f>$I$11*$AZ$11</f>
        <v>0</v>
      </c>
      <c r="BA63" s="13">
        <f>$I$11*$BA$11</f>
        <v>1269.7507053615882</v>
      </c>
      <c r="BB63" s="13">
        <f>$I$11*$BB$11</f>
        <v>0</v>
      </c>
      <c r="BC63" s="13">
        <f>$I$11*$BC$11</f>
        <v>614.66705690126162</v>
      </c>
      <c r="BD63" s="13">
        <f>$I$11*$BD$11</f>
        <v>185.16194050327931</v>
      </c>
    </row>
    <row r="64" spans="1:56" ht="11.25" customHeight="1" x14ac:dyDescent="0.25">
      <c r="A64" s="9" t="s">
        <v>34</v>
      </c>
      <c r="B64" s="9" t="s">
        <v>819</v>
      </c>
      <c r="C64" s="9" t="s">
        <v>820</v>
      </c>
      <c r="D64" s="9" t="s">
        <v>821</v>
      </c>
      <c r="E64" s="9" t="s">
        <v>822</v>
      </c>
      <c r="F64" s="9" t="s">
        <v>823</v>
      </c>
      <c r="G64" s="9" t="s">
        <v>826</v>
      </c>
      <c r="L64" s="13">
        <f>$I$12*$L$12</f>
        <v>0</v>
      </c>
      <c r="M64" s="13">
        <f>$I$12*$M$12</f>
        <v>2175.9820617082446</v>
      </c>
      <c r="N64" s="13">
        <f ca="1">$I$12*$N$12</f>
        <v>732.79432101290547</v>
      </c>
      <c r="O64" s="13">
        <f>$I$12*$O$12</f>
        <v>0</v>
      </c>
      <c r="P64" s="13">
        <f>$I$12*$P$12</f>
        <v>0</v>
      </c>
      <c r="Q64" s="13">
        <f>$I$12*$Q$12</f>
        <v>720036.35655968403</v>
      </c>
      <c r="R64" s="13">
        <f>$I$12*$R$12</f>
        <v>138087.21972068428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14465.183321958692</v>
      </c>
      <c r="AE64" s="13">
        <f>$I$12*$AE$12</f>
        <v>0</v>
      </c>
      <c r="AF64" s="13">
        <f ca="1">$I$12*$AF$12</f>
        <v>6481.8004950646709</v>
      </c>
      <c r="AG64" s="13">
        <f ca="1">$I$12*$AG$12</f>
        <v>2047.9640781462449</v>
      </c>
      <c r="AI64" s="13">
        <f>$I$12*$AI$12</f>
        <v>0</v>
      </c>
      <c r="AJ64" s="13">
        <f>$I$12*$AJ$12</f>
        <v>2171.776425907005</v>
      </c>
      <c r="AK64" s="13">
        <f>$I$12*$AK$12</f>
        <v>839.26309004811185</v>
      </c>
      <c r="AL64" s="13">
        <f>$I$12*$AL$12</f>
        <v>0</v>
      </c>
      <c r="AM64" s="13">
        <f>$I$12*$AM$12</f>
        <v>0</v>
      </c>
      <c r="AN64" s="13">
        <f>$I$12*$AN$12</f>
        <v>449457.56804223295</v>
      </c>
      <c r="AO64" s="13">
        <f>$I$12*$AO$12</f>
        <v>85784.290261777365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15821.750602914819</v>
      </c>
      <c r="BB64" s="13">
        <f>$I$12*$BB$12</f>
        <v>0</v>
      </c>
      <c r="BC64" s="13">
        <f>$I$12*$BC$12</f>
        <v>7659.0694827375464</v>
      </c>
      <c r="BD64" s="13">
        <f>$I$12*$BD$12</f>
        <v>2307.2135588697124</v>
      </c>
    </row>
    <row r="65" spans="1:56" ht="11.25" customHeight="1" x14ac:dyDescent="0.25">
      <c r="A65" s="9" t="s">
        <v>34</v>
      </c>
      <c r="B65" s="9" t="s">
        <v>819</v>
      </c>
      <c r="C65" s="9" t="s">
        <v>820</v>
      </c>
      <c r="D65" s="9" t="s">
        <v>821</v>
      </c>
      <c r="E65" s="9" t="s">
        <v>827</v>
      </c>
      <c r="F65" s="9" t="s">
        <v>828</v>
      </c>
      <c r="G65" s="9" t="s">
        <v>829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34</v>
      </c>
      <c r="B66" s="9" t="s">
        <v>819</v>
      </c>
      <c r="C66" s="9" t="s">
        <v>820</v>
      </c>
      <c r="D66" s="9" t="s">
        <v>821</v>
      </c>
      <c r="E66" s="9" t="s">
        <v>827</v>
      </c>
      <c r="F66" s="9" t="s">
        <v>828</v>
      </c>
      <c r="G66" s="9" t="s">
        <v>830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79</v>
      </c>
      <c r="B67" s="9" t="s">
        <v>831</v>
      </c>
      <c r="C67" s="9" t="s">
        <v>832</v>
      </c>
      <c r="D67" s="9" t="s">
        <v>833</v>
      </c>
      <c r="E67" s="9" t="s">
        <v>834</v>
      </c>
      <c r="F67" s="9" t="s">
        <v>835</v>
      </c>
      <c r="G67" s="9" t="s">
        <v>836</v>
      </c>
      <c r="L67" s="13">
        <f>$I$15*$L$15</f>
        <v>0</v>
      </c>
      <c r="M67" s="13">
        <f>$I$15*$M$15</f>
        <v>5.2317387752167567E-10</v>
      </c>
      <c r="N67" s="13">
        <f ca="1">$I$15*$N$15</f>
        <v>1.6774267238015196E-9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1.4566466922359549E-7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5.2122656681431704E-10</v>
      </c>
      <c r="AK67" s="13">
        <f>$I$15*$AK$15</f>
        <v>1.8510067605204201E-9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1.5455254517509199E-7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79</v>
      </c>
      <c r="B68" s="9" t="s">
        <v>831</v>
      </c>
      <c r="C68" s="9" t="s">
        <v>832</v>
      </c>
      <c r="D68" s="9" t="s">
        <v>833</v>
      </c>
      <c r="E68" s="9" t="s">
        <v>837</v>
      </c>
      <c r="F68" s="9" t="s">
        <v>838</v>
      </c>
      <c r="G68" s="9" t="s">
        <v>839</v>
      </c>
      <c r="L68" s="13">
        <f>$I$16*$L$16</f>
        <v>0</v>
      </c>
      <c r="M68" s="13">
        <f>$I$16*$M$16</f>
        <v>5.2317387752167567E-10</v>
      </c>
      <c r="N68" s="13">
        <f ca="1">$I$16*$N$16</f>
        <v>1.6774267238015196E-9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2.2362853293199887E-7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5.2122656681431704E-10</v>
      </c>
      <c r="AK68" s="13">
        <f>$I$16*$AK$16</f>
        <v>1.8510067605204201E-9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2.3727345225601E-7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840</v>
      </c>
      <c r="C69" s="9" t="s">
        <v>841</v>
      </c>
      <c r="D69" s="9" t="s">
        <v>842</v>
      </c>
      <c r="E69" s="9" t="s">
        <v>843</v>
      </c>
      <c r="F69" s="9" t="s">
        <v>844</v>
      </c>
      <c r="G69" s="9" t="s">
        <v>845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840</v>
      </c>
      <c r="C70" s="9" t="s">
        <v>841</v>
      </c>
      <c r="D70" s="9" t="s">
        <v>842</v>
      </c>
      <c r="E70" s="9" t="s">
        <v>843</v>
      </c>
      <c r="F70" s="9" t="s">
        <v>844</v>
      </c>
      <c r="G70" s="9" t="s">
        <v>846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840</v>
      </c>
      <c r="C71" s="9" t="s">
        <v>841</v>
      </c>
      <c r="D71" s="9" t="s">
        <v>842</v>
      </c>
      <c r="E71" s="9" t="s">
        <v>843</v>
      </c>
      <c r="F71" s="9" t="s">
        <v>844</v>
      </c>
      <c r="G71" s="9" t="s">
        <v>847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848</v>
      </c>
      <c r="C72" s="9" t="s">
        <v>849</v>
      </c>
      <c r="D72" s="9" t="s">
        <v>850</v>
      </c>
      <c r="E72" s="9" t="s">
        <v>851</v>
      </c>
      <c r="F72" s="9" t="s">
        <v>852</v>
      </c>
      <c r="G72" s="9" t="s">
        <v>853</v>
      </c>
      <c r="L72" s="13">
        <f>$I$20*$L$20</f>
        <v>0</v>
      </c>
      <c r="M72" s="13">
        <f>$I$20*$M$20</f>
        <v>8775.4542463619691</v>
      </c>
      <c r="N72" s="13">
        <f ca="1">$I$20*$N$20</f>
        <v>28879.866517022201</v>
      </c>
      <c r="O72" s="13">
        <f>$I$20*$O$20</f>
        <v>0</v>
      </c>
      <c r="P72" s="13">
        <f>$I$20*$P$20</f>
        <v>0</v>
      </c>
      <c r="Q72" s="13">
        <f>$I$20*$Q$20</f>
        <v>711440.19323048275</v>
      </c>
      <c r="R72" s="13">
        <f>$I$20*$R$20</f>
        <v>114608.47748037909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643817.63296091952</v>
      </c>
      <c r="Y72" s="13">
        <f>$I$20*$Y$20</f>
        <v>0</v>
      </c>
      <c r="Z72" s="13">
        <f>$I$20*$Z$20</f>
        <v>0</v>
      </c>
      <c r="AA72" s="13">
        <f>$I$20*$AA$20</f>
        <v>1639788.8588332986</v>
      </c>
      <c r="AB72" s="13">
        <f ca="1">$I$20*$AB$20</f>
        <v>0</v>
      </c>
      <c r="AC72" s="13">
        <f ca="1">$I$20*$AC$20</f>
        <v>0</v>
      </c>
      <c r="AD72" s="13">
        <f>$I$20*$AD$20</f>
        <v>128415.34035575866</v>
      </c>
      <c r="AE72" s="13">
        <f>$I$20*$AE$20</f>
        <v>0</v>
      </c>
      <c r="AF72" s="13">
        <f ca="1">$I$20*$AF$20</f>
        <v>10082.199443322868</v>
      </c>
      <c r="AG72" s="13">
        <f ca="1">$I$20*$AG$20</f>
        <v>3185.5319065054459</v>
      </c>
      <c r="AI72" s="13">
        <f>$I$20*$AI$20</f>
        <v>0</v>
      </c>
      <c r="AJ72" s="13">
        <f>$I$20*$AJ$20</f>
        <v>7258.48274580014</v>
      </c>
      <c r="AK72" s="13">
        <f>$I$20*$AK$20</f>
        <v>26289.884404480934</v>
      </c>
      <c r="AL72" s="13">
        <f>$I$20*$AL$20</f>
        <v>0</v>
      </c>
      <c r="AM72" s="13">
        <f>$I$20*$AM$20</f>
        <v>0</v>
      </c>
      <c r="AN72" s="13">
        <f>$I$20*$AN$20</f>
        <v>428778.20572221879</v>
      </c>
      <c r="AO72" s="13">
        <f>$I$20*$AO$20</f>
        <v>71198.528861136336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616781.11764787184</v>
      </c>
      <c r="AV72" s="13">
        <f>$I$20*$AV$20</f>
        <v>0</v>
      </c>
      <c r="AW72" s="13">
        <f>$I$20*$AW$20</f>
        <v>0</v>
      </c>
      <c r="AX72" s="13">
        <f>$I$20*$AX$20</f>
        <v>1391873.7771253248</v>
      </c>
      <c r="AY72" s="13">
        <f>$I$20*$AY$20</f>
        <v>0</v>
      </c>
      <c r="AZ72" s="13">
        <f>$I$20*$AZ$20</f>
        <v>0</v>
      </c>
      <c r="BA72" s="13">
        <f>$I$20*$BA$20</f>
        <v>140458.32973391746</v>
      </c>
      <c r="BB72" s="13">
        <f>$I$20*$BB$20</f>
        <v>0</v>
      </c>
      <c r="BC72" s="13">
        <f>$I$20*$BC$20</f>
        <v>11017.654300521483</v>
      </c>
      <c r="BD72" s="13">
        <f>$I$20*$BD$20</f>
        <v>3318.9516619996357</v>
      </c>
    </row>
    <row r="73" spans="1:56" ht="11.25" customHeight="1" x14ac:dyDescent="0.25">
      <c r="A73" s="9" t="s">
        <v>22</v>
      </c>
      <c r="B73" s="9" t="s">
        <v>848</v>
      </c>
      <c r="C73" s="9" t="s">
        <v>849</v>
      </c>
      <c r="D73" s="9" t="s">
        <v>854</v>
      </c>
      <c r="E73" s="9" t="s">
        <v>855</v>
      </c>
      <c r="F73" s="9" t="s">
        <v>856</v>
      </c>
      <c r="G73" s="9" t="s">
        <v>857</v>
      </c>
      <c r="L73" s="13">
        <f>$I$21*$L$21</f>
        <v>0</v>
      </c>
      <c r="M73" s="13">
        <f>$I$21*$M$21</f>
        <v>58.66968678600594</v>
      </c>
      <c r="N73" s="13">
        <f ca="1">$I$21*$N$21</f>
        <v>192.52227035011725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4304.3445743887532</v>
      </c>
      <c r="Y73" s="13">
        <f>$I$21*$Y$21</f>
        <v>0</v>
      </c>
      <c r="Z73" s="13">
        <f>$I$21*$Z$21</f>
        <v>0</v>
      </c>
      <c r="AA73" s="13">
        <f>$I$21*$AA$21</f>
        <v>10963.067670578503</v>
      </c>
      <c r="AB73" s="13">
        <f ca="1">$I$21*$AB$21</f>
        <v>0</v>
      </c>
      <c r="AC73" s="13">
        <f ca="1">$I$21*$AC$21</f>
        <v>0</v>
      </c>
      <c r="AD73" s="13">
        <f>$I$21*$AD$21</f>
        <v>858.54106074498748</v>
      </c>
      <c r="AE73" s="13">
        <f>$I$21*$AE$21</f>
        <v>0</v>
      </c>
      <c r="AF73" s="13">
        <f ca="1">$I$21*$AF$21</f>
        <v>67.406138400074482</v>
      </c>
      <c r="AG73" s="13">
        <f ca="1">$I$21*$AG$21</f>
        <v>21.29737720175379</v>
      </c>
      <c r="AI73" s="13">
        <f>$I$21*$AI$21</f>
        <v>0</v>
      </c>
      <c r="AJ73" s="13">
        <f>$I$21*$AJ$21</f>
        <v>48.527733981892695</v>
      </c>
      <c r="AK73" s="13">
        <f>$I$21*$AK$21</f>
        <v>175.14872707920651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4123.5876767205555</v>
      </c>
      <c r="AV73" s="13">
        <f>$I$21*$AV$21</f>
        <v>0</v>
      </c>
      <c r="AW73" s="13">
        <f>$I$21*$AW$21</f>
        <v>0</v>
      </c>
      <c r="AX73" s="13">
        <f>$I$21*$AX$21</f>
        <v>9305.5921958059134</v>
      </c>
      <c r="AY73" s="13">
        <f>$I$21*$AY$21</f>
        <v>0</v>
      </c>
      <c r="AZ73" s="13">
        <f>$I$21*$AZ$21</f>
        <v>0</v>
      </c>
      <c r="BA73" s="13">
        <f>$I$21*$BA$21</f>
        <v>939.05637026035231</v>
      </c>
      <c r="BB73" s="13">
        <f>$I$21*$BB$21</f>
        <v>0</v>
      </c>
      <c r="BC73" s="13">
        <f>$I$21*$BC$21</f>
        <v>73.660269745702038</v>
      </c>
      <c r="BD73" s="13">
        <f>$I$21*$BD$21</f>
        <v>22.189376071117749</v>
      </c>
    </row>
    <row r="74" spans="1:56" ht="11.25" customHeight="1" x14ac:dyDescent="0.25">
      <c r="A74" s="9" t="s">
        <v>22</v>
      </c>
      <c r="B74" s="9" t="s">
        <v>848</v>
      </c>
      <c r="C74" s="9" t="s">
        <v>849</v>
      </c>
      <c r="D74" s="9" t="s">
        <v>858</v>
      </c>
      <c r="E74" s="9" t="s">
        <v>859</v>
      </c>
      <c r="F74" s="9" t="s">
        <v>860</v>
      </c>
      <c r="G74" s="9" t="s">
        <v>861</v>
      </c>
      <c r="L74" s="13">
        <f>$I$22*$L$22</f>
        <v>0</v>
      </c>
      <c r="M74" s="13">
        <f>$I$22*$M$22</f>
        <v>217.42339804441994</v>
      </c>
      <c r="N74" s="13">
        <f ca="1">$I$22*$N$22</f>
        <v>713.46633179458638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15951.426963146672</v>
      </c>
      <c r="Y74" s="13">
        <f>$I$22*$Y$22</f>
        <v>0</v>
      </c>
      <c r="Z74" s="13">
        <f>$I$22*$Z$22</f>
        <v>0</v>
      </c>
      <c r="AA74" s="13">
        <f>$I$22*$AA$22</f>
        <v>40627.921444718719</v>
      </c>
      <c r="AB74" s="13">
        <f ca="1">$I$22*$AB$22</f>
        <v>0</v>
      </c>
      <c r="AC74" s="13">
        <f ca="1">$I$22*$AC$22</f>
        <v>0</v>
      </c>
      <c r="AD74" s="13">
        <f>$I$22*$AD$22</f>
        <v>3181.658621575601</v>
      </c>
      <c r="AE74" s="13">
        <f>$I$22*$AE$22</f>
        <v>0</v>
      </c>
      <c r="AF74" s="13">
        <f ca="1">$I$22*$AF$22</f>
        <v>249.79972559683691</v>
      </c>
      <c r="AG74" s="13">
        <f ca="1">$I$22*$AG$22</f>
        <v>78.925734468784654</v>
      </c>
      <c r="AI74" s="13">
        <f>$I$22*$AI$22</f>
        <v>0</v>
      </c>
      <c r="AJ74" s="13">
        <f>$I$22*$AJ$22</f>
        <v>179.83843786695383</v>
      </c>
      <c r="AK74" s="13">
        <f>$I$22*$AK$22</f>
        <v>649.08189374890242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15281.56180681246</v>
      </c>
      <c r="AV74" s="13">
        <f>$I$22*$AV$22</f>
        <v>0</v>
      </c>
      <c r="AW74" s="13">
        <f>$I$22*$AW$22</f>
        <v>0</v>
      </c>
      <c r="AX74" s="13">
        <f>$I$22*$AX$22</f>
        <v>34485.499869931933</v>
      </c>
      <c r="AY74" s="13">
        <f>$I$22*$AY$22</f>
        <v>0</v>
      </c>
      <c r="AZ74" s="13">
        <f>$I$22*$AZ$22</f>
        <v>0</v>
      </c>
      <c r="BA74" s="13">
        <f>$I$22*$BA$22</f>
        <v>3480.0394916368368</v>
      </c>
      <c r="BB74" s="13">
        <f>$I$22*$BB$22</f>
        <v>0</v>
      </c>
      <c r="BC74" s="13">
        <f>$I$22*$BC$22</f>
        <v>272.97684760776951</v>
      </c>
      <c r="BD74" s="13">
        <f>$I$22*$BD$22</f>
        <v>82.231384044455055</v>
      </c>
    </row>
    <row r="75" spans="1:56" ht="11.25" customHeight="1" x14ac:dyDescent="0.25">
      <c r="A75" s="9" t="s">
        <v>22</v>
      </c>
      <c r="B75" s="9" t="s">
        <v>848</v>
      </c>
      <c r="C75" s="9" t="s">
        <v>849</v>
      </c>
      <c r="D75" s="9" t="s">
        <v>862</v>
      </c>
      <c r="E75" s="9" t="s">
        <v>863</v>
      </c>
      <c r="F75" s="9" t="s">
        <v>864</v>
      </c>
      <c r="G75" s="9" t="s">
        <v>865</v>
      </c>
      <c r="L75" s="13">
        <f>$I$23*$L$23</f>
        <v>0</v>
      </c>
      <c r="M75" s="13">
        <f>$I$23*$M$23</f>
        <v>361.19126606632364</v>
      </c>
      <c r="N75" s="13">
        <f ca="1">$I$23*$N$23</f>
        <v>1185.2349378880294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26499.061978630067</v>
      </c>
      <c r="Y75" s="13">
        <f>$I$23*$Y$23</f>
        <v>0</v>
      </c>
      <c r="Z75" s="13">
        <f>$I$23*$Z$23</f>
        <v>0</v>
      </c>
      <c r="AA75" s="13">
        <f>$I$23*$AA$23</f>
        <v>67492.507780892483</v>
      </c>
      <c r="AB75" s="13">
        <f ca="1">$I$23*$AB$23</f>
        <v>0</v>
      </c>
      <c r="AC75" s="13">
        <f ca="1">$I$23*$AC$23</f>
        <v>0</v>
      </c>
      <c r="AD75" s="13">
        <f>$I$23*$AD$23</f>
        <v>5285.4813053880471</v>
      </c>
      <c r="AE75" s="13">
        <f>$I$23*$AE$23</f>
        <v>0</v>
      </c>
      <c r="AF75" s="13">
        <f ca="1">$I$23*$AF$23</f>
        <v>414.9759407812611</v>
      </c>
      <c r="AG75" s="13">
        <f ca="1">$I$23*$AG$23</f>
        <v>131.11415889181683</v>
      </c>
      <c r="AI75" s="13">
        <f>$I$23*$AI$23</f>
        <v>0</v>
      </c>
      <c r="AJ75" s="13">
        <f>$I$23*$AJ$23</f>
        <v>298.75383075047102</v>
      </c>
      <c r="AK75" s="13">
        <f>$I$23*$AK$23</f>
        <v>1078.2772833676195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25386.258820891577</v>
      </c>
      <c r="AV75" s="13">
        <f>$I$23*$AV$23</f>
        <v>0</v>
      </c>
      <c r="AW75" s="13">
        <f>$I$23*$AW$23</f>
        <v>0</v>
      </c>
      <c r="AX75" s="13">
        <f>$I$23*$AX$23</f>
        <v>57288.504691689173</v>
      </c>
      <c r="AY75" s="13">
        <f>$I$23*$AY$23</f>
        <v>0</v>
      </c>
      <c r="AZ75" s="13">
        <f>$I$23*$AZ$23</f>
        <v>0</v>
      </c>
      <c r="BA75" s="13">
        <f>$I$23*$BA$23</f>
        <v>5781.1619230066435</v>
      </c>
      <c r="BB75" s="13">
        <f>$I$23*$BB$23</f>
        <v>0</v>
      </c>
      <c r="BC75" s="13">
        <f>$I$23*$BC$23</f>
        <v>453.47857719572983</v>
      </c>
      <c r="BD75" s="13">
        <f>$I$23*$BD$23</f>
        <v>136.60561825703243</v>
      </c>
    </row>
    <row r="76" spans="1:56" ht="11.25" customHeight="1" x14ac:dyDescent="0.25">
      <c r="A76" s="9" t="s">
        <v>22</v>
      </c>
      <c r="B76" s="9" t="s">
        <v>848</v>
      </c>
      <c r="C76" s="9" t="s">
        <v>849</v>
      </c>
      <c r="D76" s="9" t="s">
        <v>866</v>
      </c>
      <c r="E76" s="9" t="s">
        <v>867</v>
      </c>
      <c r="F76" s="9" t="s">
        <v>868</v>
      </c>
      <c r="G76" s="9" t="s">
        <v>869</v>
      </c>
      <c r="L76" s="13">
        <f>$I$24*$L$24</f>
        <v>0</v>
      </c>
      <c r="M76" s="13">
        <f>$I$24*$M$24</f>
        <v>144.04060342214677</v>
      </c>
      <c r="N76" s="13">
        <f ca="1">$I$24*$N$24</f>
        <v>472.66357658563555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10567.644448030082</v>
      </c>
      <c r="Y76" s="13">
        <f>$I$24*$Y$24</f>
        <v>0</v>
      </c>
      <c r="Z76" s="13">
        <f>$I$24*$Z$24</f>
        <v>0</v>
      </c>
      <c r="AA76" s="13">
        <f>$I$24*$AA$24</f>
        <v>26915.549905485677</v>
      </c>
      <c r="AB76" s="13">
        <f ca="1">$I$24*$AB$24</f>
        <v>0</v>
      </c>
      <c r="AC76" s="13">
        <f ca="1">$I$24*$AC$24</f>
        <v>0</v>
      </c>
      <c r="AD76" s="13">
        <f>$I$24*$AD$24</f>
        <v>2107.8137489204191</v>
      </c>
      <c r="AE76" s="13">
        <f>$I$24*$AE$24</f>
        <v>0</v>
      </c>
      <c r="AF76" s="13">
        <f ca="1">$I$24*$AF$24</f>
        <v>165.48956337396604</v>
      </c>
      <c r="AG76" s="13">
        <f ca="1">$I$24*$AG$24</f>
        <v>52.287428679121582</v>
      </c>
      <c r="AI76" s="13">
        <f>$I$24*$AI$24</f>
        <v>0</v>
      </c>
      <c r="AJ76" s="13">
        <f>$I$24*$AJ$24</f>
        <v>119.14098179792022</v>
      </c>
      <c r="AK76" s="13">
        <f>$I$24*$AK$24</f>
        <v>430.00959642292418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10123.866169345763</v>
      </c>
      <c r="AV76" s="13">
        <f>$I$24*$AV$24</f>
        <v>0</v>
      </c>
      <c r="AW76" s="13">
        <f>$I$24*$AW$24</f>
        <v>0</v>
      </c>
      <c r="AX76" s="13">
        <f>$I$24*$AX$24</f>
        <v>22846.263351861227</v>
      </c>
      <c r="AY76" s="13">
        <f>$I$24*$AY$24</f>
        <v>0</v>
      </c>
      <c r="AZ76" s="13">
        <f>$I$24*$AZ$24</f>
        <v>0</v>
      </c>
      <c r="BA76" s="13">
        <f>$I$24*$BA$24</f>
        <v>2305.4877847409175</v>
      </c>
      <c r="BB76" s="13">
        <f>$I$24*$BB$24</f>
        <v>0</v>
      </c>
      <c r="BC76" s="13">
        <f>$I$24*$BC$24</f>
        <v>180.84415110495752</v>
      </c>
      <c r="BD76" s="13">
        <f>$I$24*$BD$24</f>
        <v>54.477385067736513</v>
      </c>
    </row>
    <row r="77" spans="1:56" ht="11.25" customHeight="1" x14ac:dyDescent="0.25">
      <c r="A77" s="9" t="s">
        <v>22</v>
      </c>
      <c r="B77" s="9" t="s">
        <v>870</v>
      </c>
      <c r="C77" s="9" t="s">
        <v>871</v>
      </c>
      <c r="D77" s="9" t="s">
        <v>872</v>
      </c>
      <c r="E77" s="9" t="s">
        <v>873</v>
      </c>
      <c r="F77" s="9" t="s">
        <v>874</v>
      </c>
      <c r="G77" s="9" t="s">
        <v>875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870</v>
      </c>
      <c r="C78" s="9" t="s">
        <v>871</v>
      </c>
      <c r="D78" s="9" t="s">
        <v>876</v>
      </c>
      <c r="E78" s="9" t="s">
        <v>877</v>
      </c>
      <c r="F78" s="9" t="s">
        <v>878</v>
      </c>
      <c r="G78" s="9" t="s">
        <v>879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870</v>
      </c>
      <c r="C79" s="9" t="s">
        <v>871</v>
      </c>
      <c r="D79" s="9" t="s">
        <v>880</v>
      </c>
      <c r="E79" s="9" t="s">
        <v>881</v>
      </c>
      <c r="F79" s="9" t="s">
        <v>882</v>
      </c>
      <c r="G79" s="9" t="s">
        <v>883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870</v>
      </c>
      <c r="C80" s="9" t="s">
        <v>871</v>
      </c>
      <c r="D80" s="9" t="s">
        <v>884</v>
      </c>
      <c r="E80" s="9" t="s">
        <v>885</v>
      </c>
      <c r="F80" s="9" t="s">
        <v>886</v>
      </c>
      <c r="G80" s="9" t="s">
        <v>887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870</v>
      </c>
      <c r="C81" s="9" t="s">
        <v>871</v>
      </c>
      <c r="D81" s="9" t="s">
        <v>888</v>
      </c>
      <c r="E81" s="9" t="s">
        <v>889</v>
      </c>
      <c r="F81" s="9" t="s">
        <v>890</v>
      </c>
      <c r="G81" s="9" t="s">
        <v>891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41</v>
      </c>
      <c r="B82" s="9" t="s">
        <v>892</v>
      </c>
      <c r="C82" s="9" t="s">
        <v>893</v>
      </c>
      <c r="D82" s="9" t="s">
        <v>894</v>
      </c>
      <c r="E82" s="9" t="s">
        <v>895</v>
      </c>
      <c r="F82" s="9" t="s">
        <v>896</v>
      </c>
      <c r="G82" s="9" t="s">
        <v>897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41</v>
      </c>
      <c r="B83" s="9" t="s">
        <v>892</v>
      </c>
      <c r="C83" s="9" t="s">
        <v>893</v>
      </c>
      <c r="D83" s="9" t="s">
        <v>894</v>
      </c>
      <c r="E83" s="9" t="s">
        <v>895</v>
      </c>
      <c r="F83" s="9" t="s">
        <v>896</v>
      </c>
      <c r="G83" s="9" t="s">
        <v>898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41</v>
      </c>
      <c r="B84" s="9" t="s">
        <v>892</v>
      </c>
      <c r="C84" s="9" t="s">
        <v>893</v>
      </c>
      <c r="D84" s="9" t="s">
        <v>894</v>
      </c>
      <c r="E84" s="9" t="s">
        <v>895</v>
      </c>
      <c r="F84" s="9" t="s">
        <v>896</v>
      </c>
      <c r="G84" s="9" t="s">
        <v>899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41</v>
      </c>
      <c r="B85" s="9" t="s">
        <v>900</v>
      </c>
      <c r="C85" s="9" t="s">
        <v>901</v>
      </c>
      <c r="D85" s="9" t="s">
        <v>902</v>
      </c>
      <c r="E85" s="9" t="s">
        <v>903</v>
      </c>
      <c r="F85" s="9" t="s">
        <v>904</v>
      </c>
      <c r="G85" s="9" t="s">
        <v>905</v>
      </c>
      <c r="L85" s="13">
        <f>$I$33*$L$33</f>
        <v>0</v>
      </c>
      <c r="M85" s="13">
        <f>$I$33*$M$33</f>
        <v>14.642720263122019</v>
      </c>
      <c r="N85" s="13">
        <f ca="1">$I$33*$N$33</f>
        <v>48.18893640980157</v>
      </c>
      <c r="O85" s="13">
        <f>$I$33*$O$33</f>
        <v>0</v>
      </c>
      <c r="P85" s="13">
        <f>$I$33*$P$33</f>
        <v>0</v>
      </c>
      <c r="Q85" s="13">
        <f>$I$33*$Q$33</f>
        <v>1187.1088881506248</v>
      </c>
      <c r="R85" s="13">
        <f>$I$33*$R$33</f>
        <v>191.23567036125021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1074.2739048318044</v>
      </c>
      <c r="Y85" s="13">
        <f>$I$33*$Y$33</f>
        <v>0</v>
      </c>
      <c r="Z85" s="13">
        <f>$I$33*$Z$33</f>
        <v>0</v>
      </c>
      <c r="AA85" s="13">
        <f>$I$33*$AA$33</f>
        <v>2736.1511867530135</v>
      </c>
      <c r="AB85" s="13">
        <f ca="1">$I$33*$AB$33</f>
        <v>0</v>
      </c>
      <c r="AC85" s="13">
        <f ca="1">$I$33*$AC$33</f>
        <v>0</v>
      </c>
      <c r="AD85" s="13">
        <f>$I$33*$AD$33</f>
        <v>214.27379751908717</v>
      </c>
      <c r="AE85" s="13">
        <f>$I$33*$AE$33</f>
        <v>0</v>
      </c>
      <c r="AF85" s="13">
        <f ca="1">$I$33*$AF$33</f>
        <v>16.823154897854373</v>
      </c>
      <c r="AG85" s="13">
        <f ca="1">$I$33*$AG$33</f>
        <v>5.3153775618563017</v>
      </c>
      <c r="AI85" s="13">
        <f>$I$33*$AI$33</f>
        <v>0</v>
      </c>
      <c r="AJ85" s="13">
        <f>$I$33*$AJ$33</f>
        <v>11.338427481676391</v>
      </c>
      <c r="AK85" s="13">
        <f>$I$33*$AK$33</f>
        <v>41.067253069429469</v>
      </c>
      <c r="AL85" s="13">
        <f>$I$33*$AL$33</f>
        <v>0</v>
      </c>
      <c r="AM85" s="13">
        <f>$I$33*$AM$33</f>
        <v>0</v>
      </c>
      <c r="AN85" s="13">
        <f>$I$33*$AN$33</f>
        <v>669.79157512191068</v>
      </c>
      <c r="AO85" s="13">
        <f>$I$33*$AO$33</f>
        <v>111.21874702549073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963.46966982378194</v>
      </c>
      <c r="AV85" s="13">
        <f>$I$33*$AV$33</f>
        <v>0</v>
      </c>
      <c r="AW85" s="13">
        <f>$I$33*$AW$33</f>
        <v>0</v>
      </c>
      <c r="AX85" s="13">
        <f>$I$33*$AX$33</f>
        <v>2174.2367431697662</v>
      </c>
      <c r="AY85" s="13">
        <f>$I$33*$AY$33</f>
        <v>0</v>
      </c>
      <c r="AZ85" s="13">
        <f>$I$33*$AZ$33</f>
        <v>0</v>
      </c>
      <c r="BA85" s="13">
        <f>$I$33*$BA$33</f>
        <v>219.40901999207637</v>
      </c>
      <c r="BB85" s="13">
        <f>$I$33*$BB$33</f>
        <v>0</v>
      </c>
      <c r="BC85" s="13">
        <f>$I$33*$BC$33</f>
        <v>17.210604292877193</v>
      </c>
      <c r="BD85" s="13">
        <f>$I$33*$BD$33</f>
        <v>5.1845122531353161</v>
      </c>
    </row>
    <row r="86" spans="1:56" ht="11.25" customHeight="1" x14ac:dyDescent="0.25">
      <c r="A86" s="9" t="s">
        <v>41</v>
      </c>
      <c r="B86" s="9" t="s">
        <v>892</v>
      </c>
      <c r="C86" s="9" t="s">
        <v>893</v>
      </c>
      <c r="D86" s="9" t="s">
        <v>906</v>
      </c>
      <c r="E86" s="9" t="s">
        <v>907</v>
      </c>
      <c r="F86" s="9" t="s">
        <v>908</v>
      </c>
      <c r="G86" s="9" t="s">
        <v>909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41</v>
      </c>
      <c r="B87" s="9" t="s">
        <v>892</v>
      </c>
      <c r="C87" s="9" t="s">
        <v>893</v>
      </c>
      <c r="D87" s="9" t="s">
        <v>906</v>
      </c>
      <c r="E87" s="9" t="s">
        <v>907</v>
      </c>
      <c r="F87" s="9" t="s">
        <v>908</v>
      </c>
      <c r="G87" s="9" t="s">
        <v>910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41</v>
      </c>
      <c r="B88" s="9" t="s">
        <v>892</v>
      </c>
      <c r="C88" s="9" t="s">
        <v>893</v>
      </c>
      <c r="D88" s="9" t="s">
        <v>906</v>
      </c>
      <c r="E88" s="9" t="s">
        <v>907</v>
      </c>
      <c r="F88" s="9" t="s">
        <v>908</v>
      </c>
      <c r="G88" s="9" t="s">
        <v>911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41</v>
      </c>
      <c r="B89" s="9" t="s">
        <v>900</v>
      </c>
      <c r="C89" s="9" t="s">
        <v>901</v>
      </c>
      <c r="D89" s="9" t="s">
        <v>912</v>
      </c>
      <c r="E89" s="9" t="s">
        <v>913</v>
      </c>
      <c r="F89" s="9" t="s">
        <v>914</v>
      </c>
      <c r="G89" s="9" t="s">
        <v>915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41</v>
      </c>
      <c r="B90" s="9" t="s">
        <v>892</v>
      </c>
      <c r="C90" s="9" t="s">
        <v>893</v>
      </c>
      <c r="D90" s="9" t="s">
        <v>916</v>
      </c>
      <c r="E90" s="9" t="s">
        <v>917</v>
      </c>
      <c r="F90" s="9" t="s">
        <v>918</v>
      </c>
      <c r="G90" s="9" t="s">
        <v>919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41</v>
      </c>
      <c r="B91" s="9" t="s">
        <v>892</v>
      </c>
      <c r="C91" s="9" t="s">
        <v>893</v>
      </c>
      <c r="D91" s="9" t="s">
        <v>916</v>
      </c>
      <c r="E91" s="9" t="s">
        <v>917</v>
      </c>
      <c r="F91" s="9" t="s">
        <v>918</v>
      </c>
      <c r="G91" s="9" t="s">
        <v>920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41</v>
      </c>
      <c r="B92" s="9" t="s">
        <v>892</v>
      </c>
      <c r="C92" s="9" t="s">
        <v>893</v>
      </c>
      <c r="D92" s="9" t="s">
        <v>916</v>
      </c>
      <c r="E92" s="9" t="s">
        <v>917</v>
      </c>
      <c r="F92" s="9" t="s">
        <v>918</v>
      </c>
      <c r="G92" s="9" t="s">
        <v>921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41</v>
      </c>
      <c r="B93" s="9" t="s">
        <v>900</v>
      </c>
      <c r="C93" s="9" t="s">
        <v>901</v>
      </c>
      <c r="D93" s="9" t="s">
        <v>922</v>
      </c>
      <c r="E93" s="9" t="s">
        <v>923</v>
      </c>
      <c r="F93" s="9" t="s">
        <v>924</v>
      </c>
      <c r="G93" s="9" t="s">
        <v>925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41</v>
      </c>
      <c r="B94" s="9" t="s">
        <v>926</v>
      </c>
      <c r="C94" s="9" t="s">
        <v>927</v>
      </c>
      <c r="D94" s="9" t="s">
        <v>928</v>
      </c>
      <c r="E94" s="9" t="s">
        <v>929</v>
      </c>
      <c r="F94" s="9" t="s">
        <v>930</v>
      </c>
      <c r="G94" s="9" t="s">
        <v>931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41</v>
      </c>
      <c r="B95" s="9" t="s">
        <v>926</v>
      </c>
      <c r="C95" s="9" t="s">
        <v>927</v>
      </c>
      <c r="D95" s="9" t="s">
        <v>932</v>
      </c>
      <c r="E95" s="9" t="s">
        <v>933</v>
      </c>
      <c r="F95" s="9" t="s">
        <v>934</v>
      </c>
      <c r="G95" s="9" t="s">
        <v>935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41</v>
      </c>
      <c r="B96" s="9" t="s">
        <v>926</v>
      </c>
      <c r="C96" s="9" t="s">
        <v>927</v>
      </c>
      <c r="D96" s="9" t="s">
        <v>936</v>
      </c>
      <c r="E96" s="9" t="s">
        <v>937</v>
      </c>
      <c r="F96" s="9" t="s">
        <v>938</v>
      </c>
      <c r="G96" s="9" t="s">
        <v>939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32</v>
      </c>
      <c r="B97" s="9" t="s">
        <v>940</v>
      </c>
      <c r="C97" s="9" t="s">
        <v>941</v>
      </c>
      <c r="D97" s="9" t="s">
        <v>942</v>
      </c>
      <c r="E97" s="9" t="s">
        <v>943</v>
      </c>
      <c r="F97" s="9" t="s">
        <v>944</v>
      </c>
      <c r="G97" s="9" t="s">
        <v>945</v>
      </c>
      <c r="L97" s="13">
        <f>$I$45*$L$45</f>
        <v>0</v>
      </c>
      <c r="M97" s="13">
        <f>$I$45*$M$45</f>
        <v>11.705387631271261</v>
      </c>
      <c r="N97" s="13">
        <f ca="1">$I$45*$N$45</f>
        <v>129.59724453021016</v>
      </c>
      <c r="O97" s="13">
        <f>$I$45*$O$45</f>
        <v>0</v>
      </c>
      <c r="P97" s="13">
        <f>$I$45*$P$45</f>
        <v>0</v>
      </c>
      <c r="Q97" s="13">
        <f>$I$45*$Q$45</f>
        <v>948.97460626402653</v>
      </c>
      <c r="R97" s="13">
        <f>$I$45*$R$45</f>
        <v>152.87375639771807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3177.4646269763844</v>
      </c>
      <c r="Y97" s="13">
        <f>$I$45*$Y$45</f>
        <v>0</v>
      </c>
      <c r="Z97" s="13">
        <f>$I$45*$Z$45</f>
        <v>0</v>
      </c>
      <c r="AA97" s="13">
        <f>$I$45*$AA$45</f>
        <v>8092.9319967876472</v>
      </c>
      <c r="AB97" s="13">
        <f ca="1">$I$45*$AB$45</f>
        <v>0</v>
      </c>
      <c r="AC97" s="13">
        <f ca="1">$I$45*$AC$45</f>
        <v>0</v>
      </c>
      <c r="AD97" s="13">
        <f>$I$45*$AD$45</f>
        <v>171.2904306109221</v>
      </c>
      <c r="AE97" s="13">
        <f>$I$45*$AE$45</f>
        <v>0</v>
      </c>
      <c r="AF97" s="13">
        <f ca="1">$I$45*$AF$45</f>
        <v>13.44842663943092</v>
      </c>
      <c r="AG97" s="13">
        <f ca="1">$I$45*$AG$45</f>
        <v>4.2491117531479583</v>
      </c>
      <c r="AI97" s="13">
        <f>$I$45*$AI$45</f>
        <v>0</v>
      </c>
      <c r="AJ97" s="13">
        <f>$I$45*$AJ$45</f>
        <v>9.6819323272875586</v>
      </c>
      <c r="AK97" s="13">
        <f>$I$45*$AK$45</f>
        <v>115.46707083165548</v>
      </c>
      <c r="AL97" s="13">
        <f>$I$45*$AL$45</f>
        <v>0</v>
      </c>
      <c r="AM97" s="13">
        <f>$I$45*$AM$45</f>
        <v>0</v>
      </c>
      <c r="AN97" s="13">
        <f>$I$45*$AN$45</f>
        <v>571.93792650679848</v>
      </c>
      <c r="AO97" s="13">
        <f>$I$45*$AO$45</f>
        <v>94.970169714161472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3044.0299916918125</v>
      </c>
      <c r="AV97" s="13">
        <f>$I$45*$AV$45</f>
        <v>0</v>
      </c>
      <c r="AW97" s="13">
        <f>$I$45*$AW$45</f>
        <v>0</v>
      </c>
      <c r="AX97" s="13">
        <f>$I$45*$AX$45</f>
        <v>6869.3842903663408</v>
      </c>
      <c r="AY97" s="13">
        <f>$I$45*$AY$45</f>
        <v>0</v>
      </c>
      <c r="AZ97" s="13">
        <f>$I$45*$AZ$45</f>
        <v>0</v>
      </c>
      <c r="BA97" s="13">
        <f>$I$45*$BA$45</f>
        <v>187.35431231471793</v>
      </c>
      <c r="BB97" s="13">
        <f>$I$45*$BB$45</f>
        <v>0</v>
      </c>
      <c r="BC97" s="13">
        <f>$I$45*$BC$45</f>
        <v>14.696209535638802</v>
      </c>
      <c r="BD97" s="13">
        <f>$I$45*$BD$45</f>
        <v>4.4270774643105888</v>
      </c>
    </row>
    <row r="98" spans="1:56" ht="11.25" customHeight="1" x14ac:dyDescent="0.25">
      <c r="A98" s="9" t="s">
        <v>32</v>
      </c>
      <c r="B98" s="9" t="s">
        <v>940</v>
      </c>
      <c r="C98" s="9" t="s">
        <v>941</v>
      </c>
      <c r="D98" s="9" t="s">
        <v>942</v>
      </c>
      <c r="E98" s="9" t="s">
        <v>943</v>
      </c>
      <c r="F98" s="9" t="s">
        <v>944</v>
      </c>
      <c r="G98" s="9" t="s">
        <v>946</v>
      </c>
      <c r="L98" s="13">
        <f>$I$46*$L$46</f>
        <v>0</v>
      </c>
      <c r="M98" s="13">
        <f>$I$46*$M$46</f>
        <v>9.2530056435574632</v>
      </c>
      <c r="N98" s="13">
        <f ca="1">$I$46*$N$46</f>
        <v>62.982100131266989</v>
      </c>
      <c r="O98" s="13">
        <f>$I$46*$O$46</f>
        <v>0</v>
      </c>
      <c r="P98" s="13">
        <f>$I$46*$P$46</f>
        <v>0</v>
      </c>
      <c r="Q98" s="13">
        <f>$I$46*$Q$46</f>
        <v>750.15605326007608</v>
      </c>
      <c r="R98" s="13">
        <f>$I$46*$R$46</f>
        <v>120.84535559684736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1507.0544761347278</v>
      </c>
      <c r="Y98" s="13">
        <f>$I$46*$Y$46</f>
        <v>0</v>
      </c>
      <c r="Z98" s="13">
        <f>$I$46*$Z$46</f>
        <v>0</v>
      </c>
      <c r="AA98" s="13">
        <f>$I$46*$AA$46</f>
        <v>3838.4348027474994</v>
      </c>
      <c r="AB98" s="13">
        <f ca="1">$I$46*$AB$46</f>
        <v>0</v>
      </c>
      <c r="AC98" s="13">
        <f ca="1">$I$46*$AC$46</f>
        <v>0</v>
      </c>
      <c r="AD98" s="13">
        <f>$I$46*$AD$46</f>
        <v>135.40357406840675</v>
      </c>
      <c r="AE98" s="13">
        <f>$I$46*$AE$46</f>
        <v>0</v>
      </c>
      <c r="AF98" s="13">
        <f ca="1">$I$46*$AF$46</f>
        <v>10.630862600327935</v>
      </c>
      <c r="AG98" s="13">
        <f ca="1">$I$46*$AG$46</f>
        <v>3.3588853501056071</v>
      </c>
      <c r="AI98" s="13">
        <f>$I$46*$AI$46</f>
        <v>0</v>
      </c>
      <c r="AJ98" s="13">
        <f>$I$46*$AJ$46</f>
        <v>7.6534820791068201</v>
      </c>
      <c r="AK98" s="13">
        <f>$I$46*$AK$46</f>
        <v>56.438063353971131</v>
      </c>
      <c r="AL98" s="13">
        <f>$I$46*$AL$46</f>
        <v>0</v>
      </c>
      <c r="AM98" s="13">
        <f>$I$46*$AM$46</f>
        <v>0</v>
      </c>
      <c r="AN98" s="13">
        <f>$I$46*$AN$46</f>
        <v>452.11188458157943</v>
      </c>
      <c r="AO98" s="13">
        <f>$I$46*$AO$46</f>
        <v>75.073081218354218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1443.7671423687557</v>
      </c>
      <c r="AV98" s="13">
        <f>$I$46*$AV$46</f>
        <v>0</v>
      </c>
      <c r="AW98" s="13">
        <f>$I$46*$AW$46</f>
        <v>0</v>
      </c>
      <c r="AX98" s="13">
        <f>$I$46*$AX$46</f>
        <v>3258.1126029546886</v>
      </c>
      <c r="AY98" s="13">
        <f>$I$46*$AY$46</f>
        <v>0</v>
      </c>
      <c r="AZ98" s="13">
        <f>$I$46*$AZ$46</f>
        <v>0</v>
      </c>
      <c r="BA98" s="13">
        <f>$I$46*$BA$46</f>
        <v>148.10193082043506</v>
      </c>
      <c r="BB98" s="13">
        <f>$I$46*$BB$46</f>
        <v>0</v>
      </c>
      <c r="BC98" s="13">
        <f>$I$46*$BC$46</f>
        <v>11.617223970343675</v>
      </c>
      <c r="BD98" s="13">
        <f>$I$46*$BD$46</f>
        <v>3.499565674552811</v>
      </c>
    </row>
    <row r="99" spans="1:56" ht="11.25" customHeight="1" x14ac:dyDescent="0.25">
      <c r="A99" s="9" t="s">
        <v>32</v>
      </c>
      <c r="B99" s="9" t="s">
        <v>940</v>
      </c>
      <c r="C99" s="9" t="s">
        <v>941</v>
      </c>
      <c r="D99" s="9" t="s">
        <v>942</v>
      </c>
      <c r="E99" s="9" t="s">
        <v>943</v>
      </c>
      <c r="F99" s="9" t="s">
        <v>944</v>
      </c>
      <c r="G99" s="9" t="s">
        <v>947</v>
      </c>
      <c r="L99" s="13">
        <f>$I$47*$L$47</f>
        <v>0</v>
      </c>
      <c r="M99" s="13">
        <f>$I$47*$M$47</f>
        <v>241.95563811722386</v>
      </c>
      <c r="N99" s="13">
        <f ca="1">$I$47*$N$47</f>
        <v>614.98799308553487</v>
      </c>
      <c r="O99" s="13">
        <f>$I$47*$O$47</f>
        <v>0</v>
      </c>
      <c r="P99" s="13">
        <f>$I$47*$P$47</f>
        <v>0</v>
      </c>
      <c r="Q99" s="13">
        <f>$I$47*$Q$47</f>
        <v>19615.732827355936</v>
      </c>
      <c r="R99" s="13">
        <f>$I$47*$R$47</f>
        <v>3159.9694470408381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13135.916030798797</v>
      </c>
      <c r="Y99" s="13">
        <f>$I$47*$Y$47</f>
        <v>0</v>
      </c>
      <c r="Z99" s="13">
        <f>$I$47*$Z$47</f>
        <v>0</v>
      </c>
      <c r="AA99" s="13">
        <f>$I$47*$AA$47</f>
        <v>33456.910393823346</v>
      </c>
      <c r="AB99" s="13">
        <f ca="1">$I$47*$AB$47</f>
        <v>0</v>
      </c>
      <c r="AC99" s="13">
        <f ca="1">$I$47*$AC$47</f>
        <v>0</v>
      </c>
      <c r="AD99" s="13">
        <f>$I$47*$AD$47</f>
        <v>3540.6504036755787</v>
      </c>
      <c r="AE99" s="13">
        <f>$I$47*$AE$47</f>
        <v>0</v>
      </c>
      <c r="AF99" s="13">
        <f ca="1">$I$47*$AF$47</f>
        <v>277.98504002748598</v>
      </c>
      <c r="AG99" s="13">
        <f ca="1">$I$47*$AG$47</f>
        <v>87.831055070549084</v>
      </c>
      <c r="AI99" s="13">
        <f>$I$47*$AI$47</f>
        <v>0</v>
      </c>
      <c r="AJ99" s="13">
        <f>$I$47*$AJ$47</f>
        <v>200.1299049848059</v>
      </c>
      <c r="AK99" s="13">
        <f>$I$47*$AK$47</f>
        <v>564.8267232115785</v>
      </c>
      <c r="AL99" s="13">
        <f>$I$47*$AL$47</f>
        <v>0</v>
      </c>
      <c r="AM99" s="13">
        <f>$I$47*$AM$47</f>
        <v>0</v>
      </c>
      <c r="AN99" s="13">
        <f>$I$47*$AN$47</f>
        <v>11822.214721168119</v>
      </c>
      <c r="AO99" s="13">
        <f>$I$47*$AO$47</f>
        <v>1963.0762123505522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12584.285605138866</v>
      </c>
      <c r="AV99" s="13">
        <f>$I$47*$AV$47</f>
        <v>0</v>
      </c>
      <c r="AW99" s="13">
        <f>$I$47*$AW$47</f>
        <v>0</v>
      </c>
      <c r="AX99" s="13">
        <f>$I$47*$AX$47</f>
        <v>28398.653881529015</v>
      </c>
      <c r="AY99" s="13">
        <f>$I$47*$AY$47</f>
        <v>0</v>
      </c>
      <c r="AZ99" s="13">
        <f>$I$47*$AZ$47</f>
        <v>0</v>
      </c>
      <c r="BA99" s="13">
        <f>$I$47*$BA$47</f>
        <v>3872.6980787049783</v>
      </c>
      <c r="BB99" s="13">
        <f>$I$47*$BB$47</f>
        <v>0</v>
      </c>
      <c r="BC99" s="13">
        <f>$I$47*$BC$47</f>
        <v>303.77727488497845</v>
      </c>
      <c r="BD99" s="13">
        <f>$I$47*$BD$47</f>
        <v>91.509686531869008</v>
      </c>
    </row>
    <row r="100" spans="1:56" ht="11.25" customHeight="1" x14ac:dyDescent="0.25">
      <c r="A100" s="9" t="s">
        <v>32</v>
      </c>
      <c r="B100" s="9" t="s">
        <v>948</v>
      </c>
      <c r="C100" s="9" t="s">
        <v>949</v>
      </c>
      <c r="D100" s="9" t="s">
        <v>950</v>
      </c>
      <c r="E100" s="9" t="s">
        <v>951</v>
      </c>
      <c r="F100" s="9" t="s">
        <v>952</v>
      </c>
      <c r="G100" s="9" t="s">
        <v>953</v>
      </c>
      <c r="L100" s="13">
        <f>$I$48*$L$48</f>
        <v>0</v>
      </c>
      <c r="M100" s="13">
        <f>$I$48*$M$48</f>
        <v>6095.0915140253164</v>
      </c>
      <c r="N100" s="13">
        <f ca="1">$I$48*$N$48</f>
        <v>20058.839621556977</v>
      </c>
      <c r="O100" s="13">
        <f>$I$48*$O$48</f>
        <v>0</v>
      </c>
      <c r="P100" s="13">
        <f>$I$48*$P$48</f>
        <v>0</v>
      </c>
      <c r="Q100" s="13">
        <f>$I$48*$Q$48</f>
        <v>494138.87449682044</v>
      </c>
      <c r="R100" s="13">
        <f>$I$48*$R$48</f>
        <v>79602.621005700872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447170.85646783334</v>
      </c>
      <c r="Y100" s="13">
        <f>$I$48*$Y$48</f>
        <v>0</v>
      </c>
      <c r="Z100" s="13">
        <f>$I$48*$Z$48</f>
        <v>0</v>
      </c>
      <c r="AA100" s="13">
        <f>$I$48*$AA$48</f>
        <v>1138933.9944894104</v>
      </c>
      <c r="AB100" s="13">
        <f ca="1">$I$48*$AB$48</f>
        <v>0</v>
      </c>
      <c r="AC100" s="13">
        <f ca="1">$I$48*$AC$48</f>
        <v>0</v>
      </c>
      <c r="AD100" s="13">
        <f>$I$48*$AD$48</f>
        <v>89192.334584564873</v>
      </c>
      <c r="AE100" s="13">
        <f>$I$48*$AE$48</f>
        <v>0</v>
      </c>
      <c r="AF100" s="13">
        <f ca="1">$I$48*$AF$48</f>
        <v>7002.7062468229551</v>
      </c>
      <c r="AG100" s="13">
        <f ca="1">$I$48*$AG$48</f>
        <v>2212.5474016399262</v>
      </c>
      <c r="AI100" s="13">
        <f>$I$48*$AI$48</f>
        <v>0</v>
      </c>
      <c r="AJ100" s="13">
        <f>$I$48*$AJ$48</f>
        <v>5041.4617120209596</v>
      </c>
      <c r="AK100" s="13">
        <f>$I$48*$AK$48</f>
        <v>18259.938100057723</v>
      </c>
      <c r="AL100" s="13">
        <f>$I$48*$AL$48</f>
        <v>0</v>
      </c>
      <c r="AM100" s="13">
        <f>$I$48*$AM$48</f>
        <v>0</v>
      </c>
      <c r="AN100" s="13">
        <f>$I$48*$AN$48</f>
        <v>297812.77751860529</v>
      </c>
      <c r="AO100" s="13">
        <f>$I$48*$AO$48</f>
        <v>49451.747669074299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428392.33738186245</v>
      </c>
      <c r="AV100" s="13">
        <f>$I$48*$AV$48</f>
        <v>0</v>
      </c>
      <c r="AW100" s="13">
        <f>$I$48*$AW$48</f>
        <v>0</v>
      </c>
      <c r="AX100" s="13">
        <f>$I$48*$AX$48</f>
        <v>966741.75596869749</v>
      </c>
      <c r="AY100" s="13">
        <f>$I$48*$AY$48</f>
        <v>0</v>
      </c>
      <c r="AZ100" s="13">
        <f>$I$48*$AZ$48</f>
        <v>0</v>
      </c>
      <c r="BA100" s="13">
        <f>$I$48*$BA$48</f>
        <v>97556.929772642281</v>
      </c>
      <c r="BB100" s="13">
        <f>$I$48*$BB$48</f>
        <v>0</v>
      </c>
      <c r="BC100" s="13">
        <f>$I$48*$BC$48</f>
        <v>7652.4370529779508</v>
      </c>
      <c r="BD100" s="13">
        <f>$I$48*$BD$48</f>
        <v>2305.2156096535568</v>
      </c>
    </row>
    <row r="101" spans="1:56" ht="11.25" customHeight="1" x14ac:dyDescent="0.25">
      <c r="A101" s="9" t="s">
        <v>32</v>
      </c>
      <c r="B101" s="9" t="s">
        <v>954</v>
      </c>
      <c r="C101" s="9" t="s">
        <v>955</v>
      </c>
      <c r="D101" s="9" t="s">
        <v>956</v>
      </c>
      <c r="E101" s="9" t="s">
        <v>957</v>
      </c>
      <c r="F101" s="9" t="s">
        <v>958</v>
      </c>
      <c r="G101" s="9" t="s">
        <v>959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44</v>
      </c>
      <c r="B102" s="9" t="s">
        <v>960</v>
      </c>
      <c r="C102" s="9" t="s">
        <v>961</v>
      </c>
      <c r="D102" s="9" t="s">
        <v>962</v>
      </c>
      <c r="E102" s="9" t="s">
        <v>963</v>
      </c>
      <c r="F102" s="9" t="s">
        <v>964</v>
      </c>
      <c r="G102" s="9" t="s">
        <v>965</v>
      </c>
      <c r="L102" s="13">
        <f>$I$50*$L$50</f>
        <v>0</v>
      </c>
      <c r="M102" s="13">
        <f>$I$50*$M$50</f>
        <v>258.10899410904392</v>
      </c>
      <c r="N102" s="13">
        <f ca="1">$I$50*$N$50</f>
        <v>849.43218749072935</v>
      </c>
      <c r="O102" s="13">
        <f>$I$50*$O$50</f>
        <v>0</v>
      </c>
      <c r="P102" s="13">
        <f>$I$50*$P$50</f>
        <v>0</v>
      </c>
      <c r="Q102" s="13">
        <f>$I$50*$Q$50</f>
        <v>20925.311384261462</v>
      </c>
      <c r="R102" s="13">
        <f>$I$50*$R$50</f>
        <v>3370.9341999125827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18936.355539896937</v>
      </c>
      <c r="Y102" s="13">
        <f>$I$50*$Y$50</f>
        <v>0</v>
      </c>
      <c r="Z102" s="13">
        <f>$I$50*$Z$50</f>
        <v>0</v>
      </c>
      <c r="AA102" s="13">
        <f>$I$50*$AA$50</f>
        <v>48230.466597229832</v>
      </c>
      <c r="AB102" s="13">
        <f ca="1">$I$50*$AB$50</f>
        <v>0</v>
      </c>
      <c r="AC102" s="13">
        <f ca="1">$I$50*$AC$50</f>
        <v>0</v>
      </c>
      <c r="AD102" s="13">
        <f>$I$50*$AD$50</f>
        <v>3777.0300427623251</v>
      </c>
      <c r="AE102" s="13">
        <f>$I$50*$AE$50</f>
        <v>0</v>
      </c>
      <c r="AF102" s="13">
        <f ca="1">$I$50*$AF$50</f>
        <v>296.54377809577926</v>
      </c>
      <c r="AG102" s="13">
        <f ca="1">$I$50*$AG$50</f>
        <v>93.694800634536961</v>
      </c>
      <c r="AI102" s="13">
        <f>$I$50*$AI$50</f>
        <v>0</v>
      </c>
      <c r="AJ102" s="13">
        <f>$I$50*$AJ$50</f>
        <v>213.49090630300032</v>
      </c>
      <c r="AK102" s="13">
        <f>$I$50*$AK$50</f>
        <v>773.25405937780715</v>
      </c>
      <c r="AL102" s="13">
        <f>$I$50*$AL$50</f>
        <v>0</v>
      </c>
      <c r="AM102" s="13">
        <f>$I$50*$AM$50</f>
        <v>0</v>
      </c>
      <c r="AN102" s="13">
        <f>$I$50*$AN$50</f>
        <v>12611.48520268607</v>
      </c>
      <c r="AO102" s="13">
        <f>$I$50*$AO$50</f>
        <v>2094.1344060918732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18141.14111842608</v>
      </c>
      <c r="AV102" s="13">
        <f>$I$50*$AV$50</f>
        <v>0</v>
      </c>
      <c r="AW102" s="13">
        <f>$I$50*$AW$50</f>
        <v>0</v>
      </c>
      <c r="AX102" s="13">
        <f>$I$50*$AX$50</f>
        <v>40938.637528593987</v>
      </c>
      <c r="AY102" s="13">
        <f>$I$50*$AY$50</f>
        <v>0</v>
      </c>
      <c r="AZ102" s="13">
        <f>$I$50*$AZ$50</f>
        <v>0</v>
      </c>
      <c r="BA102" s="13">
        <f>$I$50*$BA$50</f>
        <v>4131.245766210598</v>
      </c>
      <c r="BB102" s="13">
        <f>$I$50*$BB$50</f>
        <v>0</v>
      </c>
      <c r="BC102" s="13">
        <f>$I$50*$BC$50</f>
        <v>324.05794493518363</v>
      </c>
      <c r="BD102" s="13">
        <f>$I$50*$BD$50</f>
        <v>97.619023577087759</v>
      </c>
    </row>
    <row r="103" spans="1:56" ht="11.25" customHeight="1" x14ac:dyDescent="0.25">
      <c r="A103" s="9" t="s">
        <v>44</v>
      </c>
      <c r="B103" s="9" t="s">
        <v>960</v>
      </c>
      <c r="C103" s="9" t="s">
        <v>961</v>
      </c>
      <c r="D103" s="9" t="s">
        <v>966</v>
      </c>
      <c r="E103" s="9" t="s">
        <v>967</v>
      </c>
      <c r="F103" s="9" t="s">
        <v>968</v>
      </c>
      <c r="G103" s="9" t="s">
        <v>969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59-750D-4636-9835-B6AF35518059}">
  <sheetPr codeName="Planilha24"/>
  <dimension ref="A1:AH85"/>
  <sheetViews>
    <sheetView showGridLines="0" topLeftCell="L29" workbookViewId="0">
      <selection activeCell="V43" sqref="V43"/>
    </sheetView>
  </sheetViews>
  <sheetFormatPr defaultColWidth="9.140625"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7.8554687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49" t="s">
        <v>58</v>
      </c>
      <c r="B1" s="149" t="s">
        <v>59</v>
      </c>
      <c r="C1" s="149" t="s">
        <v>60</v>
      </c>
      <c r="D1" s="149" t="s">
        <v>61</v>
      </c>
      <c r="E1" s="149" t="s">
        <v>62</v>
      </c>
      <c r="F1" s="149" t="s">
        <v>15</v>
      </c>
      <c r="G1" s="149" t="s">
        <v>64</v>
      </c>
      <c r="H1" s="149" t="s">
        <v>65</v>
      </c>
      <c r="I1" s="149" t="s">
        <v>520</v>
      </c>
      <c r="J1" s="128"/>
      <c r="L1" s="147" t="s">
        <v>970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X1" s="147" t="s">
        <v>971</v>
      </c>
      <c r="Y1" s="147"/>
      <c r="Z1" s="147"/>
      <c r="AA1" s="147"/>
      <c r="AB1" s="147"/>
      <c r="AC1" s="147"/>
      <c r="AD1" s="147"/>
      <c r="AE1" s="147"/>
      <c r="AF1" s="147"/>
      <c r="AG1" s="147"/>
      <c r="AH1" s="147"/>
    </row>
    <row r="2" spans="1:34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28"/>
      <c r="L2" s="147" t="s">
        <v>447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X2" s="147" t="s">
        <v>447</v>
      </c>
      <c r="Y2" s="147"/>
      <c r="Z2" s="147"/>
      <c r="AA2" s="147"/>
      <c r="AB2" s="147"/>
      <c r="AC2" s="147"/>
      <c r="AD2" s="147"/>
      <c r="AE2" s="147"/>
      <c r="AF2" s="147"/>
      <c r="AG2" s="147"/>
      <c r="AH2" s="147"/>
    </row>
    <row r="3" spans="1:34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28"/>
      <c r="L3" s="147" t="s">
        <v>420</v>
      </c>
      <c r="M3" s="147"/>
      <c r="N3" s="147"/>
      <c r="O3" s="147"/>
      <c r="P3" s="147"/>
      <c r="Q3" s="24" t="s">
        <v>451</v>
      </c>
      <c r="R3" s="147" t="s">
        <v>429</v>
      </c>
      <c r="S3" s="147"/>
      <c r="T3" s="147"/>
      <c r="U3" s="24" t="s">
        <v>439</v>
      </c>
      <c r="V3" s="24" t="s">
        <v>442</v>
      </c>
      <c r="X3" s="147" t="s">
        <v>420</v>
      </c>
      <c r="Y3" s="147"/>
      <c r="Z3" s="147"/>
      <c r="AA3" s="147"/>
      <c r="AB3" s="147"/>
      <c r="AC3" s="24" t="s">
        <v>451</v>
      </c>
      <c r="AD3" s="147" t="s">
        <v>429</v>
      </c>
      <c r="AE3" s="147"/>
      <c r="AF3" s="147"/>
      <c r="AG3" s="24" t="s">
        <v>439</v>
      </c>
      <c r="AH3" s="24" t="s">
        <v>442</v>
      </c>
    </row>
    <row r="4" spans="1:34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28"/>
      <c r="L4" s="24" t="s">
        <v>422</v>
      </c>
      <c r="M4" s="24" t="s">
        <v>448</v>
      </c>
      <c r="N4" s="24" t="s">
        <v>449</v>
      </c>
      <c r="O4" s="24" t="s">
        <v>508</v>
      </c>
      <c r="P4" s="24" t="s">
        <v>450</v>
      </c>
      <c r="Q4" s="24" t="s">
        <v>452</v>
      </c>
      <c r="R4" s="24" t="s">
        <v>453</v>
      </c>
      <c r="S4" s="24" t="s">
        <v>454</v>
      </c>
      <c r="T4" s="24" t="s">
        <v>455</v>
      </c>
      <c r="U4" s="24" t="s">
        <v>440</v>
      </c>
      <c r="V4" s="24" t="s">
        <v>456</v>
      </c>
      <c r="X4" s="24" t="s">
        <v>422</v>
      </c>
      <c r="Y4" s="24" t="s">
        <v>448</v>
      </c>
      <c r="Z4" s="24" t="s">
        <v>449</v>
      </c>
      <c r="AA4" s="24" t="s">
        <v>508</v>
      </c>
      <c r="AB4" s="24" t="s">
        <v>450</v>
      </c>
      <c r="AC4" s="24" t="s">
        <v>452</v>
      </c>
      <c r="AD4" s="24" t="s">
        <v>453</v>
      </c>
      <c r="AE4" s="24" t="s">
        <v>454</v>
      </c>
      <c r="AF4" s="24" t="s">
        <v>455</v>
      </c>
      <c r="AG4" s="24" t="s">
        <v>440</v>
      </c>
      <c r="AH4" s="24" t="s">
        <v>456</v>
      </c>
    </row>
    <row r="5" spans="1:34" ht="11.25" customHeight="1" x14ac:dyDescent="0.25">
      <c r="A5" s="150" t="s">
        <v>34</v>
      </c>
      <c r="B5" s="150" t="s">
        <v>67</v>
      </c>
      <c r="C5" s="150" t="s">
        <v>25</v>
      </c>
      <c r="D5" s="150" t="s">
        <v>25</v>
      </c>
      <c r="E5" s="150" t="s">
        <v>25</v>
      </c>
      <c r="F5" s="150" t="s">
        <v>25</v>
      </c>
      <c r="G5" s="23" t="s">
        <v>69</v>
      </c>
      <c r="H5" s="23" t="s">
        <v>68</v>
      </c>
      <c r="I5" s="23">
        <f>'MERCADO TE'!$U$2</f>
        <v>86.265000000000001</v>
      </c>
      <c r="J5" s="15"/>
      <c r="L5" s="20">
        <f>('TE BE'!$L$5+'TE BF'!$L$5+'TE CVA'!$L$5)*1</f>
        <v>2.8377408919053981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-9.9289898266553059E-3</v>
      </c>
      <c r="P5" s="20">
        <f>('TE BE'!$P$5+'TE BF'!$P$5+'TE CVA'!$P$5)*1</f>
        <v>0</v>
      </c>
      <c r="Q5" s="20">
        <f>('TE BE'!$R$5+'TE BF'!$R$5+'TE CVA'!$R$5)*1</f>
        <v>466.83729003529794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3.1326595756695701</v>
      </c>
      <c r="Y5" s="20">
        <v>0</v>
      </c>
      <c r="Z5" s="20">
        <v>0</v>
      </c>
      <c r="AA5" s="20">
        <v>0</v>
      </c>
      <c r="AB5" s="20">
        <v>0</v>
      </c>
      <c r="AC5" s="20">
        <v>515.581809626314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150"/>
      <c r="B6" s="150"/>
      <c r="C6" s="150"/>
      <c r="D6" s="150"/>
      <c r="E6" s="150"/>
      <c r="F6" s="150"/>
      <c r="G6" s="23" t="s">
        <v>70</v>
      </c>
      <c r="H6" s="23" t="s">
        <v>68</v>
      </c>
      <c r="I6" s="23">
        <f>'MERCADO TE'!$U$3</f>
        <v>2218.5819999999999</v>
      </c>
      <c r="J6" s="15"/>
      <c r="L6" s="20">
        <f>('TE BE'!$L$6+'TE BF'!$L$6+'TE CVA'!$L$6)*1</f>
        <v>2.8377408919053981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-9.9289898266553059E-3</v>
      </c>
      <c r="P6" s="20">
        <f>('TE BE'!$P$6+'TE BF'!$P$6+'TE CVA'!$P$6)*1</f>
        <v>0</v>
      </c>
      <c r="Q6" s="20">
        <f>('TE BE'!$R$6+'TE BF'!$R$6+'TE CVA'!$R$6)*1</f>
        <v>271.41702909028947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3.1326595756695701</v>
      </c>
      <c r="Y6" s="20">
        <v>0</v>
      </c>
      <c r="Z6" s="20">
        <v>0</v>
      </c>
      <c r="AA6" s="20">
        <v>0</v>
      </c>
      <c r="AB6" s="20">
        <v>0</v>
      </c>
      <c r="AC6" s="20">
        <v>299.75686606181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150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('TE BE'!$L$7+'TE BF'!$L$7+'TE CVA'!$L$7)*1</f>
        <v>2.8377408919053981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-9.9289898266553059E-3</v>
      </c>
      <c r="P7" s="20">
        <f>('TE BE'!$P$7+'TE BF'!$P$7+'TE CVA'!$P$7)*1</f>
        <v>0</v>
      </c>
      <c r="Q7" s="20">
        <f>('TE BE'!$R$7+'TE BF'!$R$7+'TE CVA'!$R$7)*1</f>
        <v>287.70205083570687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3.1326595756695701</v>
      </c>
      <c r="Y7" s="20">
        <v>0</v>
      </c>
      <c r="Z7" s="20">
        <v>0</v>
      </c>
      <c r="AA7" s="20">
        <v>0</v>
      </c>
      <c r="AB7" s="20">
        <v>0</v>
      </c>
      <c r="AC7" s="20">
        <v>317.742278025519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150" t="s">
        <v>22</v>
      </c>
      <c r="B8" s="150" t="s">
        <v>67</v>
      </c>
      <c r="C8" s="150" t="s">
        <v>24</v>
      </c>
      <c r="D8" s="150" t="s">
        <v>24</v>
      </c>
      <c r="E8" s="150" t="s">
        <v>25</v>
      </c>
      <c r="F8" s="150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('TE BE'!$L$8+'TE BF'!$L$8+'TE CVA'!$L$8)*1</f>
        <v>2.8377408919053981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-9.9289898266553059E-3</v>
      </c>
      <c r="P8" s="20">
        <f>('TE BE'!$P$8+'TE BF'!$P$8+'TE CVA'!$P$8)*1</f>
        <v>0</v>
      </c>
      <c r="Q8" s="20">
        <f>('TE BE'!$R$8+'TE BF'!$R$8+'TE CVA'!$R$8)*1</f>
        <v>466.83729003529794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3.1326595756695701</v>
      </c>
      <c r="Y8" s="20">
        <v>0</v>
      </c>
      <c r="Z8" s="20">
        <v>0</v>
      </c>
      <c r="AA8" s="20">
        <v>0</v>
      </c>
      <c r="AB8" s="20">
        <v>0</v>
      </c>
      <c r="AC8" s="20">
        <v>515.581809626314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150"/>
      <c r="B9" s="150"/>
      <c r="C9" s="150"/>
      <c r="D9" s="150"/>
      <c r="E9" s="150"/>
      <c r="F9" s="150"/>
      <c r="G9" s="23" t="s">
        <v>82</v>
      </c>
      <c r="H9" s="23" t="s">
        <v>68</v>
      </c>
      <c r="I9" s="23">
        <f>'MERCADO TE'!$U$6</f>
        <v>0</v>
      </c>
      <c r="J9" s="15"/>
      <c r="L9" s="20">
        <f>('TE BE'!$L$9+'TE BF'!$L$9+'TE CVA'!$L$9)*1</f>
        <v>2.8377408919053981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-9.9289898266553059E-3</v>
      </c>
      <c r="P9" s="20">
        <f>('TE BE'!$P$9+'TE BF'!$P$9+'TE CVA'!$P$9)*1</f>
        <v>0</v>
      </c>
      <c r="Q9" s="20">
        <f>('TE BE'!$R$9+'TE BF'!$R$9+'TE CVA'!$R$9)*1</f>
        <v>271.41702909028947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3.1326595756695701</v>
      </c>
      <c r="Y9" s="20">
        <v>0</v>
      </c>
      <c r="Z9" s="20">
        <v>0</v>
      </c>
      <c r="AA9" s="20">
        <v>0</v>
      </c>
      <c r="AB9" s="20">
        <v>0</v>
      </c>
      <c r="AC9" s="20">
        <v>299.75686606181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150"/>
      <c r="B10" s="150"/>
      <c r="C10" s="150"/>
      <c r="D10" s="150"/>
      <c r="E10" s="150"/>
      <c r="F10" s="150"/>
      <c r="G10" s="23" t="s">
        <v>70</v>
      </c>
      <c r="H10" s="23" t="s">
        <v>68</v>
      </c>
      <c r="I10" s="23">
        <f>'MERCADO TE'!$U$7</f>
        <v>0</v>
      </c>
      <c r="J10" s="15"/>
      <c r="L10" s="20">
        <f>('TE BE'!$L$10+'TE BF'!$L$10+'TE CVA'!$L$10)*1</f>
        <v>2.8377408919053981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-9.9289898266553059E-3</v>
      </c>
      <c r="P10" s="20">
        <f>('TE BE'!$P$10+'TE BF'!$P$10+'TE CVA'!$P$10)*1</f>
        <v>0</v>
      </c>
      <c r="Q10" s="20">
        <f>('TE BE'!$R$10+'TE BF'!$R$10+'TE CVA'!$R$10)*1</f>
        <v>271.41702909028947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3.1326595756695701</v>
      </c>
      <c r="Y10" s="20">
        <v>0</v>
      </c>
      <c r="Z10" s="20">
        <v>0</v>
      </c>
      <c r="AA10" s="20">
        <v>0</v>
      </c>
      <c r="AB10" s="20">
        <v>0</v>
      </c>
      <c r="AC10" s="20">
        <v>299.75686606181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150"/>
      <c r="B11" s="150" t="s">
        <v>71</v>
      </c>
      <c r="C11" s="150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6670.0239999999994</v>
      </c>
      <c r="J11" s="15"/>
      <c r="L11" s="20">
        <f>('TE BE'!$L$11+'TE BF'!$L$11+'TE CVA'!$L$11)*1</f>
        <v>2.8377408919053981</v>
      </c>
      <c r="M11" s="20">
        <f>('TE BE'!$M$11+'TE BF'!$M$11+'TE CVA'!$M$11)*1</f>
        <v>0</v>
      </c>
      <c r="N11" s="20">
        <f>('TE BE'!$N$11+'TE BF'!$N$11+'TE CVA'!$N$11)*1</f>
        <v>0</v>
      </c>
      <c r="O11" s="20">
        <f>('TE BE'!$O$11+'TE BF'!$O$11+'TE CVA'!$O$11)*1</f>
        <v>-9.9289898266553059E-3</v>
      </c>
      <c r="P11" s="20">
        <f>('TE BE'!$P$11+'TE BF'!$P$11+'TE CVA'!$P$11)*1</f>
        <v>0</v>
      </c>
      <c r="Q11" s="20">
        <f>('TE BE'!$R$11+'TE BF'!$R$11+'TE CVA'!$R$11)*1</f>
        <v>287.70205083570687</v>
      </c>
      <c r="R11" s="20">
        <f>('TE BE'!$T$11+'TE BF'!$T$11+'TE CVA'!$T$11)*1</f>
        <v>0</v>
      </c>
      <c r="S11" s="20">
        <f>('TE BE'!$U$11+'TE BF'!$U$11+'TE CVA'!$U$11)*1</f>
        <v>0</v>
      </c>
      <c r="T11" s="20">
        <f>('TE BE'!$V$11+'TE BF'!$V$11+'TE CVA'!$V$11)*1</f>
        <v>0</v>
      </c>
      <c r="U11" s="20">
        <f>('TE BE'!$X$11+'TE BF'!$X$11+'TE CVA'!$X$11)*1</f>
        <v>0</v>
      </c>
      <c r="V11" s="20">
        <f>('TE BE'!$Z$11+'TE BF'!$Z$11+'TE CVA'!$Z$11)*1</f>
        <v>0</v>
      </c>
      <c r="X11" s="20">
        <v>3.1326595756695701</v>
      </c>
      <c r="Y11" s="20">
        <v>0</v>
      </c>
      <c r="Z11" s="20">
        <v>0</v>
      </c>
      <c r="AA11" s="20">
        <v>0</v>
      </c>
      <c r="AB11" s="20">
        <v>0</v>
      </c>
      <c r="AC11" s="20">
        <v>317.742278025519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150"/>
      <c r="B12" s="150"/>
      <c r="C12" s="150"/>
      <c r="D12" s="22" t="s">
        <v>28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127.41000000000001</v>
      </c>
      <c r="J12" s="15"/>
      <c r="L12" s="20">
        <f>('TE BE'!$L$12+'TE BF'!$L$12+'TE CVA'!$L$12)*(1 - 0.65)</f>
        <v>0.99320931216688924</v>
      </c>
      <c r="M12" s="20">
        <f>('TE BE'!$M$12+'TE BF'!$M$12+'TE CVA'!$M$12)*(1 - 0.65)</f>
        <v>0</v>
      </c>
      <c r="N12" s="20">
        <f>('TE BE'!$N$12+'TE BF'!$N$12+'TE CVA'!$N$12)*(1 - 0.65)</f>
        <v>0</v>
      </c>
      <c r="O12" s="20">
        <f>('TE BE'!$O$12+'TE BF'!$O$12+'TE CVA'!$O$12)*(1 - 0.65)</f>
        <v>-3.4751464393293569E-3</v>
      </c>
      <c r="P12" s="20">
        <f>('TE BE'!$P$12+'TE BF'!$P$12+'TE CVA'!$P$12)*(1 - 0.65)</f>
        <v>0</v>
      </c>
      <c r="Q12" s="20">
        <f>('TE BE'!$R$12+'TE BF'!$R$12+'TE CVA'!$R$12)*(1 - 0.65)</f>
        <v>100.6957177924974</v>
      </c>
      <c r="R12" s="20">
        <f>('TE BE'!$T$12+'TE BF'!$T$12+'TE CVA'!$T$12)*(1 - 0.65)</f>
        <v>0</v>
      </c>
      <c r="S12" s="20">
        <f>('TE BE'!$U$12+'TE BF'!$U$12+'TE CVA'!$U$12)*(1 - 0.65)</f>
        <v>0</v>
      </c>
      <c r="T12" s="20">
        <f>('TE BE'!$V$12+'TE BF'!$V$12+'TE CVA'!$V$12)*(1 - 0.65)</f>
        <v>0</v>
      </c>
      <c r="U12" s="20">
        <f>('TE BE'!$X$12+'TE BF'!$X$12+'TE CVA'!$X$12)*(1 - 0.65)</f>
        <v>0</v>
      </c>
      <c r="V12" s="20">
        <f>('TE BE'!$Z$12+'TE BF'!$Z$12+'TE CVA'!$Z$12)*(1 - 0.65)</f>
        <v>0</v>
      </c>
      <c r="X12" s="20">
        <v>1.0964308514843499</v>
      </c>
      <c r="Y12" s="20">
        <v>0</v>
      </c>
      <c r="Z12" s="20">
        <v>0</v>
      </c>
      <c r="AA12" s="20">
        <v>0</v>
      </c>
      <c r="AB12" s="20">
        <v>0</v>
      </c>
      <c r="AC12" s="20">
        <v>111.209797308932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150"/>
      <c r="B13" s="150"/>
      <c r="C13" s="150"/>
      <c r="D13" s="22" t="s">
        <v>29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275.43099999999998</v>
      </c>
      <c r="J13" s="15"/>
      <c r="L13" s="20">
        <f>('TE BE'!$L$13+'TE BF'!$L$13+'TE CVA'!$L$13)*(1 - 0.4)</f>
        <v>1.7026445351432389</v>
      </c>
      <c r="M13" s="20">
        <f>('TE BE'!$M$13+'TE BF'!$M$13+'TE CVA'!$M$13)*(1 - 0.4)</f>
        <v>0</v>
      </c>
      <c r="N13" s="20">
        <f>('TE BE'!$N$13+'TE BF'!$N$13+'TE CVA'!$N$13)*(1 - 0.4)</f>
        <v>0</v>
      </c>
      <c r="O13" s="20">
        <f>('TE BE'!$O$13+'TE BF'!$O$13+'TE CVA'!$O$13)*(1 - 0.4)</f>
        <v>-5.9573938959931834E-3</v>
      </c>
      <c r="P13" s="20">
        <f>('TE BE'!$P$13+'TE BF'!$P$13+'TE CVA'!$P$13)*(1 - 0.4)</f>
        <v>0</v>
      </c>
      <c r="Q13" s="20">
        <f>('TE BE'!$R$13+'TE BF'!$R$13+'TE CVA'!$R$13)*(1 - 0.4)</f>
        <v>172.62123050142412</v>
      </c>
      <c r="R13" s="20">
        <f>('TE BE'!$T$13+'TE BF'!$T$13+'TE CVA'!$T$13)*(1 - 0.4)</f>
        <v>0</v>
      </c>
      <c r="S13" s="20">
        <f>('TE BE'!$U$13+'TE BF'!$U$13+'TE CVA'!$U$13)*(1 - 0.4)</f>
        <v>0</v>
      </c>
      <c r="T13" s="20">
        <f>('TE BE'!$V$13+'TE BF'!$V$13+'TE CVA'!$V$13)*(1 - 0.4)</f>
        <v>0</v>
      </c>
      <c r="U13" s="20">
        <f>('TE BE'!$X$13+'TE BF'!$X$13+'TE CVA'!$X$13)*(1 - 0.4)</f>
        <v>0</v>
      </c>
      <c r="V13" s="20">
        <f>('TE BE'!$Z$13+'TE BF'!$Z$13+'TE CVA'!$Z$13)*(1 - 0.4)</f>
        <v>0</v>
      </c>
      <c r="X13" s="20">
        <v>1.87959574540174</v>
      </c>
      <c r="Y13" s="20">
        <v>0</v>
      </c>
      <c r="Z13" s="20">
        <v>0</v>
      </c>
      <c r="AA13" s="20">
        <v>0</v>
      </c>
      <c r="AB13" s="20">
        <v>0</v>
      </c>
      <c r="AC13" s="20">
        <v>190.64536681531101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150"/>
      <c r="B14" s="150"/>
      <c r="C14" s="150"/>
      <c r="D14" s="22" t="s">
        <v>30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305.03699999999998</v>
      </c>
      <c r="J14" s="15"/>
      <c r="L14" s="20">
        <f>('TE BE'!$L$14+'TE BF'!$L$14+'TE CVA'!$L$14)*(1 - 0.1)</f>
        <v>2.5539668027148585</v>
      </c>
      <c r="M14" s="20">
        <f>('TE BE'!$M$14+'TE BF'!$M$14+'TE CVA'!$M$14)*(1 - 0.1)</f>
        <v>0</v>
      </c>
      <c r="N14" s="20">
        <f>('TE BE'!$N$14+'TE BF'!$N$14+'TE CVA'!$N$14)*(1 - 0.1)</f>
        <v>0</v>
      </c>
      <c r="O14" s="20">
        <f>('TE BE'!$O$14+'TE BF'!$O$14+'TE CVA'!$O$14)*(1 - 0.1)</f>
        <v>-8.9360908439897763E-3</v>
      </c>
      <c r="P14" s="20">
        <f>('TE BE'!$P$14+'TE BF'!$P$14+'TE CVA'!$P$14)*(1 - 0.1)</f>
        <v>0</v>
      </c>
      <c r="Q14" s="20">
        <f>('TE BE'!$R$14+'TE BF'!$R$14+'TE CVA'!$R$14)*(1 - 0.1)</f>
        <v>258.93184575213621</v>
      </c>
      <c r="R14" s="20">
        <f>('TE BE'!$T$14+'TE BF'!$T$14+'TE CVA'!$T$14)*(1 - 0.1)</f>
        <v>0</v>
      </c>
      <c r="S14" s="20">
        <f>('TE BE'!$U$14+'TE BF'!$U$14+'TE CVA'!$U$14)*(1 - 0.1)</f>
        <v>0</v>
      </c>
      <c r="T14" s="20">
        <f>('TE BE'!$V$14+'TE BF'!$V$14+'TE CVA'!$V$14)*(1 - 0.1)</f>
        <v>0</v>
      </c>
      <c r="U14" s="20">
        <f>('TE BE'!$X$14+'TE BF'!$X$14+'TE CVA'!$X$14)*(1 - 0.1)</f>
        <v>0</v>
      </c>
      <c r="V14" s="20">
        <f>('TE BE'!$Z$14+'TE BF'!$Z$14+'TE CVA'!$Z$14)*(1 - 0.1)</f>
        <v>0</v>
      </c>
      <c r="X14" s="20">
        <v>2.81939361810262</v>
      </c>
      <c r="Y14" s="20">
        <v>0</v>
      </c>
      <c r="Z14" s="20">
        <v>0</v>
      </c>
      <c r="AA14" s="20">
        <v>0</v>
      </c>
      <c r="AB14" s="20">
        <v>0</v>
      </c>
      <c r="AC14" s="20">
        <v>285.96805022296701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150"/>
      <c r="B15" s="150"/>
      <c r="C15" s="150"/>
      <c r="D15" s="22" t="s">
        <v>31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109.482</v>
      </c>
      <c r="J15" s="15"/>
      <c r="L15" s="20">
        <f>('TE BE'!$L$15+'TE BF'!$L$15+'TE CVA'!$L$15)*1</f>
        <v>2.8377408919053981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-9.9289898266553059E-3</v>
      </c>
      <c r="P15" s="20">
        <f>('TE BE'!$P$15+'TE BF'!$P$15+'TE CVA'!$P$15)*1</f>
        <v>0</v>
      </c>
      <c r="Q15" s="20">
        <f>('TE BE'!$R$15+'TE BF'!$R$15+'TE CVA'!$R$15)*1</f>
        <v>287.70205083570687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3.1326595756695701</v>
      </c>
      <c r="Y15" s="20">
        <v>0</v>
      </c>
      <c r="Z15" s="20">
        <v>0</v>
      </c>
      <c r="AA15" s="20">
        <v>0</v>
      </c>
      <c r="AB15" s="20">
        <v>0</v>
      </c>
      <c r="AC15" s="20">
        <v>317.742278025519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150"/>
      <c r="B16" s="150" t="s">
        <v>83</v>
      </c>
      <c r="C16" s="150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('TE BE'!$L$16+'TE BF'!$L$16+'TE CVA'!$L$16)*1</f>
        <v>2.8377408919053981</v>
      </c>
      <c r="M16" s="20">
        <f>('TE BE'!$M$16+'TE BF'!$M$16+'TE CVA'!$M$16)*1</f>
        <v>0</v>
      </c>
      <c r="N16" s="20">
        <f>('TE BE'!$N$16+'TE BF'!$N$16+'TE CVA'!$N$16)*1</f>
        <v>0</v>
      </c>
      <c r="O16" s="20">
        <f>('TE BE'!$O$16+'TE BF'!$O$16+'TE CVA'!$O$16)*1</f>
        <v>-9.9289898266553059E-3</v>
      </c>
      <c r="P16" s="20">
        <f>('TE BE'!$P$16+'TE BF'!$P$16+'TE CVA'!$P$16)*1</f>
        <v>0</v>
      </c>
      <c r="Q16" s="20">
        <f>('TE BE'!$R$16+'TE BF'!$R$16+'TE CVA'!$R$16)*1</f>
        <v>287.70205083570687</v>
      </c>
      <c r="R16" s="20">
        <f>('TE BE'!$T$16+'TE BF'!$T$16+'TE CVA'!$T$16)*1</f>
        <v>0</v>
      </c>
      <c r="S16" s="20">
        <f>('TE BE'!$U$16+'TE BF'!$U$16+'TE CVA'!$U$16)*1</f>
        <v>0</v>
      </c>
      <c r="T16" s="20">
        <f>('TE BE'!$V$16+'TE BF'!$V$16+'TE CVA'!$V$16)*1</f>
        <v>0</v>
      </c>
      <c r="U16" s="20">
        <f>('TE BE'!$X$16+'TE BF'!$X$16+'TE CVA'!$X$16)*1</f>
        <v>0</v>
      </c>
      <c r="V16" s="20">
        <f>('TE BE'!$Z$16+'TE BF'!$Z$16+'TE CVA'!$Z$16)*1</f>
        <v>0</v>
      </c>
      <c r="X16" s="20">
        <v>3.1326595756695701</v>
      </c>
      <c r="Y16" s="20">
        <v>0</v>
      </c>
      <c r="Z16" s="20">
        <v>0</v>
      </c>
      <c r="AA16" s="20">
        <v>0</v>
      </c>
      <c r="AB16" s="20">
        <v>0</v>
      </c>
      <c r="AC16" s="20">
        <v>317.742278025519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150"/>
      <c r="B17" s="150"/>
      <c r="C17" s="150"/>
      <c r="D17" s="22" t="s">
        <v>28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('TE BE'!$L$17+'TE BF'!$L$17+'TE CVA'!$L$17)*(1 - 0.65)</f>
        <v>0.99320931216688924</v>
      </c>
      <c r="M17" s="20">
        <f>('TE BE'!$M$17+'TE BF'!$M$17+'TE CVA'!$M$17)*(1 - 0.65)</f>
        <v>0</v>
      </c>
      <c r="N17" s="20">
        <f>('TE BE'!$N$17+'TE BF'!$N$17+'TE CVA'!$N$17)*(1 - 0.65)</f>
        <v>0</v>
      </c>
      <c r="O17" s="20">
        <f>('TE BE'!$O$17+'TE BF'!$O$17+'TE CVA'!$O$17)*(1 - 0.65)</f>
        <v>-3.4751464393293569E-3</v>
      </c>
      <c r="P17" s="20">
        <f>('TE BE'!$P$17+'TE BF'!$P$17+'TE CVA'!$P$17)*(1 - 0.65)</f>
        <v>0</v>
      </c>
      <c r="Q17" s="20">
        <f>('TE BE'!$R$17+'TE BF'!$R$17+'TE CVA'!$R$17)*(1 - 0.65)</f>
        <v>100.6957177924974</v>
      </c>
      <c r="R17" s="20">
        <f>('TE BE'!$T$17+'TE BF'!$T$17+'TE CVA'!$T$17)*(1 - 0.65)</f>
        <v>0</v>
      </c>
      <c r="S17" s="20">
        <f>('TE BE'!$U$17+'TE BF'!$U$17+'TE CVA'!$U$17)*(1 - 0.65)</f>
        <v>0</v>
      </c>
      <c r="T17" s="20">
        <f>('TE BE'!$V$17+'TE BF'!$V$17+'TE CVA'!$V$17)*(1 - 0.65)</f>
        <v>0</v>
      </c>
      <c r="U17" s="20">
        <f>('TE BE'!$X$17+'TE BF'!$X$17+'TE CVA'!$X$17)*(1 - 0.65)</f>
        <v>0</v>
      </c>
      <c r="V17" s="20">
        <f>('TE BE'!$Z$17+'TE BF'!$Z$17+'TE CVA'!$Z$17)*(1 - 0.65)</f>
        <v>0</v>
      </c>
      <c r="X17" s="20">
        <v>1.0964308514843499</v>
      </c>
      <c r="Y17" s="20">
        <v>0</v>
      </c>
      <c r="Z17" s="20">
        <v>0</v>
      </c>
      <c r="AA17" s="20">
        <v>0</v>
      </c>
      <c r="AB17" s="20">
        <v>0</v>
      </c>
      <c r="AC17" s="20">
        <v>111.209797308932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150"/>
      <c r="B18" s="150"/>
      <c r="C18" s="150"/>
      <c r="D18" s="22" t="s">
        <v>29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('TE BE'!$L$18+'TE BF'!$L$18+'TE CVA'!$L$18)*(1 - 0.4)</f>
        <v>1.7026445351432389</v>
      </c>
      <c r="M18" s="20">
        <f>('TE BE'!$M$18+'TE BF'!$M$18+'TE CVA'!$M$18)*(1 - 0.4)</f>
        <v>0</v>
      </c>
      <c r="N18" s="20">
        <f>('TE BE'!$N$18+'TE BF'!$N$18+'TE CVA'!$N$18)*(1 - 0.4)</f>
        <v>0</v>
      </c>
      <c r="O18" s="20">
        <f>('TE BE'!$O$18+'TE BF'!$O$18+'TE CVA'!$O$18)*(1 - 0.4)</f>
        <v>-5.9573938959931834E-3</v>
      </c>
      <c r="P18" s="20">
        <f>('TE BE'!$P$18+'TE BF'!$P$18+'TE CVA'!$P$18)*(1 - 0.4)</f>
        <v>0</v>
      </c>
      <c r="Q18" s="20">
        <f>('TE BE'!$R$18+'TE BF'!$R$18+'TE CVA'!$R$18)*(1 - 0.4)</f>
        <v>172.62123050142412</v>
      </c>
      <c r="R18" s="20">
        <f>('TE BE'!$T$18+'TE BF'!$T$18+'TE CVA'!$T$18)*(1 - 0.4)</f>
        <v>0</v>
      </c>
      <c r="S18" s="20">
        <f>('TE BE'!$U$18+'TE BF'!$U$18+'TE CVA'!$U$18)*(1 - 0.4)</f>
        <v>0</v>
      </c>
      <c r="T18" s="20">
        <f>('TE BE'!$V$18+'TE BF'!$V$18+'TE CVA'!$V$18)*(1 - 0.4)</f>
        <v>0</v>
      </c>
      <c r="U18" s="20">
        <f>('TE BE'!$X$18+'TE BF'!$X$18+'TE CVA'!$X$18)*(1 - 0.4)</f>
        <v>0</v>
      </c>
      <c r="V18" s="20">
        <f>('TE BE'!$Z$18+'TE BF'!$Z$18+'TE CVA'!$Z$18)*(1 - 0.4)</f>
        <v>0</v>
      </c>
      <c r="X18" s="20">
        <v>1.87959574540174</v>
      </c>
      <c r="Y18" s="20">
        <v>0</v>
      </c>
      <c r="Z18" s="20">
        <v>0</v>
      </c>
      <c r="AA18" s="20">
        <v>0</v>
      </c>
      <c r="AB18" s="20">
        <v>0</v>
      </c>
      <c r="AC18" s="20">
        <v>190.64536681531101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150"/>
      <c r="B19" s="150"/>
      <c r="C19" s="150"/>
      <c r="D19" s="22" t="s">
        <v>30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('TE BE'!$L$19+'TE BF'!$L$19+'TE CVA'!$L$19)*(1 - 0.1)</f>
        <v>2.5539668027148585</v>
      </c>
      <c r="M19" s="20">
        <f>('TE BE'!$M$19+'TE BF'!$M$19+'TE CVA'!$M$19)*(1 - 0.1)</f>
        <v>0</v>
      </c>
      <c r="N19" s="20">
        <f>('TE BE'!$N$19+'TE BF'!$N$19+'TE CVA'!$N$19)*(1 - 0.1)</f>
        <v>0</v>
      </c>
      <c r="O19" s="20">
        <f>('TE BE'!$O$19+'TE BF'!$O$19+'TE CVA'!$O$19)*(1 - 0.1)</f>
        <v>-8.9360908439897763E-3</v>
      </c>
      <c r="P19" s="20">
        <f>('TE BE'!$P$19+'TE BF'!$P$19+'TE CVA'!$P$19)*(1 - 0.1)</f>
        <v>0</v>
      </c>
      <c r="Q19" s="20">
        <f>('TE BE'!$R$19+'TE BF'!$R$19+'TE CVA'!$R$19)*(1 - 0.1)</f>
        <v>258.93184575213621</v>
      </c>
      <c r="R19" s="20">
        <f>('TE BE'!$T$19+'TE BF'!$T$19+'TE CVA'!$T$19)*(1 - 0.1)</f>
        <v>0</v>
      </c>
      <c r="S19" s="20">
        <f>('TE BE'!$U$19+'TE BF'!$U$19+'TE CVA'!$U$19)*(1 - 0.1)</f>
        <v>0</v>
      </c>
      <c r="T19" s="20">
        <f>('TE BE'!$V$19+'TE BF'!$V$19+'TE CVA'!$V$19)*(1 - 0.1)</f>
        <v>0</v>
      </c>
      <c r="U19" s="20">
        <f>('TE BE'!$X$19+'TE BF'!$X$19+'TE CVA'!$X$19)*(1 - 0.1)</f>
        <v>0</v>
      </c>
      <c r="V19" s="20">
        <f>('TE BE'!$Z$19+'TE BF'!$Z$19+'TE CVA'!$Z$19)*(1 - 0.1)</f>
        <v>0</v>
      </c>
      <c r="X19" s="20">
        <v>2.81939361810262</v>
      </c>
      <c r="Y19" s="20">
        <v>0</v>
      </c>
      <c r="Z19" s="20">
        <v>0</v>
      </c>
      <c r="AA19" s="20">
        <v>0</v>
      </c>
      <c r="AB19" s="20">
        <v>0</v>
      </c>
      <c r="AC19" s="20">
        <v>285.96805022296701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150"/>
      <c r="B20" s="150"/>
      <c r="C20" s="150"/>
      <c r="D20" s="22" t="s">
        <v>31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('TE BE'!$L$20+'TE BF'!$L$20+'TE CVA'!$L$20)*1</f>
        <v>2.8377408919053981</v>
      </c>
      <c r="M20" s="20">
        <f>('TE BE'!$M$20+'TE BF'!$M$20+'TE CVA'!$M$20)*1</f>
        <v>0</v>
      </c>
      <c r="N20" s="20">
        <f>('TE BE'!$N$20+'TE BF'!$N$20+'TE CVA'!$N$20)*1</f>
        <v>0</v>
      </c>
      <c r="O20" s="20">
        <f>('TE BE'!$O$20+'TE BF'!$O$20+'TE CVA'!$O$20)*1</f>
        <v>-9.9289898266553059E-3</v>
      </c>
      <c r="P20" s="20">
        <f>('TE BE'!$P$20+'TE BF'!$P$20+'TE CVA'!$P$20)*1</f>
        <v>0</v>
      </c>
      <c r="Q20" s="20">
        <f>('TE BE'!$R$20+'TE BF'!$R$20+'TE CVA'!$R$20)*1</f>
        <v>287.70205083570687</v>
      </c>
      <c r="R20" s="20">
        <f>('TE BE'!$T$20+'TE BF'!$T$20+'TE CVA'!$T$20)*1</f>
        <v>0</v>
      </c>
      <c r="S20" s="20">
        <f>('TE BE'!$U$20+'TE BF'!$U$20+'TE CVA'!$U$20)*1</f>
        <v>0</v>
      </c>
      <c r="T20" s="20">
        <f>('TE BE'!$V$20+'TE BF'!$V$20+'TE CVA'!$V$20)*1</f>
        <v>0</v>
      </c>
      <c r="U20" s="20">
        <f>('TE BE'!$X$20+'TE BF'!$X$20+'TE CVA'!$X$20)*1</f>
        <v>0</v>
      </c>
      <c r="V20" s="20">
        <f>('TE BE'!$Z$20+'TE BF'!$Z$20+'TE CVA'!$Z$20)*1</f>
        <v>0</v>
      </c>
      <c r="X20" s="20">
        <v>3.1326595756695701</v>
      </c>
      <c r="Y20" s="20">
        <v>0</v>
      </c>
      <c r="Z20" s="20">
        <v>0</v>
      </c>
      <c r="AA20" s="20">
        <v>0</v>
      </c>
      <c r="AB20" s="20">
        <v>0</v>
      </c>
      <c r="AC20" s="20">
        <v>317.742278025519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150" t="s">
        <v>41</v>
      </c>
      <c r="B21" s="150" t="s">
        <v>67</v>
      </c>
      <c r="C21" s="150" t="s">
        <v>42</v>
      </c>
      <c r="D21" s="150" t="s">
        <v>25</v>
      </c>
      <c r="E21" s="150" t="s">
        <v>25</v>
      </c>
      <c r="F21" s="150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('TE BE'!$L$21+'TE BF'!$L$21+'TE CVA'!$L$21)*(1 - CUSTOS!$M$38)</f>
        <v>2.6674764383910743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-9.3332504370559864E-3</v>
      </c>
      <c r="P21" s="20">
        <f>('TE BE'!$P$21+'TE BF'!$P$21+'TE CVA'!$P$21)*(1 - CUSTOS!$M$38)</f>
        <v>0</v>
      </c>
      <c r="Q21" s="20">
        <f>('TE BE'!$R$21+'TE BF'!$R$21+'TE CVA'!$R$21)*(1 - CUSTOS!$M$38)</f>
        <v>438.82705263318002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2.7567404265892201</v>
      </c>
      <c r="Y21" s="20">
        <v>0</v>
      </c>
      <c r="Z21" s="20">
        <v>0</v>
      </c>
      <c r="AA21" s="20">
        <v>0</v>
      </c>
      <c r="AB21" s="20">
        <v>0</v>
      </c>
      <c r="AC21" s="20">
        <v>453.71199247115601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150"/>
      <c r="B22" s="150"/>
      <c r="C22" s="150"/>
      <c r="D22" s="150"/>
      <c r="E22" s="150"/>
      <c r="F22" s="150"/>
      <c r="G22" s="23" t="s">
        <v>82</v>
      </c>
      <c r="H22" s="23" t="s">
        <v>68</v>
      </c>
      <c r="I22" s="23">
        <f>'MERCADO TE'!$U$19</f>
        <v>0</v>
      </c>
      <c r="J22" s="15"/>
      <c r="L22" s="20">
        <f>('TE BE'!$L$22+'TE BF'!$L$22+'TE CVA'!$L$22)*(1 - CUSTOS!$M$38)</f>
        <v>2.6674764383910743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-9.3332504370559864E-3</v>
      </c>
      <c r="P22" s="20">
        <f>('TE BE'!$P$22+'TE BF'!$P$22+'TE CVA'!$P$22)*(1 - CUSTOS!$M$38)</f>
        <v>0</v>
      </c>
      <c r="Q22" s="20">
        <f>('TE BE'!$R$22+'TE BF'!$R$22+'TE CVA'!$R$22)*(1 - CUSTOS!$M$38)</f>
        <v>255.13200734487208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2.7567404265892201</v>
      </c>
      <c r="Y22" s="20">
        <v>0</v>
      </c>
      <c r="Z22" s="20">
        <v>0</v>
      </c>
      <c r="AA22" s="20">
        <v>0</v>
      </c>
      <c r="AB22" s="20">
        <v>0</v>
      </c>
      <c r="AC22" s="20">
        <v>263.78604213439303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150"/>
      <c r="B23" s="150"/>
      <c r="C23" s="150"/>
      <c r="D23" s="150"/>
      <c r="E23" s="150"/>
      <c r="F23" s="150"/>
      <c r="G23" s="23" t="s">
        <v>70</v>
      </c>
      <c r="H23" s="23" t="s">
        <v>68</v>
      </c>
      <c r="I23" s="23">
        <f>'MERCADO TE'!$U$20</f>
        <v>0</v>
      </c>
      <c r="J23" s="15"/>
      <c r="L23" s="20">
        <f>('TE BE'!$L$23+'TE BF'!$L$23+'TE CVA'!$L$23)*(1 - CUSTOS!$M$38)</f>
        <v>2.6674764383910743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-9.3332504370559864E-3</v>
      </c>
      <c r="P23" s="20">
        <f>('TE BE'!$P$23+'TE BF'!$P$23+'TE CVA'!$P$23)*(1 - CUSTOS!$M$38)</f>
        <v>0</v>
      </c>
      <c r="Q23" s="20">
        <f>('TE BE'!$R$23+'TE BF'!$R$23+'TE CVA'!$R$23)*(1 - CUSTOS!$M$38)</f>
        <v>255.13200734487208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2.7567404265892201</v>
      </c>
      <c r="Y23" s="20">
        <v>0</v>
      </c>
      <c r="Z23" s="20">
        <v>0</v>
      </c>
      <c r="AA23" s="20">
        <v>0</v>
      </c>
      <c r="AB23" s="20">
        <v>0</v>
      </c>
      <c r="AC23" s="20">
        <v>263.78604213439303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150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11.840000000000002</v>
      </c>
      <c r="J24" s="15"/>
      <c r="L24" s="20">
        <f>('TE BE'!$L$24+'TE BF'!$L$24+'TE CVA'!$L$24)*(1 - CUSTOS!$M$38)</f>
        <v>2.6674764383910743</v>
      </c>
      <c r="M24" s="20">
        <f>('TE BE'!$M$24+'TE BF'!$M$24+'TE CVA'!$M$24)*(1 - CUSTOS!$M$38)</f>
        <v>0</v>
      </c>
      <c r="N24" s="20">
        <f>('TE BE'!$N$24+'TE BF'!$N$24+'TE CVA'!$N$24)*(1 - CUSTOS!$M$38)</f>
        <v>0</v>
      </c>
      <c r="O24" s="20">
        <f>('TE BE'!$O$24+'TE BF'!$O$24+'TE CVA'!$O$24)*(1 - CUSTOS!$M$38)</f>
        <v>-9.3332504370559864E-3</v>
      </c>
      <c r="P24" s="20">
        <f>('TE BE'!$P$24+'TE BF'!$P$24+'TE CVA'!$P$24)*(1 - CUSTOS!$M$38)</f>
        <v>0</v>
      </c>
      <c r="Q24" s="20">
        <f>('TE BE'!$R$24+'TE BF'!$R$24+'TE CVA'!$R$24)*(1 - CUSTOS!$M$38)</f>
        <v>270.43992778556446</v>
      </c>
      <c r="R24" s="20">
        <f>('TE BE'!$T$24+'TE BF'!$T$24+'TE CVA'!$T$24)*(1 - CUSTOS!$M$38)</f>
        <v>0</v>
      </c>
      <c r="S24" s="20">
        <f>('TE BE'!$U$24+'TE BF'!$U$24+'TE CVA'!$U$24)*(1 - CUSTOS!$M$38)</f>
        <v>0</v>
      </c>
      <c r="T24" s="20">
        <f>('TE BE'!$V$24+'TE BF'!$V$24+'TE CVA'!$V$24)*(1 - CUSTOS!$M$38)</f>
        <v>0</v>
      </c>
      <c r="U24" s="20">
        <f>('TE BE'!$X$24+'TE BF'!$X$24+'TE CVA'!$X$24)*(1 - CUSTOS!$M$38)</f>
        <v>0</v>
      </c>
      <c r="V24" s="20">
        <f>('TE BE'!$Z$24+'TE BF'!$Z$24+'TE CVA'!$Z$24)*(1 - CUSTOS!$M$38)</f>
        <v>0</v>
      </c>
      <c r="X24" s="20">
        <v>2.7567404265892201</v>
      </c>
      <c r="Y24" s="20">
        <v>0</v>
      </c>
      <c r="Z24" s="20">
        <v>0</v>
      </c>
      <c r="AA24" s="20">
        <v>0</v>
      </c>
      <c r="AB24" s="20">
        <v>0</v>
      </c>
      <c r="AC24" s="20">
        <v>279.61320466245701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150"/>
      <c r="B25" s="150" t="s">
        <v>67</v>
      </c>
      <c r="C25" s="150" t="s">
        <v>42</v>
      </c>
      <c r="D25" s="150" t="s">
        <v>85</v>
      </c>
      <c r="E25" s="150" t="s">
        <v>25</v>
      </c>
      <c r="F25" s="150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('TE BE'!$L$25+'TE BF'!$L$25+'TE CVA'!$L$25)*(1 - CUSTOS!$M$39)</f>
        <v>2.6674764383910743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-9.3332504370559864E-3</v>
      </c>
      <c r="P25" s="20">
        <f>('TE BE'!$P$25+'TE BF'!$P$25+'TE CVA'!$P$25)*(1 - CUSTOS!$M$39)</f>
        <v>0</v>
      </c>
      <c r="Q25" s="20">
        <f>('TE BE'!$R$25+'TE BF'!$R$25+'TE CVA'!$R$25)*(1 - CUSTOS!$M$39)</f>
        <v>438.82705263318002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2.7567404265892201</v>
      </c>
      <c r="Y25" s="20">
        <v>0</v>
      </c>
      <c r="Z25" s="20">
        <v>0</v>
      </c>
      <c r="AA25" s="20">
        <v>0</v>
      </c>
      <c r="AB25" s="20">
        <v>0</v>
      </c>
      <c r="AC25" s="20">
        <v>453.71199247115601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150"/>
      <c r="B26" s="150"/>
      <c r="C26" s="150"/>
      <c r="D26" s="150"/>
      <c r="E26" s="150"/>
      <c r="F26" s="150"/>
      <c r="G26" s="23" t="s">
        <v>82</v>
      </c>
      <c r="H26" s="23" t="s">
        <v>68</v>
      </c>
      <c r="I26" s="23">
        <f>'MERCADO TE'!$U$23</f>
        <v>0</v>
      </c>
      <c r="J26" s="15"/>
      <c r="L26" s="20">
        <f>('TE BE'!$L$26+'TE BF'!$L$26+'TE CVA'!$L$26)*(1 - CUSTOS!$M$39)</f>
        <v>2.6674764383910743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-9.3332504370559864E-3</v>
      </c>
      <c r="P26" s="20">
        <f>('TE BE'!$P$26+'TE BF'!$P$26+'TE CVA'!$P$26)*(1 - CUSTOS!$M$39)</f>
        <v>0</v>
      </c>
      <c r="Q26" s="20">
        <f>('TE BE'!$R$26+'TE BF'!$R$26+'TE CVA'!$R$26)*(1 - CUSTOS!$M$39)</f>
        <v>255.13200734487208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2.7567404265892201</v>
      </c>
      <c r="Y26" s="20">
        <v>0</v>
      </c>
      <c r="Z26" s="20">
        <v>0</v>
      </c>
      <c r="AA26" s="20">
        <v>0</v>
      </c>
      <c r="AB26" s="20">
        <v>0</v>
      </c>
      <c r="AC26" s="20">
        <v>263.78604213439303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150"/>
      <c r="B27" s="150"/>
      <c r="C27" s="150"/>
      <c r="D27" s="150"/>
      <c r="E27" s="150"/>
      <c r="F27" s="150"/>
      <c r="G27" s="23" t="s">
        <v>70</v>
      </c>
      <c r="H27" s="23" t="s">
        <v>68</v>
      </c>
      <c r="I27" s="23">
        <f>'MERCADO TE'!$U$24</f>
        <v>0</v>
      </c>
      <c r="J27" s="15"/>
      <c r="L27" s="20">
        <f>('TE BE'!$L$27+'TE BF'!$L$27+'TE CVA'!$L$27)*(1 - CUSTOS!$M$39)</f>
        <v>2.6674764383910743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-9.3332504370559864E-3</v>
      </c>
      <c r="P27" s="20">
        <f>('TE BE'!$P$27+'TE BF'!$P$27+'TE CVA'!$P$27)*(1 - CUSTOS!$M$39)</f>
        <v>0</v>
      </c>
      <c r="Q27" s="20">
        <f>('TE BE'!$R$27+'TE BF'!$R$27+'TE CVA'!$R$27)*(1 - CUSTOS!$M$39)</f>
        <v>255.13200734487208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2.7567404265892201</v>
      </c>
      <c r="Y27" s="20">
        <v>0</v>
      </c>
      <c r="Z27" s="20">
        <v>0</v>
      </c>
      <c r="AA27" s="20">
        <v>0</v>
      </c>
      <c r="AB27" s="20">
        <v>0</v>
      </c>
      <c r="AC27" s="20">
        <v>263.78604213439303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150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('TE BE'!$L$28+'TE BF'!$L$28+'TE CVA'!$L$28)*(1 - CUSTOS!$M$39)</f>
        <v>2.6674764383910743</v>
      </c>
      <c r="M28" s="20">
        <f>('TE BE'!$M$28+'TE BF'!$M$28+'TE CVA'!$M$28)*(1 - CUSTOS!$M$39)</f>
        <v>0</v>
      </c>
      <c r="N28" s="20">
        <f>('TE BE'!$N$28+'TE BF'!$N$28+'TE CVA'!$N$28)*(1 - CUSTOS!$M$39)</f>
        <v>0</v>
      </c>
      <c r="O28" s="20">
        <f>('TE BE'!$O$28+'TE BF'!$O$28+'TE CVA'!$O$28)*(1 - CUSTOS!$M$39)</f>
        <v>-9.3332504370559864E-3</v>
      </c>
      <c r="P28" s="20">
        <f>('TE BE'!$P$28+'TE BF'!$P$28+'TE CVA'!$P$28)*(1 - CUSTOS!$M$39)</f>
        <v>0</v>
      </c>
      <c r="Q28" s="20">
        <f>('TE BE'!$R$28+'TE BF'!$R$28+'TE CVA'!$R$28)*(1 - CUSTOS!$M$39)</f>
        <v>270.43992778556446</v>
      </c>
      <c r="R28" s="20">
        <f>('TE BE'!$T$28+'TE BF'!$T$28+'TE CVA'!$T$28)*(1 - CUSTOS!$M$39)</f>
        <v>0</v>
      </c>
      <c r="S28" s="20">
        <f>('TE BE'!$U$28+'TE BF'!$U$28+'TE CVA'!$U$28)*(1 - CUSTOS!$M$39)</f>
        <v>0</v>
      </c>
      <c r="T28" s="20">
        <f>('TE BE'!$V$28+'TE BF'!$V$28+'TE CVA'!$V$28)*(1 - CUSTOS!$M$39)</f>
        <v>0</v>
      </c>
      <c r="U28" s="20">
        <f>('TE BE'!$X$28+'TE BF'!$X$28+'TE CVA'!$X$28)*(1 - CUSTOS!$M$39)</f>
        <v>0</v>
      </c>
      <c r="V28" s="20">
        <f>('TE BE'!$Z$28+'TE BF'!$Z$28+'TE CVA'!$Z$28)*(1 - CUSTOS!$M$39)</f>
        <v>0</v>
      </c>
      <c r="X28" s="20">
        <v>2.7567404265892201</v>
      </c>
      <c r="Y28" s="20">
        <v>0</v>
      </c>
      <c r="Z28" s="20">
        <v>0</v>
      </c>
      <c r="AA28" s="20">
        <v>0</v>
      </c>
      <c r="AB28" s="20">
        <v>0</v>
      </c>
      <c r="AC28" s="20">
        <v>279.61320466245701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150"/>
      <c r="B29" s="150" t="s">
        <v>67</v>
      </c>
      <c r="C29" s="150" t="s">
        <v>42</v>
      </c>
      <c r="D29" s="150" t="s">
        <v>86</v>
      </c>
      <c r="E29" s="150" t="s">
        <v>25</v>
      </c>
      <c r="F29" s="150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('TE BE'!$L$29+'TE BF'!$L$29+'TE CVA'!$L$29)*(1 - CUSTOS!$M$40)</f>
        <v>2.6107216205529662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-9.1346706405228822E-3</v>
      </c>
      <c r="P29" s="20">
        <f>('TE BE'!$P$29+'TE BF'!$P$29+'TE CVA'!$P$29)*(1 - CUSTOS!$M$40)</f>
        <v>0</v>
      </c>
      <c r="Q29" s="20">
        <f>('TE BE'!$R$29+'TE BF'!$R$29+'TE CVA'!$R$29)*(1 - CUSTOS!$M$40)</f>
        <v>429.49030683247412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2.6314340435624399</v>
      </c>
      <c r="Y29" s="20">
        <v>0</v>
      </c>
      <c r="Z29" s="20">
        <v>0</v>
      </c>
      <c r="AA29" s="20">
        <v>0</v>
      </c>
      <c r="AB29" s="20">
        <v>0</v>
      </c>
      <c r="AC29" s="20">
        <v>433.08872008610399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150"/>
      <c r="B30" s="150"/>
      <c r="C30" s="150"/>
      <c r="D30" s="150"/>
      <c r="E30" s="150"/>
      <c r="F30" s="150"/>
      <c r="G30" s="23" t="s">
        <v>82</v>
      </c>
      <c r="H30" s="23" t="s">
        <v>68</v>
      </c>
      <c r="I30" s="23">
        <f>'MERCADO TE'!$U$27</f>
        <v>0</v>
      </c>
      <c r="J30" s="15"/>
      <c r="L30" s="20">
        <f>('TE BE'!$L$30+'TE BF'!$L$30+'TE CVA'!$L$30)*(1 - CUSTOS!$M$40)</f>
        <v>2.6107216205529662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-9.1346706405228822E-3</v>
      </c>
      <c r="P30" s="20">
        <f>('TE BE'!$P$30+'TE BF'!$P$30+'TE CVA'!$P$30)*(1 - CUSTOS!$M$40)</f>
        <v>0</v>
      </c>
      <c r="Q30" s="20">
        <f>('TE BE'!$R$30+'TE BF'!$R$30+'TE CVA'!$R$30)*(1 - CUSTOS!$M$40)</f>
        <v>249.70366676306634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2.6314340435624399</v>
      </c>
      <c r="Y30" s="20">
        <v>0</v>
      </c>
      <c r="Z30" s="20">
        <v>0</v>
      </c>
      <c r="AA30" s="20">
        <v>0</v>
      </c>
      <c r="AB30" s="20">
        <v>0</v>
      </c>
      <c r="AC30" s="20">
        <v>251.795767491921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150"/>
      <c r="B31" s="150"/>
      <c r="C31" s="150"/>
      <c r="D31" s="150"/>
      <c r="E31" s="150"/>
      <c r="F31" s="150"/>
      <c r="G31" s="23" t="s">
        <v>70</v>
      </c>
      <c r="H31" s="23" t="s">
        <v>68</v>
      </c>
      <c r="I31" s="23">
        <f>'MERCADO TE'!$U$28</f>
        <v>0</v>
      </c>
      <c r="J31" s="15"/>
      <c r="L31" s="20">
        <f>('TE BE'!$L$31+'TE BF'!$L$31+'TE CVA'!$L$31)*(1 - CUSTOS!$M$40)</f>
        <v>2.6107216205529662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-9.1346706405228822E-3</v>
      </c>
      <c r="P31" s="20">
        <f>('TE BE'!$P$31+'TE BF'!$P$31+'TE CVA'!$P$31)*(1 - CUSTOS!$M$40)</f>
        <v>0</v>
      </c>
      <c r="Q31" s="20">
        <f>('TE BE'!$R$31+'TE BF'!$R$31+'TE CVA'!$R$31)*(1 - CUSTOS!$M$40)</f>
        <v>249.70366676306634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2.6314340435624399</v>
      </c>
      <c r="Y31" s="20">
        <v>0</v>
      </c>
      <c r="Z31" s="20">
        <v>0</v>
      </c>
      <c r="AA31" s="20">
        <v>0</v>
      </c>
      <c r="AB31" s="20">
        <v>0</v>
      </c>
      <c r="AC31" s="20">
        <v>251.795767491921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150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('TE BE'!$L$32+'TE BF'!$L$32+'TE CVA'!$L$32)*(1 - CUSTOS!$M$40)</f>
        <v>2.6107216205529662</v>
      </c>
      <c r="M32" s="20">
        <f>('TE BE'!$M$32+'TE BF'!$M$32+'TE CVA'!$M$32)*(1 - CUSTOS!$M$40)</f>
        <v>0</v>
      </c>
      <c r="N32" s="20">
        <f>('TE BE'!$N$32+'TE BF'!$N$32+'TE CVA'!$N$32)*(1 - CUSTOS!$M$40)</f>
        <v>0</v>
      </c>
      <c r="O32" s="20">
        <f>('TE BE'!$O$32+'TE BF'!$O$32+'TE CVA'!$O$32)*(1 - CUSTOS!$M$40)</f>
        <v>-9.1346706405228822E-3</v>
      </c>
      <c r="P32" s="20">
        <f>('TE BE'!$P$32+'TE BF'!$P$32+'TE CVA'!$P$32)*(1 - CUSTOS!$M$40)</f>
        <v>0</v>
      </c>
      <c r="Q32" s="20">
        <f>('TE BE'!$R$32+'TE BF'!$R$32+'TE CVA'!$R$32)*(1 - CUSTOS!$M$40)</f>
        <v>264.68588676885031</v>
      </c>
      <c r="R32" s="20">
        <f>('TE BE'!$T$32+'TE BF'!$T$32+'TE CVA'!$T$32)*(1 - CUSTOS!$M$40)</f>
        <v>0</v>
      </c>
      <c r="S32" s="20">
        <f>('TE BE'!$U$32+'TE BF'!$U$32+'TE CVA'!$U$32)*(1 - CUSTOS!$M$40)</f>
        <v>0</v>
      </c>
      <c r="T32" s="20">
        <f>('TE BE'!$V$32+'TE BF'!$V$32+'TE CVA'!$V$32)*(1 - CUSTOS!$M$40)</f>
        <v>0</v>
      </c>
      <c r="U32" s="20">
        <f>('TE BE'!$X$32+'TE BF'!$X$32+'TE CVA'!$X$32)*(1 - CUSTOS!$M$40)</f>
        <v>0</v>
      </c>
      <c r="V32" s="20">
        <f>('TE BE'!$Z$32+'TE BF'!$Z$32+'TE CVA'!$Z$32)*(1 - CUSTOS!$M$40)</f>
        <v>0</v>
      </c>
      <c r="X32" s="20">
        <v>2.6314340435624399</v>
      </c>
      <c r="Y32" s="20">
        <v>0</v>
      </c>
      <c r="Z32" s="20">
        <v>0</v>
      </c>
      <c r="AA32" s="20">
        <v>0</v>
      </c>
      <c r="AB32" s="20">
        <v>0</v>
      </c>
      <c r="AC32" s="20">
        <v>266.90351354143598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150"/>
      <c r="B33" s="150" t="s">
        <v>83</v>
      </c>
      <c r="C33" s="150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('TE BE'!$L$33+'TE BF'!$L$33+'TE CVA'!$L$33)*(1 - CUSTOS!$M$38)</f>
        <v>2.6674764383910743</v>
      </c>
      <c r="M33" s="20">
        <f>('TE BE'!$M$33+'TE BF'!$M$33+'TE CVA'!$M$33)*(1 - CUSTOS!$M$38)</f>
        <v>0</v>
      </c>
      <c r="N33" s="20">
        <f>('TE BE'!$N$33+'TE BF'!$N$33+'TE CVA'!$N$33)*(1 - CUSTOS!$M$38)</f>
        <v>0</v>
      </c>
      <c r="O33" s="20">
        <f>('TE BE'!$O$33+'TE BF'!$O$33+'TE CVA'!$O$33)*(1 - CUSTOS!$M$38)</f>
        <v>-9.3332504370559864E-3</v>
      </c>
      <c r="P33" s="20">
        <f>('TE BE'!$P$33+'TE BF'!$P$33+'TE CVA'!$P$33)*(1 - CUSTOS!$M$38)</f>
        <v>0</v>
      </c>
      <c r="Q33" s="20">
        <f>('TE BE'!$R$33+'TE BF'!$R$33+'TE CVA'!$R$33)*(1 - CUSTOS!$M$38)</f>
        <v>270.43992778556446</v>
      </c>
      <c r="R33" s="20">
        <f>('TE BE'!$T$33+'TE BF'!$T$33+'TE CVA'!$T$33)*(1 - CUSTOS!$M$38)</f>
        <v>0</v>
      </c>
      <c r="S33" s="20">
        <f>('TE BE'!$U$33+'TE BF'!$U$33+'TE CVA'!$U$33)*(1 - CUSTOS!$M$38)</f>
        <v>0</v>
      </c>
      <c r="T33" s="20">
        <f>('TE BE'!$V$33+'TE BF'!$V$33+'TE CVA'!$V$33)*(1 - CUSTOS!$M$38)</f>
        <v>0</v>
      </c>
      <c r="U33" s="20">
        <f>('TE BE'!$X$33+'TE BF'!$X$33+'TE CVA'!$X$33)*(1 - CUSTOS!$M$38)</f>
        <v>0</v>
      </c>
      <c r="V33" s="20">
        <f>('TE BE'!$Z$33+'TE BF'!$Z$33+'TE CVA'!$Z$33)*(1 - CUSTOS!$M$38)</f>
        <v>0</v>
      </c>
      <c r="X33" s="20">
        <v>2.7567404265892201</v>
      </c>
      <c r="Y33" s="20">
        <v>0</v>
      </c>
      <c r="Z33" s="20">
        <v>0</v>
      </c>
      <c r="AA33" s="20">
        <v>0</v>
      </c>
      <c r="AB33" s="20">
        <v>0</v>
      </c>
      <c r="AC33" s="20">
        <v>279.61320466245701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150"/>
      <c r="B34" s="150"/>
      <c r="C34" s="150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('TE BE'!$L$34+'TE BF'!$L$34+'TE CVA'!$L$34)*(1 - CUSTOS!$M$39)</f>
        <v>2.6674764383910743</v>
      </c>
      <c r="M34" s="20">
        <f>('TE BE'!$M$34+'TE BF'!$M$34+'TE CVA'!$M$34)*(1 - CUSTOS!$M$39)</f>
        <v>0</v>
      </c>
      <c r="N34" s="20">
        <f>('TE BE'!$N$34+'TE BF'!$N$34+'TE CVA'!$N$34)*(1 - CUSTOS!$M$39)</f>
        <v>0</v>
      </c>
      <c r="O34" s="20">
        <f>('TE BE'!$O$34+'TE BF'!$O$34+'TE CVA'!$O$34)*(1 - CUSTOS!$M$39)</f>
        <v>-9.3332504370559864E-3</v>
      </c>
      <c r="P34" s="20">
        <f>('TE BE'!$P$34+'TE BF'!$P$34+'TE CVA'!$P$34)*(1 - CUSTOS!$M$39)</f>
        <v>0</v>
      </c>
      <c r="Q34" s="20">
        <f>('TE BE'!$R$34+'TE BF'!$R$34+'TE CVA'!$R$34)*(1 - CUSTOS!$M$39)</f>
        <v>270.43992778556446</v>
      </c>
      <c r="R34" s="20">
        <f>('TE BE'!$T$34+'TE BF'!$T$34+'TE CVA'!$T$34)*(1 - CUSTOS!$M$39)</f>
        <v>0</v>
      </c>
      <c r="S34" s="20">
        <f>('TE BE'!$U$34+'TE BF'!$U$34+'TE CVA'!$U$34)*(1 - CUSTOS!$M$39)</f>
        <v>0</v>
      </c>
      <c r="T34" s="20">
        <f>('TE BE'!$V$34+'TE BF'!$V$34+'TE CVA'!$V$34)*(1 - CUSTOS!$M$39)</f>
        <v>0</v>
      </c>
      <c r="U34" s="20">
        <f>('TE BE'!$X$34+'TE BF'!$X$34+'TE CVA'!$X$34)*(1 - CUSTOS!$M$39)</f>
        <v>0</v>
      </c>
      <c r="V34" s="20">
        <f>('TE BE'!$Z$34+'TE BF'!$Z$34+'TE CVA'!$Z$34)*(1 - CUSTOS!$M$39)</f>
        <v>0</v>
      </c>
      <c r="X34" s="20">
        <v>2.7567404265892201</v>
      </c>
      <c r="Y34" s="20">
        <v>0</v>
      </c>
      <c r="Z34" s="20">
        <v>0</v>
      </c>
      <c r="AA34" s="20">
        <v>0</v>
      </c>
      <c r="AB34" s="20">
        <v>0</v>
      </c>
      <c r="AC34" s="20">
        <v>279.61320466245701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150"/>
      <c r="B35" s="150"/>
      <c r="C35" s="150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('TE BE'!$L$35+'TE BF'!$L$35+'TE CVA'!$L$35)*(1 - CUSTOS!$M$40)</f>
        <v>2.6107216205529662</v>
      </c>
      <c r="M35" s="20">
        <f>('TE BE'!$M$35+'TE BF'!$M$35+'TE CVA'!$M$35)*(1 - CUSTOS!$M$40)</f>
        <v>0</v>
      </c>
      <c r="N35" s="20">
        <f>('TE BE'!$N$35+'TE BF'!$N$35+'TE CVA'!$N$35)*(1 - CUSTOS!$M$40)</f>
        <v>0</v>
      </c>
      <c r="O35" s="20">
        <f>('TE BE'!$O$35+'TE BF'!$O$35+'TE CVA'!$O$35)*(1 - CUSTOS!$M$40)</f>
        <v>-9.1346706405228822E-3</v>
      </c>
      <c r="P35" s="20">
        <f>('TE BE'!$P$35+'TE BF'!$P$35+'TE CVA'!$P$35)*(1 - CUSTOS!$M$40)</f>
        <v>0</v>
      </c>
      <c r="Q35" s="20">
        <f>('TE BE'!$R$35+'TE BF'!$R$35+'TE CVA'!$R$35)*(1 - CUSTOS!$M$40)</f>
        <v>264.68588676885031</v>
      </c>
      <c r="R35" s="20">
        <f>('TE BE'!$T$35+'TE BF'!$T$35+'TE CVA'!$T$35)*(1 - CUSTOS!$M$40)</f>
        <v>0</v>
      </c>
      <c r="S35" s="20">
        <f>('TE BE'!$U$35+'TE BF'!$U$35+'TE CVA'!$U$35)*(1 - CUSTOS!$M$40)</f>
        <v>0</v>
      </c>
      <c r="T35" s="20">
        <f>('TE BE'!$V$35+'TE BF'!$V$35+'TE CVA'!$V$35)*(1 - CUSTOS!$M$40)</f>
        <v>0</v>
      </c>
      <c r="U35" s="20">
        <f>('TE BE'!$X$35+'TE BF'!$X$35+'TE CVA'!$X$35)*(1 - CUSTOS!$M$40)</f>
        <v>0</v>
      </c>
      <c r="V35" s="20">
        <f>('TE BE'!$Z$35+'TE BF'!$Z$35+'TE CVA'!$Z$35)*(1 - CUSTOS!$M$40)</f>
        <v>0</v>
      </c>
      <c r="X35" s="20">
        <v>2.6314340435624399</v>
      </c>
      <c r="Y35" s="20">
        <v>0</v>
      </c>
      <c r="Z35" s="20">
        <v>0</v>
      </c>
      <c r="AA35" s="20">
        <v>0</v>
      </c>
      <c r="AB35" s="20">
        <v>0</v>
      </c>
      <c r="AC35" s="20">
        <v>266.90351354143598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150" t="s">
        <v>32</v>
      </c>
      <c r="B36" s="150" t="s">
        <v>67</v>
      </c>
      <c r="C36" s="150" t="s">
        <v>25</v>
      </c>
      <c r="D36" s="150" t="s">
        <v>25</v>
      </c>
      <c r="E36" s="150" t="s">
        <v>25</v>
      </c>
      <c r="F36" s="150" t="s">
        <v>25</v>
      </c>
      <c r="G36" s="23" t="s">
        <v>69</v>
      </c>
      <c r="H36" s="23" t="s">
        <v>68</v>
      </c>
      <c r="I36" s="23">
        <f>'MERCADO TE'!$U$33</f>
        <v>8.897000000000002</v>
      </c>
      <c r="J36" s="15"/>
      <c r="L36" s="20">
        <f>('TE BE'!$L$36+'TE BF'!$L$36+'TE CVA'!$L$36)*1</f>
        <v>2.8377408919053981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-9.9289898266553059E-3</v>
      </c>
      <c r="P36" s="20">
        <f>('TE BE'!$P$36+'TE BF'!$P$36+'TE CVA'!$P$36)*1</f>
        <v>0</v>
      </c>
      <c r="Q36" s="20">
        <f>('TE BE'!$R$36+'TE BF'!$R$36+'TE CVA'!$R$36)*1</f>
        <v>466.83729003529794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3.1326595756695701</v>
      </c>
      <c r="Y36" s="20">
        <v>0</v>
      </c>
      <c r="Z36" s="20">
        <v>0</v>
      </c>
      <c r="AA36" s="20">
        <v>0</v>
      </c>
      <c r="AB36" s="20">
        <v>0</v>
      </c>
      <c r="AC36" s="20">
        <v>515.581809626314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150"/>
      <c r="B37" s="150"/>
      <c r="C37" s="150"/>
      <c r="D37" s="150"/>
      <c r="E37" s="150"/>
      <c r="F37" s="150"/>
      <c r="G37" s="23" t="s">
        <v>82</v>
      </c>
      <c r="H37" s="23" t="s">
        <v>68</v>
      </c>
      <c r="I37" s="23">
        <f>'MERCADO TE'!$U$34</f>
        <v>7.0329999999999995</v>
      </c>
      <c r="J37" s="15"/>
      <c r="L37" s="20">
        <f>('TE BE'!$L$37+'TE BF'!$L$37+'TE CVA'!$L$37)*1</f>
        <v>2.8377408919053981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-9.9289898266553059E-3</v>
      </c>
      <c r="P37" s="20">
        <f>('TE BE'!$P$37+'TE BF'!$P$37+'TE CVA'!$P$37)*1</f>
        <v>0</v>
      </c>
      <c r="Q37" s="20">
        <f>('TE BE'!$R$37+'TE BF'!$R$37+'TE CVA'!$R$37)*1</f>
        <v>271.41702909028947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3.1326595756695701</v>
      </c>
      <c r="Y37" s="20">
        <v>0</v>
      </c>
      <c r="Z37" s="20">
        <v>0</v>
      </c>
      <c r="AA37" s="20">
        <v>0</v>
      </c>
      <c r="AB37" s="20">
        <v>0</v>
      </c>
      <c r="AC37" s="20">
        <v>299.75686606181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150"/>
      <c r="B38" s="150"/>
      <c r="C38" s="150"/>
      <c r="D38" s="150"/>
      <c r="E38" s="150"/>
      <c r="F38" s="150"/>
      <c r="G38" s="23" t="s">
        <v>70</v>
      </c>
      <c r="H38" s="23" t="s">
        <v>68</v>
      </c>
      <c r="I38" s="23">
        <f>'MERCADO TE'!$U$35</f>
        <v>183.905</v>
      </c>
      <c r="J38" s="15"/>
      <c r="L38" s="20">
        <f>('TE BE'!$L$38+'TE BF'!$L$38+'TE CVA'!$L$38)*1</f>
        <v>2.8377408919053981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-9.9289898266553059E-3</v>
      </c>
      <c r="P38" s="20">
        <f>('TE BE'!$P$38+'TE BF'!$P$38+'TE CVA'!$P$38)*1</f>
        <v>0</v>
      </c>
      <c r="Q38" s="20">
        <f>('TE BE'!$R$38+'TE BF'!$R$38+'TE CVA'!$R$38)*1</f>
        <v>271.41702909028947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3.1326595756695701</v>
      </c>
      <c r="Y38" s="20">
        <v>0</v>
      </c>
      <c r="Z38" s="20">
        <v>0</v>
      </c>
      <c r="AA38" s="20">
        <v>0</v>
      </c>
      <c r="AB38" s="20">
        <v>0</v>
      </c>
      <c r="AC38" s="20">
        <v>299.75686606181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150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4632.741</v>
      </c>
      <c r="J39" s="15"/>
      <c r="L39" s="20">
        <f>('TE BE'!$L$39+'TE BF'!$L$39+'TE CVA'!$L$39)*1</f>
        <v>2.8377408919053981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-9.9289898266553059E-3</v>
      </c>
      <c r="P39" s="20">
        <f>('TE BE'!$P$39+'TE BF'!$P$39+'TE CVA'!$P$39)*1</f>
        <v>0</v>
      </c>
      <c r="Q39" s="20">
        <f>('TE BE'!$R$39+'TE BF'!$R$39+'TE CVA'!$R$39)*1</f>
        <v>287.70205083570687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3.1326595756695701</v>
      </c>
      <c r="Y39" s="20">
        <v>0</v>
      </c>
      <c r="Z39" s="20">
        <v>0</v>
      </c>
      <c r="AA39" s="20">
        <v>0</v>
      </c>
      <c r="AB39" s="20">
        <v>0</v>
      </c>
      <c r="AC39" s="20">
        <v>317.742278025519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150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('TE BE'!$L$40+'TE BF'!$L$40+'TE CVA'!$L$40)*1</f>
        <v>2.8377408919053981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-9.9289898266553059E-3</v>
      </c>
      <c r="P40" s="20">
        <f>('TE BE'!$P$40+'TE BF'!$P$40+'TE CVA'!$P$40)*1</f>
        <v>0</v>
      </c>
      <c r="Q40" s="20">
        <f>('TE BE'!$R$40+'TE BF'!$R$40+'TE CVA'!$R$40)*1</f>
        <v>287.70205083570687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3.1326595756695701</v>
      </c>
      <c r="Y40" s="20">
        <v>0</v>
      </c>
      <c r="Z40" s="20">
        <v>0</v>
      </c>
      <c r="AA40" s="20">
        <v>0</v>
      </c>
      <c r="AB40" s="20">
        <v>0</v>
      </c>
      <c r="AC40" s="20">
        <v>317.742278025519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150" t="s">
        <v>44</v>
      </c>
      <c r="B41" s="150" t="s">
        <v>71</v>
      </c>
      <c r="C41" s="150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356.69600000000003</v>
      </c>
      <c r="J41" s="15"/>
      <c r="L41" s="20">
        <f>('TE BE'!$L$41+'TE BF'!$L$41+'TE CVA'!$L$41)*1</f>
        <v>1.5607574905479693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-5.4609444046604195E-3</v>
      </c>
      <c r="P41" s="20">
        <f>('TE BE'!$P$41+'TE BF'!$P$41+'TE CVA'!$P$41)*1</f>
        <v>0</v>
      </c>
      <c r="Q41" s="20">
        <f>('TE BE'!$R$41+'TE BF'!$R$41+'TE CVA'!$R$41)*1</f>
        <v>158.23612795963879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1.7229627666182701</v>
      </c>
      <c r="Y41" s="20">
        <v>0</v>
      </c>
      <c r="Z41" s="20">
        <v>0</v>
      </c>
      <c r="AA41" s="20">
        <v>0</v>
      </c>
      <c r="AB41" s="20">
        <v>0</v>
      </c>
      <c r="AC41" s="20">
        <v>174.75825291403601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2" spans="1:34" ht="11.25" customHeight="1" x14ac:dyDescent="0.25">
      <c r="A42" s="150"/>
      <c r="B42" s="150"/>
      <c r="C42" s="150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('TE BE'!$L$42+'TE BF'!$L$42+'TE CVA'!$L$42)*1</f>
        <v>1.7026445351432389</v>
      </c>
      <c r="M42" s="20">
        <f>('TE BE'!$M$42+'TE BF'!$M$42+'TE CVA'!$M$42)*1</f>
        <v>0</v>
      </c>
      <c r="N42" s="20">
        <f>('TE BE'!$N$42+'TE BF'!$N$42+'TE CVA'!$N$42)*1</f>
        <v>0</v>
      </c>
      <c r="O42" s="20">
        <f>('TE BE'!$O$42+'TE BF'!$O$42+'TE CVA'!$O$42)*1</f>
        <v>-5.9573938959931834E-3</v>
      </c>
      <c r="P42" s="20">
        <f>('TE BE'!$P$42+'TE BF'!$P$42+'TE CVA'!$P$42)*1</f>
        <v>0</v>
      </c>
      <c r="Q42" s="20">
        <f>('TE BE'!$R$42+'TE BF'!$R$42+'TE CVA'!$R$42)*1</f>
        <v>172.62123050142409</v>
      </c>
      <c r="R42" s="20">
        <f>('TE BE'!$T$42+'TE BF'!$T$42+'TE CVA'!$T$42)*1</f>
        <v>0</v>
      </c>
      <c r="S42" s="20">
        <f>('TE BE'!$U$42+'TE BF'!$U$42+'TE CVA'!$U$42)*1</f>
        <v>0</v>
      </c>
      <c r="T42" s="20">
        <f>('TE BE'!$V$42+'TE BF'!$V$42+'TE CVA'!$V$42)*1</f>
        <v>0</v>
      </c>
      <c r="U42" s="20">
        <f>('TE BE'!$X$42+'TE BF'!$X$42+'TE CVA'!$X$42)*1</f>
        <v>0</v>
      </c>
      <c r="V42" s="20">
        <f>('TE BE'!$Z$42+'TE BF'!$Z$42+'TE CVA'!$Z$42)*1</f>
        <v>0</v>
      </c>
      <c r="X42" s="20">
        <v>1.87959574540174</v>
      </c>
      <c r="Y42" s="20">
        <v>0</v>
      </c>
      <c r="Z42" s="20">
        <v>0</v>
      </c>
      <c r="AA42" s="20">
        <v>0</v>
      </c>
      <c r="AB42" s="20">
        <v>0</v>
      </c>
      <c r="AC42" s="20">
        <v>190.64536681531101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</row>
    <row r="44" spans="1:34" ht="11.25" customHeight="1" x14ac:dyDescent="0.25">
      <c r="L44" s="147" t="s">
        <v>970</v>
      </c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X44" s="147" t="s">
        <v>971</v>
      </c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</row>
    <row r="45" spans="1:34" ht="11.25" customHeight="1" x14ac:dyDescent="0.25">
      <c r="L45" s="147" t="s">
        <v>447</v>
      </c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X45" s="147" t="s">
        <v>447</v>
      </c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</row>
    <row r="46" spans="1:34" ht="11.25" customHeight="1" x14ac:dyDescent="0.25">
      <c r="L46" s="147" t="s">
        <v>420</v>
      </c>
      <c r="M46" s="147"/>
      <c r="N46" s="147"/>
      <c r="O46" s="147"/>
      <c r="P46" s="147"/>
      <c r="Q46" s="24" t="s">
        <v>451</v>
      </c>
      <c r="R46" s="147" t="s">
        <v>429</v>
      </c>
      <c r="S46" s="147"/>
      <c r="T46" s="147"/>
      <c r="U46" s="24" t="s">
        <v>439</v>
      </c>
      <c r="V46" s="24" t="s">
        <v>442</v>
      </c>
      <c r="X46" s="147" t="s">
        <v>420</v>
      </c>
      <c r="Y46" s="147"/>
      <c r="Z46" s="147"/>
      <c r="AA46" s="147"/>
      <c r="AB46" s="147"/>
      <c r="AC46" s="24" t="s">
        <v>451</v>
      </c>
      <c r="AD46" s="147" t="s">
        <v>429</v>
      </c>
      <c r="AE46" s="147"/>
      <c r="AF46" s="147"/>
      <c r="AG46" s="24" t="s">
        <v>439</v>
      </c>
      <c r="AH46" s="24" t="s">
        <v>442</v>
      </c>
    </row>
    <row r="47" spans="1:34" ht="11.25" customHeight="1" x14ac:dyDescent="0.25">
      <c r="L47" s="24" t="s">
        <v>422</v>
      </c>
      <c r="M47" s="24" t="s">
        <v>448</v>
      </c>
      <c r="N47" s="24" t="s">
        <v>449</v>
      </c>
      <c r="O47" s="24" t="s">
        <v>508</v>
      </c>
      <c r="P47" s="24" t="s">
        <v>450</v>
      </c>
      <c r="Q47" s="24" t="s">
        <v>452</v>
      </c>
      <c r="R47" s="24" t="s">
        <v>453</v>
      </c>
      <c r="S47" s="24" t="s">
        <v>454</v>
      </c>
      <c r="T47" s="24" t="s">
        <v>455</v>
      </c>
      <c r="U47" s="24" t="s">
        <v>440</v>
      </c>
      <c r="V47" s="24" t="s">
        <v>456</v>
      </c>
      <c r="X47" s="24" t="s">
        <v>422</v>
      </c>
      <c r="Y47" s="24" t="s">
        <v>448</v>
      </c>
      <c r="Z47" s="24" t="s">
        <v>449</v>
      </c>
      <c r="AA47" s="24" t="s">
        <v>508</v>
      </c>
      <c r="AB47" s="24" t="s">
        <v>450</v>
      </c>
      <c r="AC47" s="24" t="s">
        <v>452</v>
      </c>
      <c r="AD47" s="24" t="s">
        <v>453</v>
      </c>
      <c r="AE47" s="24" t="s">
        <v>454</v>
      </c>
      <c r="AF47" s="24" t="s">
        <v>455</v>
      </c>
      <c r="AG47" s="24" t="s">
        <v>440</v>
      </c>
      <c r="AH47" s="24" t="s">
        <v>456</v>
      </c>
    </row>
    <row r="48" spans="1:34" ht="11.25" customHeight="1" x14ac:dyDescent="0.25">
      <c r="A48" s="9" t="s">
        <v>34</v>
      </c>
      <c r="B48" s="9" t="s">
        <v>972</v>
      </c>
      <c r="C48" s="9" t="s">
        <v>973</v>
      </c>
      <c r="D48" s="9" t="s">
        <v>974</v>
      </c>
      <c r="E48" s="9" t="s">
        <v>975</v>
      </c>
      <c r="F48" s="9" t="s">
        <v>976</v>
      </c>
      <c r="G48" s="9" t="s">
        <v>977</v>
      </c>
      <c r="L48" s="20">
        <f>$I$5*$L$5</f>
        <v>244.79771804021917</v>
      </c>
      <c r="M48" s="20">
        <f>$I$5*$M$5</f>
        <v>0</v>
      </c>
      <c r="N48" s="20">
        <f>$I$5*$N$5</f>
        <v>0</v>
      </c>
      <c r="O48" s="20">
        <f>$I$5*$O$5</f>
        <v>-0.85652430739641994</v>
      </c>
      <c r="P48" s="20">
        <f>$I$5*$P$5</f>
        <v>0</v>
      </c>
      <c r="Q48" s="20">
        <f>$I$5*$Q$5</f>
        <v>40271.718824894975</v>
      </c>
      <c r="R48" s="20">
        <f>$I$5*$R$5</f>
        <v>0</v>
      </c>
      <c r="S48" s="20">
        <f>$I$5*$S$5</f>
        <v>0</v>
      </c>
      <c r="T48" s="20">
        <f>$I$5*$T$5</f>
        <v>0</v>
      </c>
      <c r="U48" s="20">
        <f>$I$5*$U$5</f>
        <v>0</v>
      </c>
      <c r="V48" s="20">
        <f>$I$5*$V$5</f>
        <v>0</v>
      </c>
      <c r="X48" s="20">
        <f>$I$5*$X$5</f>
        <v>270.23887829513546</v>
      </c>
      <c r="Y48" s="20">
        <f>$I$5*$Y$5</f>
        <v>0</v>
      </c>
      <c r="Z48" s="20">
        <f>$I$5*$Z$5</f>
        <v>0</v>
      </c>
      <c r="AA48" s="20">
        <f>$I$5*$AA$5</f>
        <v>0</v>
      </c>
      <c r="AB48" s="20">
        <f>$I$5*$AB$5</f>
        <v>0</v>
      </c>
      <c r="AC48" s="20">
        <f>$I$5*$AC$5</f>
        <v>44476.664807413974</v>
      </c>
      <c r="AD48" s="20">
        <f>$I$5*$AD$5</f>
        <v>0</v>
      </c>
      <c r="AE48" s="20">
        <f>$I$5*$AE$5</f>
        <v>0</v>
      </c>
      <c r="AF48" s="20">
        <f>$I$5*$AF$5</f>
        <v>0</v>
      </c>
      <c r="AG48" s="20">
        <f>$I$5*$AG$5</f>
        <v>0</v>
      </c>
      <c r="AH48" s="20">
        <f>$I$5*$AH$5</f>
        <v>0</v>
      </c>
    </row>
    <row r="49" spans="1:34" ht="11.25" customHeight="1" x14ac:dyDescent="0.25">
      <c r="A49" s="9" t="s">
        <v>34</v>
      </c>
      <c r="B49" s="9" t="s">
        <v>972</v>
      </c>
      <c r="C49" s="9" t="s">
        <v>973</v>
      </c>
      <c r="D49" s="9" t="s">
        <v>974</v>
      </c>
      <c r="E49" s="9" t="s">
        <v>975</v>
      </c>
      <c r="F49" s="9" t="s">
        <v>976</v>
      </c>
      <c r="G49" s="9" t="s">
        <v>978</v>
      </c>
      <c r="L49" s="20">
        <f>$I$6*$L$6</f>
        <v>6295.7608634452617</v>
      </c>
      <c r="M49" s="20">
        <f>$I$6*$M$6</f>
        <v>0</v>
      </c>
      <c r="N49" s="20">
        <f>$I$6*$N$6</f>
        <v>0</v>
      </c>
      <c r="O49" s="20">
        <f>$I$6*$O$6</f>
        <v>-22.028278107600581</v>
      </c>
      <c r="P49" s="20">
        <f>$I$6*$P$6</f>
        <v>0</v>
      </c>
      <c r="Q49" s="20">
        <f>$I$6*$Q$6</f>
        <v>602160.93523319252</v>
      </c>
      <c r="R49" s="20">
        <f>$I$6*$R$6</f>
        <v>0</v>
      </c>
      <c r="S49" s="20">
        <f>$I$6*$S$6</f>
        <v>0</v>
      </c>
      <c r="T49" s="20">
        <f>$I$6*$T$6</f>
        <v>0</v>
      </c>
      <c r="U49" s="20">
        <f>$I$6*$U$6</f>
        <v>0</v>
      </c>
      <c r="V49" s="20">
        <f>$I$6*$V$6</f>
        <v>0</v>
      </c>
      <c r="X49" s="20">
        <f>$I$6*$X$6</f>
        <v>6950.0621467081455</v>
      </c>
      <c r="Y49" s="20">
        <f>$I$6*$Y$6</f>
        <v>0</v>
      </c>
      <c r="Z49" s="20">
        <f>$I$6*$Z$6</f>
        <v>0</v>
      </c>
      <c r="AA49" s="20">
        <f>$I$6*$AA$6</f>
        <v>0</v>
      </c>
      <c r="AB49" s="20">
        <f>$I$6*$AB$6</f>
        <v>0</v>
      </c>
      <c r="AC49" s="20">
        <f>$I$6*$AC$6</f>
        <v>665035.18742114247</v>
      </c>
      <c r="AD49" s="20">
        <f>$I$6*$AD$6</f>
        <v>0</v>
      </c>
      <c r="AE49" s="20">
        <f>$I$6*$AE$6</f>
        <v>0</v>
      </c>
      <c r="AF49" s="20">
        <f>$I$6*$AF$6</f>
        <v>0</v>
      </c>
      <c r="AG49" s="20">
        <f>$I$6*$AG$6</f>
        <v>0</v>
      </c>
      <c r="AH49" s="20">
        <f>$I$6*$AH$6</f>
        <v>0</v>
      </c>
    </row>
    <row r="50" spans="1:34" ht="11.25" customHeight="1" x14ac:dyDescent="0.25">
      <c r="A50" s="9" t="s">
        <v>34</v>
      </c>
      <c r="B50" s="9" t="s">
        <v>979</v>
      </c>
      <c r="C50" s="9" t="s">
        <v>980</v>
      </c>
      <c r="D50" s="9" t="s">
        <v>981</v>
      </c>
      <c r="E50" s="9" t="s">
        <v>982</v>
      </c>
      <c r="F50" s="9" t="s">
        <v>983</v>
      </c>
      <c r="G50" s="9" t="s">
        <v>984</v>
      </c>
      <c r="L50" s="20">
        <f>$I$7*$L$7</f>
        <v>0</v>
      </c>
      <c r="M50" s="20">
        <f>$I$7*$M$7</f>
        <v>0</v>
      </c>
      <c r="N50" s="20">
        <f>$I$7*$N$7</f>
        <v>0</v>
      </c>
      <c r="O50" s="20">
        <f>$I$7*$O$7</f>
        <v>0</v>
      </c>
      <c r="P50" s="20">
        <f>$I$7*$P$7</f>
        <v>0</v>
      </c>
      <c r="Q50" s="20">
        <f>$I$7*$Q$7</f>
        <v>0</v>
      </c>
      <c r="R50" s="20">
        <f>$I$7*$R$7</f>
        <v>0</v>
      </c>
      <c r="S50" s="20">
        <f>$I$7*$S$7</f>
        <v>0</v>
      </c>
      <c r="T50" s="20">
        <f>$I$7*$T$7</f>
        <v>0</v>
      </c>
      <c r="U50" s="20">
        <f>$I$7*$U$7</f>
        <v>0</v>
      </c>
      <c r="V50" s="20">
        <f>$I$7*$V$7</f>
        <v>0</v>
      </c>
      <c r="X50" s="20">
        <f>$I$7*$X$7</f>
        <v>0</v>
      </c>
      <c r="Y50" s="20">
        <f>$I$7*$Y$7</f>
        <v>0</v>
      </c>
      <c r="Z50" s="20">
        <f>$I$7*$Z$7</f>
        <v>0</v>
      </c>
      <c r="AA50" s="20">
        <f>$I$7*$AA$7</f>
        <v>0</v>
      </c>
      <c r="AB50" s="20">
        <f>$I$7*$AB$7</f>
        <v>0</v>
      </c>
      <c r="AC50" s="20">
        <f>$I$7*$AC$7</f>
        <v>0</v>
      </c>
      <c r="AD50" s="20">
        <f>$I$7*$AD$7</f>
        <v>0</v>
      </c>
      <c r="AE50" s="20">
        <f>$I$7*$AE$7</f>
        <v>0</v>
      </c>
      <c r="AF50" s="20">
        <f>$I$7*$AF$7</f>
        <v>0</v>
      </c>
      <c r="AG50" s="20">
        <f>$I$7*$AG$7</f>
        <v>0</v>
      </c>
      <c r="AH50" s="20">
        <f>$I$7*$AH$7</f>
        <v>0</v>
      </c>
    </row>
    <row r="51" spans="1:34" ht="11.25" customHeight="1" x14ac:dyDescent="0.25">
      <c r="A51" s="9" t="s">
        <v>22</v>
      </c>
      <c r="B51" s="9" t="s">
        <v>985</v>
      </c>
      <c r="C51" s="9" t="s">
        <v>986</v>
      </c>
      <c r="D51" s="9" t="s">
        <v>987</v>
      </c>
      <c r="E51" s="9" t="s">
        <v>988</v>
      </c>
      <c r="F51" s="9" t="s">
        <v>989</v>
      </c>
      <c r="G51" s="9" t="s">
        <v>990</v>
      </c>
      <c r="L51" s="20">
        <f>$I$8*$L$8</f>
        <v>0</v>
      </c>
      <c r="M51" s="20">
        <f>$I$8*$M$8</f>
        <v>0</v>
      </c>
      <c r="N51" s="20">
        <f>$I$8*$N$8</f>
        <v>0</v>
      </c>
      <c r="O51" s="20">
        <f>$I$8*$O$8</f>
        <v>0</v>
      </c>
      <c r="P51" s="20">
        <f>$I$8*$P$8</f>
        <v>0</v>
      </c>
      <c r="Q51" s="20">
        <f>$I$8*$Q$8</f>
        <v>0</v>
      </c>
      <c r="R51" s="20">
        <f>$I$8*$R$8</f>
        <v>0</v>
      </c>
      <c r="S51" s="20">
        <f>$I$8*$S$8</f>
        <v>0</v>
      </c>
      <c r="T51" s="20">
        <f>$I$8*$T$8</f>
        <v>0</v>
      </c>
      <c r="U51" s="20">
        <f>$I$8*$U$8</f>
        <v>0</v>
      </c>
      <c r="V51" s="20">
        <f>$I$8*$V$8</f>
        <v>0</v>
      </c>
      <c r="X51" s="20">
        <f>$I$8*$X$8</f>
        <v>0</v>
      </c>
      <c r="Y51" s="20">
        <f>$I$8*$Y$8</f>
        <v>0</v>
      </c>
      <c r="Z51" s="20">
        <f>$I$8*$Z$8</f>
        <v>0</v>
      </c>
      <c r="AA51" s="20">
        <f>$I$8*$AA$8</f>
        <v>0</v>
      </c>
      <c r="AB51" s="20">
        <f>$I$8*$AB$8</f>
        <v>0</v>
      </c>
      <c r="AC51" s="20">
        <f>$I$8*$AC$8</f>
        <v>0</v>
      </c>
      <c r="AD51" s="20">
        <f>$I$8*$AD$8</f>
        <v>0</v>
      </c>
      <c r="AE51" s="20">
        <f>$I$8*$AE$8</f>
        <v>0</v>
      </c>
      <c r="AF51" s="20">
        <f>$I$8*$AF$8</f>
        <v>0</v>
      </c>
      <c r="AG51" s="20">
        <f>$I$8*$AG$8</f>
        <v>0</v>
      </c>
      <c r="AH51" s="20">
        <f>$I$8*$AH$8</f>
        <v>0</v>
      </c>
    </row>
    <row r="52" spans="1:34" ht="11.25" customHeight="1" x14ac:dyDescent="0.25">
      <c r="A52" s="9" t="s">
        <v>22</v>
      </c>
      <c r="B52" s="9" t="s">
        <v>985</v>
      </c>
      <c r="C52" s="9" t="s">
        <v>986</v>
      </c>
      <c r="D52" s="9" t="s">
        <v>987</v>
      </c>
      <c r="E52" s="9" t="s">
        <v>988</v>
      </c>
      <c r="F52" s="9" t="s">
        <v>989</v>
      </c>
      <c r="G52" s="9" t="s">
        <v>991</v>
      </c>
      <c r="L52" s="20">
        <f>$I$9*$L$9</f>
        <v>0</v>
      </c>
      <c r="M52" s="20">
        <f>$I$9*$M$9</f>
        <v>0</v>
      </c>
      <c r="N52" s="20">
        <f>$I$9*$N$9</f>
        <v>0</v>
      </c>
      <c r="O52" s="20">
        <f>$I$9*$O$9</f>
        <v>0</v>
      </c>
      <c r="P52" s="20">
        <f>$I$9*$P$9</f>
        <v>0</v>
      </c>
      <c r="Q52" s="20">
        <f>$I$9*$Q$9</f>
        <v>0</v>
      </c>
      <c r="R52" s="20">
        <f>$I$9*$R$9</f>
        <v>0</v>
      </c>
      <c r="S52" s="20">
        <f>$I$9*$S$9</f>
        <v>0</v>
      </c>
      <c r="T52" s="20">
        <f>$I$9*$T$9</f>
        <v>0</v>
      </c>
      <c r="U52" s="20">
        <f>$I$9*$U$9</f>
        <v>0</v>
      </c>
      <c r="V52" s="20">
        <f>$I$9*$V$9</f>
        <v>0</v>
      </c>
      <c r="X52" s="20">
        <f>$I$9*$X$9</f>
        <v>0</v>
      </c>
      <c r="Y52" s="20">
        <f>$I$9*$Y$9</f>
        <v>0</v>
      </c>
      <c r="Z52" s="20">
        <f>$I$9*$Z$9</f>
        <v>0</v>
      </c>
      <c r="AA52" s="20">
        <f>$I$9*$AA$9</f>
        <v>0</v>
      </c>
      <c r="AB52" s="20">
        <f>$I$9*$AB$9</f>
        <v>0</v>
      </c>
      <c r="AC52" s="20">
        <f>$I$9*$AC$9</f>
        <v>0</v>
      </c>
      <c r="AD52" s="20">
        <f>$I$9*$AD$9</f>
        <v>0</v>
      </c>
      <c r="AE52" s="20">
        <f>$I$9*$AE$9</f>
        <v>0</v>
      </c>
      <c r="AF52" s="20">
        <f>$I$9*$AF$9</f>
        <v>0</v>
      </c>
      <c r="AG52" s="20">
        <f>$I$9*$AG$9</f>
        <v>0</v>
      </c>
      <c r="AH52" s="20">
        <f>$I$9*$AH$9</f>
        <v>0</v>
      </c>
    </row>
    <row r="53" spans="1:34" ht="11.25" customHeight="1" x14ac:dyDescent="0.25">
      <c r="A53" s="9" t="s">
        <v>22</v>
      </c>
      <c r="B53" s="9" t="s">
        <v>985</v>
      </c>
      <c r="C53" s="9" t="s">
        <v>986</v>
      </c>
      <c r="D53" s="9" t="s">
        <v>987</v>
      </c>
      <c r="E53" s="9" t="s">
        <v>988</v>
      </c>
      <c r="F53" s="9" t="s">
        <v>989</v>
      </c>
      <c r="G53" s="9" t="s">
        <v>992</v>
      </c>
      <c r="L53" s="20">
        <f>$I$10*$L$10</f>
        <v>0</v>
      </c>
      <c r="M53" s="20">
        <f>$I$10*$M$10</f>
        <v>0</v>
      </c>
      <c r="N53" s="20">
        <f>$I$10*$N$10</f>
        <v>0</v>
      </c>
      <c r="O53" s="20">
        <f>$I$10*$O$10</f>
        <v>0</v>
      </c>
      <c r="P53" s="20">
        <f>$I$10*$P$10</f>
        <v>0</v>
      </c>
      <c r="Q53" s="20">
        <f>$I$10*$Q$10</f>
        <v>0</v>
      </c>
      <c r="R53" s="20">
        <f>$I$10*$R$10</f>
        <v>0</v>
      </c>
      <c r="S53" s="20">
        <f>$I$10*$S$10</f>
        <v>0</v>
      </c>
      <c r="T53" s="20">
        <f>$I$10*$T$10</f>
        <v>0</v>
      </c>
      <c r="U53" s="20">
        <f>$I$10*$U$10</f>
        <v>0</v>
      </c>
      <c r="V53" s="20">
        <f>$I$10*$V$10</f>
        <v>0</v>
      </c>
      <c r="X53" s="20">
        <f>$I$10*$X$10</f>
        <v>0</v>
      </c>
      <c r="Y53" s="20">
        <f>$I$10*$Y$10</f>
        <v>0</v>
      </c>
      <c r="Z53" s="20">
        <f>$I$10*$Z$10</f>
        <v>0</v>
      </c>
      <c r="AA53" s="20">
        <f>$I$10*$AA$10</f>
        <v>0</v>
      </c>
      <c r="AB53" s="20">
        <f>$I$10*$AB$10</f>
        <v>0</v>
      </c>
      <c r="AC53" s="20">
        <f>$I$10*$AC$10</f>
        <v>0</v>
      </c>
      <c r="AD53" s="20">
        <f>$I$10*$AD$10</f>
        <v>0</v>
      </c>
      <c r="AE53" s="20">
        <f>$I$10*$AE$10</f>
        <v>0</v>
      </c>
      <c r="AF53" s="20">
        <f>$I$10*$AF$10</f>
        <v>0</v>
      </c>
      <c r="AG53" s="20">
        <f>$I$10*$AG$10</f>
        <v>0</v>
      </c>
      <c r="AH53" s="20">
        <f>$I$10*$AH$10</f>
        <v>0</v>
      </c>
    </row>
    <row r="54" spans="1:34" ht="11.25" customHeight="1" x14ac:dyDescent="0.25">
      <c r="A54" s="9" t="s">
        <v>22</v>
      </c>
      <c r="B54" s="9" t="s">
        <v>993</v>
      </c>
      <c r="C54" s="9" t="s">
        <v>994</v>
      </c>
      <c r="D54" s="9" t="s">
        <v>995</v>
      </c>
      <c r="E54" s="9" t="s">
        <v>996</v>
      </c>
      <c r="F54" s="9" t="s">
        <v>997</v>
      </c>
      <c r="G54" s="9" t="s">
        <v>998</v>
      </c>
      <c r="L54" s="20">
        <f>$I$11*$L$11</f>
        <v>18927.79985479041</v>
      </c>
      <c r="M54" s="20">
        <f>$I$11*$M$11</f>
        <v>0</v>
      </c>
      <c r="N54" s="20">
        <f>$I$11*$N$11</f>
        <v>0</v>
      </c>
      <c r="O54" s="20">
        <f>$I$11*$O$11</f>
        <v>-66.226600439546729</v>
      </c>
      <c r="P54" s="20">
        <f>$I$11*$P$11</f>
        <v>0</v>
      </c>
      <c r="Q54" s="20">
        <f>$I$11*$Q$11</f>
        <v>1918979.5839233848</v>
      </c>
      <c r="R54" s="20">
        <f>$I$11*$R$11</f>
        <v>0</v>
      </c>
      <c r="S54" s="20">
        <f>$I$11*$S$11</f>
        <v>0</v>
      </c>
      <c r="T54" s="20">
        <f>$I$11*$T$11</f>
        <v>0</v>
      </c>
      <c r="U54" s="20">
        <f>$I$11*$U$11</f>
        <v>0</v>
      </c>
      <c r="V54" s="20">
        <f>$I$11*$V$11</f>
        <v>0</v>
      </c>
      <c r="X54" s="20">
        <f>$I$11*$X$11</f>
        <v>20894.914553545848</v>
      </c>
      <c r="Y54" s="20">
        <f>$I$11*$Y$11</f>
        <v>0</v>
      </c>
      <c r="Z54" s="20">
        <f>$I$11*$Z$11</f>
        <v>0</v>
      </c>
      <c r="AA54" s="20">
        <f>$I$11*$AA$11</f>
        <v>0</v>
      </c>
      <c r="AB54" s="20">
        <f>$I$11*$AB$11</f>
        <v>0</v>
      </c>
      <c r="AC54" s="20">
        <f>$I$11*$AC$11</f>
        <v>2119348.6202448839</v>
      </c>
      <c r="AD54" s="20">
        <f>$I$11*$AD$11</f>
        <v>0</v>
      </c>
      <c r="AE54" s="20">
        <f>$I$11*$AE$11</f>
        <v>0</v>
      </c>
      <c r="AF54" s="20">
        <f>$I$11*$AF$11</f>
        <v>0</v>
      </c>
      <c r="AG54" s="20">
        <f>$I$11*$AG$11</f>
        <v>0</v>
      </c>
      <c r="AH54" s="20">
        <f>$I$11*$AH$11</f>
        <v>0</v>
      </c>
    </row>
    <row r="55" spans="1:34" ht="11.25" customHeight="1" x14ac:dyDescent="0.25">
      <c r="A55" s="9" t="s">
        <v>22</v>
      </c>
      <c r="B55" s="9" t="s">
        <v>993</v>
      </c>
      <c r="C55" s="9" t="s">
        <v>994</v>
      </c>
      <c r="D55" s="9" t="s">
        <v>999</v>
      </c>
      <c r="E55" s="9" t="s">
        <v>1000</v>
      </c>
      <c r="F55" s="9" t="s">
        <v>1001</v>
      </c>
      <c r="G55" s="9" t="s">
        <v>1002</v>
      </c>
      <c r="L55" s="20">
        <f>$I$12*$L$12</f>
        <v>126.54479846318337</v>
      </c>
      <c r="M55" s="20">
        <f>$I$12*$M$12</f>
        <v>0</v>
      </c>
      <c r="N55" s="20">
        <f>$I$12*$N$12</f>
        <v>0</v>
      </c>
      <c r="O55" s="20">
        <f>$I$12*$O$12</f>
        <v>-0.44276840783495341</v>
      </c>
      <c r="P55" s="20">
        <f>$I$12*$P$12</f>
        <v>0</v>
      </c>
      <c r="Q55" s="20">
        <f>$I$12*$Q$12</f>
        <v>12829.641403942096</v>
      </c>
      <c r="R55" s="20">
        <f>$I$12*$R$12</f>
        <v>0</v>
      </c>
      <c r="S55" s="20">
        <f>$I$12*$S$12</f>
        <v>0</v>
      </c>
      <c r="T55" s="20">
        <f>$I$12*$T$12</f>
        <v>0</v>
      </c>
      <c r="U55" s="20">
        <f>$I$12*$U$12</f>
        <v>0</v>
      </c>
      <c r="V55" s="20">
        <f>$I$12*$V$12</f>
        <v>0</v>
      </c>
      <c r="X55" s="20">
        <f>$I$12*$X$12</f>
        <v>139.69625478762103</v>
      </c>
      <c r="Y55" s="20">
        <f>$I$12*$Y$12</f>
        <v>0</v>
      </c>
      <c r="Z55" s="20">
        <f>$I$12*$Z$12</f>
        <v>0</v>
      </c>
      <c r="AA55" s="20">
        <f>$I$12*$AA$12</f>
        <v>0</v>
      </c>
      <c r="AB55" s="20">
        <f>$I$12*$AB$12</f>
        <v>0</v>
      </c>
      <c r="AC55" s="20">
        <f>$I$12*$AC$12</f>
        <v>14169.240275131027</v>
      </c>
      <c r="AD55" s="20">
        <f>$I$12*$AD$12</f>
        <v>0</v>
      </c>
      <c r="AE55" s="20">
        <f>$I$12*$AE$12</f>
        <v>0</v>
      </c>
      <c r="AF55" s="20">
        <f>$I$12*$AF$12</f>
        <v>0</v>
      </c>
      <c r="AG55" s="20">
        <f>$I$12*$AG$12</f>
        <v>0</v>
      </c>
      <c r="AH55" s="20">
        <f>$I$12*$AH$12</f>
        <v>0</v>
      </c>
    </row>
    <row r="56" spans="1:34" ht="11.25" customHeight="1" x14ac:dyDescent="0.25">
      <c r="A56" s="9" t="s">
        <v>22</v>
      </c>
      <c r="B56" s="9" t="s">
        <v>993</v>
      </c>
      <c r="C56" s="9" t="s">
        <v>994</v>
      </c>
      <c r="D56" s="9" t="s">
        <v>1003</v>
      </c>
      <c r="E56" s="9" t="s">
        <v>1004</v>
      </c>
      <c r="F56" s="9" t="s">
        <v>1005</v>
      </c>
      <c r="G56" s="9" t="s">
        <v>1006</v>
      </c>
      <c r="L56" s="20">
        <f>$I$13*$L$13</f>
        <v>468.9610869590374</v>
      </c>
      <c r="M56" s="20">
        <f>$I$13*$M$13</f>
        <v>0</v>
      </c>
      <c r="N56" s="20">
        <f>$I$13*$N$13</f>
        <v>0</v>
      </c>
      <c r="O56" s="20">
        <f>$I$13*$O$13</f>
        <v>-1.6408509581672983</v>
      </c>
      <c r="P56" s="20">
        <f>$I$13*$P$13</f>
        <v>0</v>
      </c>
      <c r="Q56" s="20">
        <f>$I$13*$Q$13</f>
        <v>47545.238138237743</v>
      </c>
      <c r="R56" s="20">
        <f>$I$13*$R$13</f>
        <v>0</v>
      </c>
      <c r="S56" s="20">
        <f>$I$13*$S$13</f>
        <v>0</v>
      </c>
      <c r="T56" s="20">
        <f>$I$13*$T$13</f>
        <v>0</v>
      </c>
      <c r="U56" s="20">
        <f>$I$13*$U$13</f>
        <v>0</v>
      </c>
      <c r="V56" s="20">
        <f>$I$13*$V$13</f>
        <v>0</v>
      </c>
      <c r="X56" s="20">
        <f>$I$13*$X$13</f>
        <v>517.6989357517466</v>
      </c>
      <c r="Y56" s="20">
        <f>$I$13*$Y$13</f>
        <v>0</v>
      </c>
      <c r="Z56" s="20">
        <f>$I$13*$Z$13</f>
        <v>0</v>
      </c>
      <c r="AA56" s="20">
        <f>$I$13*$AA$13</f>
        <v>0</v>
      </c>
      <c r="AB56" s="20">
        <f>$I$13*$AB$13</f>
        <v>0</v>
      </c>
      <c r="AC56" s="20">
        <f>$I$13*$AC$13</f>
        <v>52509.644027307921</v>
      </c>
      <c r="AD56" s="20">
        <f>$I$13*$AD$13</f>
        <v>0</v>
      </c>
      <c r="AE56" s="20">
        <f>$I$13*$AE$13</f>
        <v>0</v>
      </c>
      <c r="AF56" s="20">
        <f>$I$13*$AF$13</f>
        <v>0</v>
      </c>
      <c r="AG56" s="20">
        <f>$I$13*$AG$13</f>
        <v>0</v>
      </c>
      <c r="AH56" s="20">
        <f>$I$13*$AH$13</f>
        <v>0</v>
      </c>
    </row>
    <row r="57" spans="1:34" ht="11.25" customHeight="1" x14ac:dyDescent="0.25">
      <c r="A57" s="9" t="s">
        <v>22</v>
      </c>
      <c r="B57" s="9" t="s">
        <v>993</v>
      </c>
      <c r="C57" s="9" t="s">
        <v>994</v>
      </c>
      <c r="D57" s="9" t="s">
        <v>1007</v>
      </c>
      <c r="E57" s="9" t="s">
        <v>1008</v>
      </c>
      <c r="F57" s="9" t="s">
        <v>1009</v>
      </c>
      <c r="G57" s="9" t="s">
        <v>1010</v>
      </c>
      <c r="L57" s="20">
        <f>$I$14*$L$14</f>
        <v>779.05437159973224</v>
      </c>
      <c r="M57" s="20">
        <f>$I$14*$M$14</f>
        <v>0</v>
      </c>
      <c r="N57" s="20">
        <f>$I$14*$N$14</f>
        <v>0</v>
      </c>
      <c r="O57" s="20">
        <f>$I$14*$O$14</f>
        <v>-2.725838342778109</v>
      </c>
      <c r="P57" s="20">
        <f>$I$14*$P$14</f>
        <v>0</v>
      </c>
      <c r="Q57" s="20">
        <f>$I$14*$Q$14</f>
        <v>78983.793432694365</v>
      </c>
      <c r="R57" s="20">
        <f>$I$14*$R$14</f>
        <v>0</v>
      </c>
      <c r="S57" s="20">
        <f>$I$14*$S$14</f>
        <v>0</v>
      </c>
      <c r="T57" s="20">
        <f>$I$14*$T$14</f>
        <v>0</v>
      </c>
      <c r="U57" s="20">
        <f>$I$14*$U$14</f>
        <v>0</v>
      </c>
      <c r="V57" s="20">
        <f>$I$14*$V$14</f>
        <v>0</v>
      </c>
      <c r="X57" s="20">
        <f>$I$14*$X$14</f>
        <v>860.01937108516881</v>
      </c>
      <c r="Y57" s="20">
        <f>$I$14*$Y$14</f>
        <v>0</v>
      </c>
      <c r="Z57" s="20">
        <f>$I$14*$Z$14</f>
        <v>0</v>
      </c>
      <c r="AA57" s="20">
        <f>$I$14*$AA$14</f>
        <v>0</v>
      </c>
      <c r="AB57" s="20">
        <f>$I$14*$AB$14</f>
        <v>0</v>
      </c>
      <c r="AC57" s="20">
        <f>$I$14*$AC$14</f>
        <v>87230.836135863181</v>
      </c>
      <c r="AD57" s="20">
        <f>$I$14*$AD$14</f>
        <v>0</v>
      </c>
      <c r="AE57" s="20">
        <f>$I$14*$AE$14</f>
        <v>0</v>
      </c>
      <c r="AF57" s="20">
        <f>$I$14*$AF$14</f>
        <v>0</v>
      </c>
      <c r="AG57" s="20">
        <f>$I$14*$AG$14</f>
        <v>0</v>
      </c>
      <c r="AH57" s="20">
        <f>$I$14*$AH$14</f>
        <v>0</v>
      </c>
    </row>
    <row r="58" spans="1:34" ht="11.25" customHeight="1" x14ac:dyDescent="0.25">
      <c r="A58" s="9" t="s">
        <v>22</v>
      </c>
      <c r="B58" s="9" t="s">
        <v>993</v>
      </c>
      <c r="C58" s="9" t="s">
        <v>994</v>
      </c>
      <c r="D58" s="9" t="s">
        <v>1011</v>
      </c>
      <c r="E58" s="9" t="s">
        <v>1012</v>
      </c>
      <c r="F58" s="9" t="s">
        <v>1013</v>
      </c>
      <c r="G58" s="9" t="s">
        <v>1014</v>
      </c>
      <c r="L58" s="20">
        <f>$I$15*$L$15</f>
        <v>310.68154832758682</v>
      </c>
      <c r="M58" s="20">
        <f>$I$15*$M$15</f>
        <v>0</v>
      </c>
      <c r="N58" s="20">
        <f>$I$15*$N$15</f>
        <v>0</v>
      </c>
      <c r="O58" s="20">
        <f>$I$15*$O$15</f>
        <v>-1.0870456642018762</v>
      </c>
      <c r="P58" s="20">
        <f>$I$15*$P$15</f>
        <v>0</v>
      </c>
      <c r="Q58" s="20">
        <f>$I$15*$Q$15</f>
        <v>31498.195929594858</v>
      </c>
      <c r="R58" s="20">
        <f>$I$15*$R$15</f>
        <v>0</v>
      </c>
      <c r="S58" s="20">
        <f>$I$15*$S$15</f>
        <v>0</v>
      </c>
      <c r="T58" s="20">
        <f>$I$15*$T$15</f>
        <v>0</v>
      </c>
      <c r="U58" s="20">
        <f>$I$15*$U$15</f>
        <v>0</v>
      </c>
      <c r="V58" s="20">
        <f>$I$15*$V$15</f>
        <v>0</v>
      </c>
      <c r="X58" s="20">
        <f>$I$15*$X$15</f>
        <v>342.96983566345585</v>
      </c>
      <c r="Y58" s="20">
        <f>$I$15*$Y$15</f>
        <v>0</v>
      </c>
      <c r="Z58" s="20">
        <f>$I$15*$Z$15</f>
        <v>0</v>
      </c>
      <c r="AA58" s="20">
        <f>$I$15*$AA$15</f>
        <v>0</v>
      </c>
      <c r="AB58" s="20">
        <f>$I$15*$AB$15</f>
        <v>0</v>
      </c>
      <c r="AC58" s="20">
        <f>$I$15*$AC$15</f>
        <v>34787.060082789874</v>
      </c>
      <c r="AD58" s="20">
        <f>$I$15*$AD$15</f>
        <v>0</v>
      </c>
      <c r="AE58" s="20">
        <f>$I$15*$AE$15</f>
        <v>0</v>
      </c>
      <c r="AF58" s="20">
        <f>$I$15*$AF$15</f>
        <v>0</v>
      </c>
      <c r="AG58" s="20">
        <f>$I$15*$AG$15</f>
        <v>0</v>
      </c>
      <c r="AH58" s="20">
        <f>$I$15*$AH$15</f>
        <v>0</v>
      </c>
    </row>
    <row r="59" spans="1:34" ht="11.25" customHeight="1" x14ac:dyDescent="0.25">
      <c r="A59" s="9" t="s">
        <v>22</v>
      </c>
      <c r="B59" s="9" t="s">
        <v>1015</v>
      </c>
      <c r="C59" s="9" t="s">
        <v>1016</v>
      </c>
      <c r="D59" s="9" t="s">
        <v>1017</v>
      </c>
      <c r="E59" s="9" t="s">
        <v>1018</v>
      </c>
      <c r="F59" s="9" t="s">
        <v>1019</v>
      </c>
      <c r="G59" s="9" t="s">
        <v>1020</v>
      </c>
      <c r="L59" s="20">
        <f>$I$16*$L$16</f>
        <v>0</v>
      </c>
      <c r="M59" s="20">
        <f>$I$16*$M$16</f>
        <v>0</v>
      </c>
      <c r="N59" s="20">
        <f>$I$16*$N$16</f>
        <v>0</v>
      </c>
      <c r="O59" s="20">
        <f>$I$16*$O$16</f>
        <v>0</v>
      </c>
      <c r="P59" s="20">
        <f>$I$16*$P$16</f>
        <v>0</v>
      </c>
      <c r="Q59" s="20">
        <f>$I$16*$Q$16</f>
        <v>0</v>
      </c>
      <c r="R59" s="20">
        <f>$I$16*$R$16</f>
        <v>0</v>
      </c>
      <c r="S59" s="20">
        <f>$I$16*$S$16</f>
        <v>0</v>
      </c>
      <c r="T59" s="20">
        <f>$I$16*$T$16</f>
        <v>0</v>
      </c>
      <c r="U59" s="20">
        <f>$I$16*$U$16</f>
        <v>0</v>
      </c>
      <c r="V59" s="20">
        <f>$I$16*$V$16</f>
        <v>0</v>
      </c>
      <c r="X59" s="20">
        <f>$I$16*$X$16</f>
        <v>0</v>
      </c>
      <c r="Y59" s="20">
        <f>$I$16*$Y$16</f>
        <v>0</v>
      </c>
      <c r="Z59" s="20">
        <f>$I$16*$Z$16</f>
        <v>0</v>
      </c>
      <c r="AA59" s="20">
        <f>$I$16*$AA$16</f>
        <v>0</v>
      </c>
      <c r="AB59" s="20">
        <f>$I$16*$AB$16</f>
        <v>0</v>
      </c>
      <c r="AC59" s="20">
        <f>$I$16*$AC$16</f>
        <v>0</v>
      </c>
      <c r="AD59" s="20">
        <f>$I$16*$AD$16</f>
        <v>0</v>
      </c>
      <c r="AE59" s="20">
        <f>$I$16*$AE$16</f>
        <v>0</v>
      </c>
      <c r="AF59" s="20">
        <f>$I$16*$AF$16</f>
        <v>0</v>
      </c>
      <c r="AG59" s="20">
        <f>$I$16*$AG$16</f>
        <v>0</v>
      </c>
      <c r="AH59" s="20">
        <f>$I$16*$AH$16</f>
        <v>0</v>
      </c>
    </row>
    <row r="60" spans="1:34" ht="11.25" customHeight="1" x14ac:dyDescent="0.25">
      <c r="A60" s="9" t="s">
        <v>22</v>
      </c>
      <c r="B60" s="9" t="s">
        <v>1015</v>
      </c>
      <c r="C60" s="9" t="s">
        <v>1016</v>
      </c>
      <c r="D60" s="9" t="s">
        <v>1021</v>
      </c>
      <c r="E60" s="9" t="s">
        <v>1022</v>
      </c>
      <c r="F60" s="9" t="s">
        <v>1023</v>
      </c>
      <c r="G60" s="9" t="s">
        <v>1024</v>
      </c>
      <c r="L60" s="20">
        <f>$I$17*$L$17</f>
        <v>0</v>
      </c>
      <c r="M60" s="20">
        <f>$I$17*$M$17</f>
        <v>0</v>
      </c>
      <c r="N60" s="20">
        <f>$I$17*$N$17</f>
        <v>0</v>
      </c>
      <c r="O60" s="20">
        <f>$I$17*$O$17</f>
        <v>0</v>
      </c>
      <c r="P60" s="20">
        <f>$I$17*$P$17</f>
        <v>0</v>
      </c>
      <c r="Q60" s="20">
        <f>$I$17*$Q$17</f>
        <v>0</v>
      </c>
      <c r="R60" s="20">
        <f>$I$17*$R$17</f>
        <v>0</v>
      </c>
      <c r="S60" s="20">
        <f>$I$17*$S$17</f>
        <v>0</v>
      </c>
      <c r="T60" s="20">
        <f>$I$17*$T$17</f>
        <v>0</v>
      </c>
      <c r="U60" s="20">
        <f>$I$17*$U$17</f>
        <v>0</v>
      </c>
      <c r="V60" s="20">
        <f>$I$17*$V$17</f>
        <v>0</v>
      </c>
      <c r="X60" s="20">
        <f>$I$17*$X$17</f>
        <v>0</v>
      </c>
      <c r="Y60" s="20">
        <f>$I$17*$Y$17</f>
        <v>0</v>
      </c>
      <c r="Z60" s="20">
        <f>$I$17*$Z$17</f>
        <v>0</v>
      </c>
      <c r="AA60" s="20">
        <f>$I$17*$AA$17</f>
        <v>0</v>
      </c>
      <c r="AB60" s="20">
        <f>$I$17*$AB$17</f>
        <v>0</v>
      </c>
      <c r="AC60" s="20">
        <f>$I$17*$AC$17</f>
        <v>0</v>
      </c>
      <c r="AD60" s="20">
        <f>$I$17*$AD$17</f>
        <v>0</v>
      </c>
      <c r="AE60" s="20">
        <f>$I$17*$AE$17</f>
        <v>0</v>
      </c>
      <c r="AF60" s="20">
        <f>$I$17*$AF$17</f>
        <v>0</v>
      </c>
      <c r="AG60" s="20">
        <f>$I$17*$AG$17</f>
        <v>0</v>
      </c>
      <c r="AH60" s="20">
        <f>$I$17*$AH$17</f>
        <v>0</v>
      </c>
    </row>
    <row r="61" spans="1:34" ht="11.25" customHeight="1" x14ac:dyDescent="0.25">
      <c r="A61" s="9" t="s">
        <v>22</v>
      </c>
      <c r="B61" s="9" t="s">
        <v>1015</v>
      </c>
      <c r="C61" s="9" t="s">
        <v>1016</v>
      </c>
      <c r="D61" s="9" t="s">
        <v>1025</v>
      </c>
      <c r="E61" s="9" t="s">
        <v>1026</v>
      </c>
      <c r="F61" s="9" t="s">
        <v>1027</v>
      </c>
      <c r="G61" s="9" t="s">
        <v>1028</v>
      </c>
      <c r="L61" s="20">
        <f>$I$18*$L$18</f>
        <v>0</v>
      </c>
      <c r="M61" s="20">
        <f>$I$18*$M$18</f>
        <v>0</v>
      </c>
      <c r="N61" s="20">
        <f>$I$18*$N$18</f>
        <v>0</v>
      </c>
      <c r="O61" s="20">
        <f>$I$18*$O$18</f>
        <v>0</v>
      </c>
      <c r="P61" s="20">
        <f>$I$18*$P$18</f>
        <v>0</v>
      </c>
      <c r="Q61" s="20">
        <f>$I$18*$Q$18</f>
        <v>0</v>
      </c>
      <c r="R61" s="20">
        <f>$I$18*$R$18</f>
        <v>0</v>
      </c>
      <c r="S61" s="20">
        <f>$I$18*$S$18</f>
        <v>0</v>
      </c>
      <c r="T61" s="20">
        <f>$I$18*$T$18</f>
        <v>0</v>
      </c>
      <c r="U61" s="20">
        <f>$I$18*$U$18</f>
        <v>0</v>
      </c>
      <c r="V61" s="20">
        <f>$I$18*$V$18</f>
        <v>0</v>
      </c>
      <c r="X61" s="20">
        <f>$I$18*$X$18</f>
        <v>0</v>
      </c>
      <c r="Y61" s="20">
        <f>$I$18*$Y$18</f>
        <v>0</v>
      </c>
      <c r="Z61" s="20">
        <f>$I$18*$Z$18</f>
        <v>0</v>
      </c>
      <c r="AA61" s="20">
        <f>$I$18*$AA$18</f>
        <v>0</v>
      </c>
      <c r="AB61" s="20">
        <f>$I$18*$AB$18</f>
        <v>0</v>
      </c>
      <c r="AC61" s="20">
        <f>$I$18*$AC$18</f>
        <v>0</v>
      </c>
      <c r="AD61" s="20">
        <f>$I$18*$AD$18</f>
        <v>0</v>
      </c>
      <c r="AE61" s="20">
        <f>$I$18*$AE$18</f>
        <v>0</v>
      </c>
      <c r="AF61" s="20">
        <f>$I$18*$AF$18</f>
        <v>0</v>
      </c>
      <c r="AG61" s="20">
        <f>$I$18*$AG$18</f>
        <v>0</v>
      </c>
      <c r="AH61" s="20">
        <f>$I$18*$AH$18</f>
        <v>0</v>
      </c>
    </row>
    <row r="62" spans="1:34" ht="11.25" customHeight="1" x14ac:dyDescent="0.25">
      <c r="A62" s="9" t="s">
        <v>22</v>
      </c>
      <c r="B62" s="9" t="s">
        <v>1015</v>
      </c>
      <c r="C62" s="9" t="s">
        <v>1016</v>
      </c>
      <c r="D62" s="9" t="s">
        <v>1029</v>
      </c>
      <c r="E62" s="9" t="s">
        <v>1030</v>
      </c>
      <c r="F62" s="9" t="s">
        <v>1031</v>
      </c>
      <c r="G62" s="9" t="s">
        <v>1032</v>
      </c>
      <c r="L62" s="20">
        <f>$I$19*$L$19</f>
        <v>0</v>
      </c>
      <c r="M62" s="20">
        <f>$I$19*$M$19</f>
        <v>0</v>
      </c>
      <c r="N62" s="20">
        <f>$I$19*$N$19</f>
        <v>0</v>
      </c>
      <c r="O62" s="20">
        <f>$I$19*$O$19</f>
        <v>0</v>
      </c>
      <c r="P62" s="20">
        <f>$I$19*$P$19</f>
        <v>0</v>
      </c>
      <c r="Q62" s="20">
        <f>$I$19*$Q$19</f>
        <v>0</v>
      </c>
      <c r="R62" s="20">
        <f>$I$19*$R$19</f>
        <v>0</v>
      </c>
      <c r="S62" s="20">
        <f>$I$19*$S$19</f>
        <v>0</v>
      </c>
      <c r="T62" s="20">
        <f>$I$19*$T$19</f>
        <v>0</v>
      </c>
      <c r="U62" s="20">
        <f>$I$19*$U$19</f>
        <v>0</v>
      </c>
      <c r="V62" s="20">
        <f>$I$19*$V$19</f>
        <v>0</v>
      </c>
      <c r="X62" s="20">
        <f>$I$19*$X$19</f>
        <v>0</v>
      </c>
      <c r="Y62" s="20">
        <f>$I$19*$Y$19</f>
        <v>0</v>
      </c>
      <c r="Z62" s="20">
        <f>$I$19*$Z$19</f>
        <v>0</v>
      </c>
      <c r="AA62" s="20">
        <f>$I$19*$AA$19</f>
        <v>0</v>
      </c>
      <c r="AB62" s="20">
        <f>$I$19*$AB$19</f>
        <v>0</v>
      </c>
      <c r="AC62" s="20">
        <f>$I$19*$AC$19</f>
        <v>0</v>
      </c>
      <c r="AD62" s="20">
        <f>$I$19*$AD$19</f>
        <v>0</v>
      </c>
      <c r="AE62" s="20">
        <f>$I$19*$AE$19</f>
        <v>0</v>
      </c>
      <c r="AF62" s="20">
        <f>$I$19*$AF$19</f>
        <v>0</v>
      </c>
      <c r="AG62" s="20">
        <f>$I$19*$AG$19</f>
        <v>0</v>
      </c>
      <c r="AH62" s="20">
        <f>$I$19*$AH$19</f>
        <v>0</v>
      </c>
    </row>
    <row r="63" spans="1:34" ht="11.25" customHeight="1" x14ac:dyDescent="0.25">
      <c r="A63" s="9" t="s">
        <v>22</v>
      </c>
      <c r="B63" s="9" t="s">
        <v>1015</v>
      </c>
      <c r="C63" s="9" t="s">
        <v>1016</v>
      </c>
      <c r="D63" s="9" t="s">
        <v>1033</v>
      </c>
      <c r="E63" s="9" t="s">
        <v>1034</v>
      </c>
      <c r="F63" s="9" t="s">
        <v>1035</v>
      </c>
      <c r="G63" s="9" t="s">
        <v>1036</v>
      </c>
      <c r="L63" s="20">
        <f>$I$20*$L$20</f>
        <v>0</v>
      </c>
      <c r="M63" s="20">
        <f>$I$20*$M$20</f>
        <v>0</v>
      </c>
      <c r="N63" s="20">
        <f>$I$20*$N$20</f>
        <v>0</v>
      </c>
      <c r="O63" s="20">
        <f>$I$20*$O$20</f>
        <v>0</v>
      </c>
      <c r="P63" s="20">
        <f>$I$20*$P$20</f>
        <v>0</v>
      </c>
      <c r="Q63" s="20">
        <f>$I$20*$Q$20</f>
        <v>0</v>
      </c>
      <c r="R63" s="20">
        <f>$I$20*$R$20</f>
        <v>0</v>
      </c>
      <c r="S63" s="20">
        <f>$I$20*$S$20</f>
        <v>0</v>
      </c>
      <c r="T63" s="20">
        <f>$I$20*$T$20</f>
        <v>0</v>
      </c>
      <c r="U63" s="20">
        <f>$I$20*$U$20</f>
        <v>0</v>
      </c>
      <c r="V63" s="20">
        <f>$I$20*$V$20</f>
        <v>0</v>
      </c>
      <c r="X63" s="20">
        <f>$I$20*$X$20</f>
        <v>0</v>
      </c>
      <c r="Y63" s="20">
        <f>$I$20*$Y$20</f>
        <v>0</v>
      </c>
      <c r="Z63" s="20">
        <f>$I$20*$Z$20</f>
        <v>0</v>
      </c>
      <c r="AA63" s="20">
        <f>$I$20*$AA$20</f>
        <v>0</v>
      </c>
      <c r="AB63" s="20">
        <f>$I$20*$AB$20</f>
        <v>0</v>
      </c>
      <c r="AC63" s="20">
        <f>$I$20*$AC$20</f>
        <v>0</v>
      </c>
      <c r="AD63" s="20">
        <f>$I$20*$AD$20</f>
        <v>0</v>
      </c>
      <c r="AE63" s="20">
        <f>$I$20*$AE$20</f>
        <v>0</v>
      </c>
      <c r="AF63" s="20">
        <f>$I$20*$AF$20</f>
        <v>0</v>
      </c>
      <c r="AG63" s="20">
        <f>$I$20*$AG$20</f>
        <v>0</v>
      </c>
      <c r="AH63" s="20">
        <f>$I$20*$AH$20</f>
        <v>0</v>
      </c>
    </row>
    <row r="64" spans="1:34" ht="11.25" customHeight="1" x14ac:dyDescent="0.25">
      <c r="A64" s="9" t="s">
        <v>41</v>
      </c>
      <c r="B64" s="9" t="s">
        <v>1037</v>
      </c>
      <c r="C64" s="9" t="s">
        <v>1038</v>
      </c>
      <c r="D64" s="9" t="s">
        <v>1039</v>
      </c>
      <c r="E64" s="9" t="s">
        <v>1040</v>
      </c>
      <c r="F64" s="9" t="s">
        <v>1041</v>
      </c>
      <c r="G64" s="9" t="s">
        <v>1042</v>
      </c>
      <c r="L64" s="20">
        <f>$I$21*$L$21</f>
        <v>0</v>
      </c>
      <c r="M64" s="20">
        <f>$I$21*$M$21</f>
        <v>0</v>
      </c>
      <c r="N64" s="20">
        <f>$I$21*$N$21</f>
        <v>0</v>
      </c>
      <c r="O64" s="20">
        <f>$I$21*$O$21</f>
        <v>0</v>
      </c>
      <c r="P64" s="20">
        <f>$I$21*$P$21</f>
        <v>0</v>
      </c>
      <c r="Q64" s="20">
        <f>$I$21*$Q$21</f>
        <v>0</v>
      </c>
      <c r="R64" s="20">
        <f>$I$21*$R$21</f>
        <v>0</v>
      </c>
      <c r="S64" s="20">
        <f>$I$21*$S$21</f>
        <v>0</v>
      </c>
      <c r="T64" s="20">
        <f>$I$21*$T$21</f>
        <v>0</v>
      </c>
      <c r="U64" s="20">
        <f>$I$21*$U$21</f>
        <v>0</v>
      </c>
      <c r="V64" s="20">
        <f>$I$21*$V$21</f>
        <v>0</v>
      </c>
      <c r="X64" s="20">
        <f>$I$21*$X$21</f>
        <v>0</v>
      </c>
      <c r="Y64" s="20">
        <f>$I$21*$Y$21</f>
        <v>0</v>
      </c>
      <c r="Z64" s="20">
        <f>$I$21*$Z$21</f>
        <v>0</v>
      </c>
      <c r="AA64" s="20">
        <f>$I$21*$AA$21</f>
        <v>0</v>
      </c>
      <c r="AB64" s="20">
        <f>$I$21*$AB$21</f>
        <v>0</v>
      </c>
      <c r="AC64" s="20">
        <f>$I$21*$AC$21</f>
        <v>0</v>
      </c>
      <c r="AD64" s="20">
        <f>$I$21*$AD$21</f>
        <v>0</v>
      </c>
      <c r="AE64" s="20">
        <f>$I$21*$AE$21</f>
        <v>0</v>
      </c>
      <c r="AF64" s="20">
        <f>$I$21*$AF$21</f>
        <v>0</v>
      </c>
      <c r="AG64" s="20">
        <f>$I$21*$AG$21</f>
        <v>0</v>
      </c>
      <c r="AH64" s="20">
        <f>$I$21*$AH$21</f>
        <v>0</v>
      </c>
    </row>
    <row r="65" spans="1:34" ht="11.25" customHeight="1" x14ac:dyDescent="0.25">
      <c r="A65" s="9" t="s">
        <v>41</v>
      </c>
      <c r="B65" s="9" t="s">
        <v>1037</v>
      </c>
      <c r="C65" s="9" t="s">
        <v>1038</v>
      </c>
      <c r="D65" s="9" t="s">
        <v>1039</v>
      </c>
      <c r="E65" s="9" t="s">
        <v>1040</v>
      </c>
      <c r="F65" s="9" t="s">
        <v>1041</v>
      </c>
      <c r="G65" s="9" t="s">
        <v>1043</v>
      </c>
      <c r="L65" s="20">
        <f>$I$22*$L$22</f>
        <v>0</v>
      </c>
      <c r="M65" s="20">
        <f>$I$22*$M$22</f>
        <v>0</v>
      </c>
      <c r="N65" s="20">
        <f>$I$22*$N$22</f>
        <v>0</v>
      </c>
      <c r="O65" s="20">
        <f>$I$22*$O$22</f>
        <v>0</v>
      </c>
      <c r="P65" s="20">
        <f>$I$22*$P$22</f>
        <v>0</v>
      </c>
      <c r="Q65" s="20">
        <f>$I$22*$Q$22</f>
        <v>0</v>
      </c>
      <c r="R65" s="20">
        <f>$I$22*$R$22</f>
        <v>0</v>
      </c>
      <c r="S65" s="20">
        <f>$I$22*$S$22</f>
        <v>0</v>
      </c>
      <c r="T65" s="20">
        <f>$I$22*$T$22</f>
        <v>0</v>
      </c>
      <c r="U65" s="20">
        <f>$I$22*$U$22</f>
        <v>0</v>
      </c>
      <c r="V65" s="20">
        <f>$I$22*$V$22</f>
        <v>0</v>
      </c>
      <c r="X65" s="20">
        <f>$I$22*$X$22</f>
        <v>0</v>
      </c>
      <c r="Y65" s="20">
        <f>$I$22*$Y$22</f>
        <v>0</v>
      </c>
      <c r="Z65" s="20">
        <f>$I$22*$Z$22</f>
        <v>0</v>
      </c>
      <c r="AA65" s="20">
        <f>$I$22*$AA$22</f>
        <v>0</v>
      </c>
      <c r="AB65" s="20">
        <f>$I$22*$AB$22</f>
        <v>0</v>
      </c>
      <c r="AC65" s="20">
        <f>$I$22*$AC$22</f>
        <v>0</v>
      </c>
      <c r="AD65" s="20">
        <f>$I$22*$AD$22</f>
        <v>0</v>
      </c>
      <c r="AE65" s="20">
        <f>$I$22*$AE$22</f>
        <v>0</v>
      </c>
      <c r="AF65" s="20">
        <f>$I$22*$AF$22</f>
        <v>0</v>
      </c>
      <c r="AG65" s="20">
        <f>$I$22*$AG$22</f>
        <v>0</v>
      </c>
      <c r="AH65" s="20">
        <f>$I$22*$AH$22</f>
        <v>0</v>
      </c>
    </row>
    <row r="66" spans="1:34" ht="11.25" customHeight="1" x14ac:dyDescent="0.25">
      <c r="A66" s="9" t="s">
        <v>41</v>
      </c>
      <c r="B66" s="9" t="s">
        <v>1037</v>
      </c>
      <c r="C66" s="9" t="s">
        <v>1038</v>
      </c>
      <c r="D66" s="9" t="s">
        <v>1039</v>
      </c>
      <c r="E66" s="9" t="s">
        <v>1040</v>
      </c>
      <c r="F66" s="9" t="s">
        <v>1041</v>
      </c>
      <c r="G66" s="9" t="s">
        <v>1044</v>
      </c>
      <c r="L66" s="20">
        <f>$I$23*$L$23</f>
        <v>0</v>
      </c>
      <c r="M66" s="20">
        <f>$I$23*$M$23</f>
        <v>0</v>
      </c>
      <c r="N66" s="20">
        <f>$I$23*$N$23</f>
        <v>0</v>
      </c>
      <c r="O66" s="20">
        <f>$I$23*$O$23</f>
        <v>0</v>
      </c>
      <c r="P66" s="20">
        <f>$I$23*$P$23</f>
        <v>0</v>
      </c>
      <c r="Q66" s="20">
        <f>$I$23*$Q$23</f>
        <v>0</v>
      </c>
      <c r="R66" s="20">
        <f>$I$23*$R$23</f>
        <v>0</v>
      </c>
      <c r="S66" s="20">
        <f>$I$23*$S$23</f>
        <v>0</v>
      </c>
      <c r="T66" s="20">
        <f>$I$23*$T$23</f>
        <v>0</v>
      </c>
      <c r="U66" s="20">
        <f>$I$23*$U$23</f>
        <v>0</v>
      </c>
      <c r="V66" s="20">
        <f>$I$23*$V$23</f>
        <v>0</v>
      </c>
      <c r="X66" s="20">
        <f>$I$23*$X$23</f>
        <v>0</v>
      </c>
      <c r="Y66" s="20">
        <f>$I$23*$Y$23</f>
        <v>0</v>
      </c>
      <c r="Z66" s="20">
        <f>$I$23*$Z$23</f>
        <v>0</v>
      </c>
      <c r="AA66" s="20">
        <f>$I$23*$AA$23</f>
        <v>0</v>
      </c>
      <c r="AB66" s="20">
        <f>$I$23*$AB$23</f>
        <v>0</v>
      </c>
      <c r="AC66" s="20">
        <f>$I$23*$AC$23</f>
        <v>0</v>
      </c>
      <c r="AD66" s="20">
        <f>$I$23*$AD$23</f>
        <v>0</v>
      </c>
      <c r="AE66" s="20">
        <f>$I$23*$AE$23</f>
        <v>0</v>
      </c>
      <c r="AF66" s="20">
        <f>$I$23*$AF$23</f>
        <v>0</v>
      </c>
      <c r="AG66" s="20">
        <f>$I$23*$AG$23</f>
        <v>0</v>
      </c>
      <c r="AH66" s="20">
        <f>$I$23*$AH$23</f>
        <v>0</v>
      </c>
    </row>
    <row r="67" spans="1:34" ht="11.25" customHeight="1" x14ac:dyDescent="0.25">
      <c r="A67" s="9" t="s">
        <v>41</v>
      </c>
      <c r="B67" s="9" t="s">
        <v>1045</v>
      </c>
      <c r="C67" s="9" t="s">
        <v>1046</v>
      </c>
      <c r="D67" s="9" t="s">
        <v>1047</v>
      </c>
      <c r="E67" s="9" t="s">
        <v>1048</v>
      </c>
      <c r="F67" s="9" t="s">
        <v>1049</v>
      </c>
      <c r="G67" s="9" t="s">
        <v>1050</v>
      </c>
      <c r="L67" s="20">
        <f>$I$24*$L$24</f>
        <v>31.582921030550324</v>
      </c>
      <c r="M67" s="20">
        <f>$I$24*$M$24</f>
        <v>0</v>
      </c>
      <c r="N67" s="20">
        <f>$I$24*$N$24</f>
        <v>0</v>
      </c>
      <c r="O67" s="20">
        <f>$I$24*$O$24</f>
        <v>-0.11050568517474289</v>
      </c>
      <c r="P67" s="20">
        <f>$I$24*$P$24</f>
        <v>0</v>
      </c>
      <c r="Q67" s="20">
        <f>$I$24*$Q$24</f>
        <v>3202.0087449810835</v>
      </c>
      <c r="R67" s="20">
        <f>$I$24*$R$24</f>
        <v>0</v>
      </c>
      <c r="S67" s="20">
        <f>$I$24*$S$24</f>
        <v>0</v>
      </c>
      <c r="T67" s="20">
        <f>$I$24*$T$24</f>
        <v>0</v>
      </c>
      <c r="U67" s="20">
        <f>$I$24*$U$24</f>
        <v>0</v>
      </c>
      <c r="V67" s="20">
        <f>$I$24*$V$24</f>
        <v>0</v>
      </c>
      <c r="X67" s="20">
        <f>$I$24*$X$24</f>
        <v>32.639806650816368</v>
      </c>
      <c r="Y67" s="20">
        <f>$I$24*$Y$24</f>
        <v>0</v>
      </c>
      <c r="Z67" s="20">
        <f>$I$24*$Z$24</f>
        <v>0</v>
      </c>
      <c r="AA67" s="20">
        <f>$I$24*$AA$24</f>
        <v>0</v>
      </c>
      <c r="AB67" s="20">
        <f>$I$24*$AB$24</f>
        <v>0</v>
      </c>
      <c r="AC67" s="20">
        <f>$I$24*$AC$24</f>
        <v>3310.6203432034913</v>
      </c>
      <c r="AD67" s="20">
        <f>$I$24*$AD$24</f>
        <v>0</v>
      </c>
      <c r="AE67" s="20">
        <f>$I$24*$AE$24</f>
        <v>0</v>
      </c>
      <c r="AF67" s="20">
        <f>$I$24*$AF$24</f>
        <v>0</v>
      </c>
      <c r="AG67" s="20">
        <f>$I$24*$AG$24</f>
        <v>0</v>
      </c>
      <c r="AH67" s="20">
        <f>$I$24*$AH$24</f>
        <v>0</v>
      </c>
    </row>
    <row r="68" spans="1:34" ht="11.25" customHeight="1" x14ac:dyDescent="0.25">
      <c r="A68" s="9" t="s">
        <v>41</v>
      </c>
      <c r="B68" s="9" t="s">
        <v>1037</v>
      </c>
      <c r="C68" s="9" t="s">
        <v>1038</v>
      </c>
      <c r="D68" s="9" t="s">
        <v>1051</v>
      </c>
      <c r="E68" s="9" t="s">
        <v>1052</v>
      </c>
      <c r="F68" s="9" t="s">
        <v>1053</v>
      </c>
      <c r="G68" s="9" t="s">
        <v>1054</v>
      </c>
      <c r="L68" s="20">
        <f>$I$25*$L$25</f>
        <v>0</v>
      </c>
      <c r="M68" s="20">
        <f>$I$25*$M$25</f>
        <v>0</v>
      </c>
      <c r="N68" s="20">
        <f>$I$25*$N$25</f>
        <v>0</v>
      </c>
      <c r="O68" s="20">
        <f>$I$25*$O$25</f>
        <v>0</v>
      </c>
      <c r="P68" s="20">
        <f>$I$25*$P$25</f>
        <v>0</v>
      </c>
      <c r="Q68" s="20">
        <f>$I$25*$Q$25</f>
        <v>0</v>
      </c>
      <c r="R68" s="20">
        <f>$I$25*$R$25</f>
        <v>0</v>
      </c>
      <c r="S68" s="20">
        <f>$I$25*$S$25</f>
        <v>0</v>
      </c>
      <c r="T68" s="20">
        <f>$I$25*$T$25</f>
        <v>0</v>
      </c>
      <c r="U68" s="20">
        <f>$I$25*$U$25</f>
        <v>0</v>
      </c>
      <c r="V68" s="20">
        <f>$I$25*$V$25</f>
        <v>0</v>
      </c>
      <c r="X68" s="20">
        <f>$I$25*$X$25</f>
        <v>0</v>
      </c>
      <c r="Y68" s="20">
        <f>$I$25*$Y$25</f>
        <v>0</v>
      </c>
      <c r="Z68" s="20">
        <f>$I$25*$Z$25</f>
        <v>0</v>
      </c>
      <c r="AA68" s="20">
        <f>$I$25*$AA$25</f>
        <v>0</v>
      </c>
      <c r="AB68" s="20">
        <f>$I$25*$AB$25</f>
        <v>0</v>
      </c>
      <c r="AC68" s="20">
        <f>$I$25*$AC$25</f>
        <v>0</v>
      </c>
      <c r="AD68" s="20">
        <f>$I$25*$AD$25</f>
        <v>0</v>
      </c>
      <c r="AE68" s="20">
        <f>$I$25*$AE$25</f>
        <v>0</v>
      </c>
      <c r="AF68" s="20">
        <f>$I$25*$AF$25</f>
        <v>0</v>
      </c>
      <c r="AG68" s="20">
        <f>$I$25*$AG$25</f>
        <v>0</v>
      </c>
      <c r="AH68" s="20">
        <f>$I$25*$AH$25</f>
        <v>0</v>
      </c>
    </row>
    <row r="69" spans="1:34" ht="11.25" customHeight="1" x14ac:dyDescent="0.25">
      <c r="A69" s="9" t="s">
        <v>41</v>
      </c>
      <c r="B69" s="9" t="s">
        <v>1037</v>
      </c>
      <c r="C69" s="9" t="s">
        <v>1038</v>
      </c>
      <c r="D69" s="9" t="s">
        <v>1051</v>
      </c>
      <c r="E69" s="9" t="s">
        <v>1052</v>
      </c>
      <c r="F69" s="9" t="s">
        <v>1053</v>
      </c>
      <c r="G69" s="9" t="s">
        <v>1055</v>
      </c>
      <c r="L69" s="20">
        <f>$I$26*$L$26</f>
        <v>0</v>
      </c>
      <c r="M69" s="20">
        <f>$I$26*$M$26</f>
        <v>0</v>
      </c>
      <c r="N69" s="20">
        <f>$I$26*$N$26</f>
        <v>0</v>
      </c>
      <c r="O69" s="20">
        <f>$I$26*$O$26</f>
        <v>0</v>
      </c>
      <c r="P69" s="20">
        <f>$I$26*$P$26</f>
        <v>0</v>
      </c>
      <c r="Q69" s="20">
        <f>$I$26*$Q$26</f>
        <v>0</v>
      </c>
      <c r="R69" s="20">
        <f>$I$26*$R$26</f>
        <v>0</v>
      </c>
      <c r="S69" s="20">
        <f>$I$26*$S$26</f>
        <v>0</v>
      </c>
      <c r="T69" s="20">
        <f>$I$26*$T$26</f>
        <v>0</v>
      </c>
      <c r="U69" s="20">
        <f>$I$26*$U$26</f>
        <v>0</v>
      </c>
      <c r="V69" s="20">
        <f>$I$26*$V$26</f>
        <v>0</v>
      </c>
      <c r="X69" s="20">
        <f>$I$26*$X$26</f>
        <v>0</v>
      </c>
      <c r="Y69" s="20">
        <f>$I$26*$Y$26</f>
        <v>0</v>
      </c>
      <c r="Z69" s="20">
        <f>$I$26*$Z$26</f>
        <v>0</v>
      </c>
      <c r="AA69" s="20">
        <f>$I$26*$AA$26</f>
        <v>0</v>
      </c>
      <c r="AB69" s="20">
        <f>$I$26*$AB$26</f>
        <v>0</v>
      </c>
      <c r="AC69" s="20">
        <f>$I$26*$AC$26</f>
        <v>0</v>
      </c>
      <c r="AD69" s="20">
        <f>$I$26*$AD$26</f>
        <v>0</v>
      </c>
      <c r="AE69" s="20">
        <f>$I$26*$AE$26</f>
        <v>0</v>
      </c>
      <c r="AF69" s="20">
        <f>$I$26*$AF$26</f>
        <v>0</v>
      </c>
      <c r="AG69" s="20">
        <f>$I$26*$AG$26</f>
        <v>0</v>
      </c>
      <c r="AH69" s="20">
        <f>$I$26*$AH$26</f>
        <v>0</v>
      </c>
    </row>
    <row r="70" spans="1:34" ht="11.25" customHeight="1" x14ac:dyDescent="0.25">
      <c r="A70" s="9" t="s">
        <v>41</v>
      </c>
      <c r="B70" s="9" t="s">
        <v>1037</v>
      </c>
      <c r="C70" s="9" t="s">
        <v>1038</v>
      </c>
      <c r="D70" s="9" t="s">
        <v>1051</v>
      </c>
      <c r="E70" s="9" t="s">
        <v>1052</v>
      </c>
      <c r="F70" s="9" t="s">
        <v>1053</v>
      </c>
      <c r="G70" s="9" t="s">
        <v>1056</v>
      </c>
      <c r="L70" s="20">
        <f>$I$27*$L$27</f>
        <v>0</v>
      </c>
      <c r="M70" s="20">
        <f>$I$27*$M$27</f>
        <v>0</v>
      </c>
      <c r="N70" s="20">
        <f>$I$27*$N$27</f>
        <v>0</v>
      </c>
      <c r="O70" s="20">
        <f>$I$27*$O$27</f>
        <v>0</v>
      </c>
      <c r="P70" s="20">
        <f>$I$27*$P$27</f>
        <v>0</v>
      </c>
      <c r="Q70" s="20">
        <f>$I$27*$Q$27</f>
        <v>0</v>
      </c>
      <c r="R70" s="20">
        <f>$I$27*$R$27</f>
        <v>0</v>
      </c>
      <c r="S70" s="20">
        <f>$I$27*$S$27</f>
        <v>0</v>
      </c>
      <c r="T70" s="20">
        <f>$I$27*$T$27</f>
        <v>0</v>
      </c>
      <c r="U70" s="20">
        <f>$I$27*$U$27</f>
        <v>0</v>
      </c>
      <c r="V70" s="20">
        <f>$I$27*$V$27</f>
        <v>0</v>
      </c>
      <c r="X70" s="20">
        <f>$I$27*$X$27</f>
        <v>0</v>
      </c>
      <c r="Y70" s="20">
        <f>$I$27*$Y$27</f>
        <v>0</v>
      </c>
      <c r="Z70" s="20">
        <f>$I$27*$Z$27</f>
        <v>0</v>
      </c>
      <c r="AA70" s="20">
        <f>$I$27*$AA$27</f>
        <v>0</v>
      </c>
      <c r="AB70" s="20">
        <f>$I$27*$AB$27</f>
        <v>0</v>
      </c>
      <c r="AC70" s="20">
        <f>$I$27*$AC$27</f>
        <v>0</v>
      </c>
      <c r="AD70" s="20">
        <f>$I$27*$AD$27</f>
        <v>0</v>
      </c>
      <c r="AE70" s="20">
        <f>$I$27*$AE$27</f>
        <v>0</v>
      </c>
      <c r="AF70" s="20">
        <f>$I$27*$AF$27</f>
        <v>0</v>
      </c>
      <c r="AG70" s="20">
        <f>$I$27*$AG$27</f>
        <v>0</v>
      </c>
      <c r="AH70" s="20">
        <f>$I$27*$AH$27</f>
        <v>0</v>
      </c>
    </row>
    <row r="71" spans="1:34" ht="11.25" customHeight="1" x14ac:dyDescent="0.25">
      <c r="A71" s="9" t="s">
        <v>41</v>
      </c>
      <c r="B71" s="9" t="s">
        <v>1045</v>
      </c>
      <c r="C71" s="9" t="s">
        <v>1046</v>
      </c>
      <c r="D71" s="9" t="s">
        <v>1057</v>
      </c>
      <c r="E71" s="9" t="s">
        <v>1058</v>
      </c>
      <c r="F71" s="9" t="s">
        <v>1059</v>
      </c>
      <c r="G71" s="9" t="s">
        <v>1060</v>
      </c>
      <c r="L71" s="20">
        <f>$I$28*$L$28</f>
        <v>0</v>
      </c>
      <c r="M71" s="20">
        <f>$I$28*$M$28</f>
        <v>0</v>
      </c>
      <c r="N71" s="20">
        <f>$I$28*$N$28</f>
        <v>0</v>
      </c>
      <c r="O71" s="20">
        <f>$I$28*$O$28</f>
        <v>0</v>
      </c>
      <c r="P71" s="20">
        <f>$I$28*$P$28</f>
        <v>0</v>
      </c>
      <c r="Q71" s="20">
        <f>$I$28*$Q$28</f>
        <v>0</v>
      </c>
      <c r="R71" s="20">
        <f>$I$28*$R$28</f>
        <v>0</v>
      </c>
      <c r="S71" s="20">
        <f>$I$28*$S$28</f>
        <v>0</v>
      </c>
      <c r="T71" s="20">
        <f>$I$28*$T$28</f>
        <v>0</v>
      </c>
      <c r="U71" s="20">
        <f>$I$28*$U$28</f>
        <v>0</v>
      </c>
      <c r="V71" s="20">
        <f>$I$28*$V$28</f>
        <v>0</v>
      </c>
      <c r="X71" s="20">
        <f>$I$28*$X$28</f>
        <v>0</v>
      </c>
      <c r="Y71" s="20">
        <f>$I$28*$Y$28</f>
        <v>0</v>
      </c>
      <c r="Z71" s="20">
        <f>$I$28*$Z$28</f>
        <v>0</v>
      </c>
      <c r="AA71" s="20">
        <f>$I$28*$AA$28</f>
        <v>0</v>
      </c>
      <c r="AB71" s="20">
        <f>$I$28*$AB$28</f>
        <v>0</v>
      </c>
      <c r="AC71" s="20">
        <f>$I$28*$AC$28</f>
        <v>0</v>
      </c>
      <c r="AD71" s="20">
        <f>$I$28*$AD$28</f>
        <v>0</v>
      </c>
      <c r="AE71" s="20">
        <f>$I$28*$AE$28</f>
        <v>0</v>
      </c>
      <c r="AF71" s="20">
        <f>$I$28*$AF$28</f>
        <v>0</v>
      </c>
      <c r="AG71" s="20">
        <f>$I$28*$AG$28</f>
        <v>0</v>
      </c>
      <c r="AH71" s="20">
        <f>$I$28*$AH$28</f>
        <v>0</v>
      </c>
    </row>
    <row r="72" spans="1:34" ht="11.25" customHeight="1" x14ac:dyDescent="0.25">
      <c r="A72" s="9" t="s">
        <v>41</v>
      </c>
      <c r="B72" s="9" t="s">
        <v>1037</v>
      </c>
      <c r="C72" s="9" t="s">
        <v>1038</v>
      </c>
      <c r="D72" s="9" t="s">
        <v>1061</v>
      </c>
      <c r="E72" s="9" t="s">
        <v>1062</v>
      </c>
      <c r="F72" s="9" t="s">
        <v>1063</v>
      </c>
      <c r="G72" s="9" t="s">
        <v>1064</v>
      </c>
      <c r="L72" s="20">
        <f>$I$29*$L$29</f>
        <v>0</v>
      </c>
      <c r="M72" s="20">
        <f>$I$29*$M$29</f>
        <v>0</v>
      </c>
      <c r="N72" s="20">
        <f>$I$29*$N$29</f>
        <v>0</v>
      </c>
      <c r="O72" s="20">
        <f>$I$29*$O$29</f>
        <v>0</v>
      </c>
      <c r="P72" s="20">
        <f>$I$29*$P$29</f>
        <v>0</v>
      </c>
      <c r="Q72" s="20">
        <f>$I$29*$Q$29</f>
        <v>0</v>
      </c>
      <c r="R72" s="20">
        <f>$I$29*$R$29</f>
        <v>0</v>
      </c>
      <c r="S72" s="20">
        <f>$I$29*$S$29</f>
        <v>0</v>
      </c>
      <c r="T72" s="20">
        <f>$I$29*$T$29</f>
        <v>0</v>
      </c>
      <c r="U72" s="20">
        <f>$I$29*$U$29</f>
        <v>0</v>
      </c>
      <c r="V72" s="20">
        <f>$I$29*$V$29</f>
        <v>0</v>
      </c>
      <c r="X72" s="20">
        <f>$I$29*$X$29</f>
        <v>0</v>
      </c>
      <c r="Y72" s="20">
        <f>$I$29*$Y$29</f>
        <v>0</v>
      </c>
      <c r="Z72" s="20">
        <f>$I$29*$Z$29</f>
        <v>0</v>
      </c>
      <c r="AA72" s="20">
        <f>$I$29*$AA$29</f>
        <v>0</v>
      </c>
      <c r="AB72" s="20">
        <f>$I$29*$AB$29</f>
        <v>0</v>
      </c>
      <c r="AC72" s="20">
        <f>$I$29*$AC$29</f>
        <v>0</v>
      </c>
      <c r="AD72" s="20">
        <f>$I$29*$AD$29</f>
        <v>0</v>
      </c>
      <c r="AE72" s="20">
        <f>$I$29*$AE$29</f>
        <v>0</v>
      </c>
      <c r="AF72" s="20">
        <f>$I$29*$AF$29</f>
        <v>0</v>
      </c>
      <c r="AG72" s="20">
        <f>$I$29*$AG$29</f>
        <v>0</v>
      </c>
      <c r="AH72" s="20">
        <f>$I$29*$AH$29</f>
        <v>0</v>
      </c>
    </row>
    <row r="73" spans="1:34" ht="11.25" customHeight="1" x14ac:dyDescent="0.25">
      <c r="A73" s="9" t="s">
        <v>41</v>
      </c>
      <c r="B73" s="9" t="s">
        <v>1037</v>
      </c>
      <c r="C73" s="9" t="s">
        <v>1038</v>
      </c>
      <c r="D73" s="9" t="s">
        <v>1061</v>
      </c>
      <c r="E73" s="9" t="s">
        <v>1062</v>
      </c>
      <c r="F73" s="9" t="s">
        <v>1063</v>
      </c>
      <c r="G73" s="9" t="s">
        <v>1065</v>
      </c>
      <c r="L73" s="20">
        <f>$I$30*$L$30</f>
        <v>0</v>
      </c>
      <c r="M73" s="20">
        <f>$I$30*$M$30</f>
        <v>0</v>
      </c>
      <c r="N73" s="20">
        <f>$I$30*$N$30</f>
        <v>0</v>
      </c>
      <c r="O73" s="20">
        <f>$I$30*$O$30</f>
        <v>0</v>
      </c>
      <c r="P73" s="20">
        <f>$I$30*$P$30</f>
        <v>0</v>
      </c>
      <c r="Q73" s="20">
        <f>$I$30*$Q$30</f>
        <v>0</v>
      </c>
      <c r="R73" s="20">
        <f>$I$30*$R$30</f>
        <v>0</v>
      </c>
      <c r="S73" s="20">
        <f>$I$30*$S$30</f>
        <v>0</v>
      </c>
      <c r="T73" s="20">
        <f>$I$30*$T$30</f>
        <v>0</v>
      </c>
      <c r="U73" s="20">
        <f>$I$30*$U$30</f>
        <v>0</v>
      </c>
      <c r="V73" s="20">
        <f>$I$30*$V$30</f>
        <v>0</v>
      </c>
      <c r="X73" s="20">
        <f>$I$30*$X$30</f>
        <v>0</v>
      </c>
      <c r="Y73" s="20">
        <f>$I$30*$Y$30</f>
        <v>0</v>
      </c>
      <c r="Z73" s="20">
        <f>$I$30*$Z$30</f>
        <v>0</v>
      </c>
      <c r="AA73" s="20">
        <f>$I$30*$AA$30</f>
        <v>0</v>
      </c>
      <c r="AB73" s="20">
        <f>$I$30*$AB$30</f>
        <v>0</v>
      </c>
      <c r="AC73" s="20">
        <f>$I$30*$AC$30</f>
        <v>0</v>
      </c>
      <c r="AD73" s="20">
        <f>$I$30*$AD$30</f>
        <v>0</v>
      </c>
      <c r="AE73" s="20">
        <f>$I$30*$AE$30</f>
        <v>0</v>
      </c>
      <c r="AF73" s="20">
        <f>$I$30*$AF$30</f>
        <v>0</v>
      </c>
      <c r="AG73" s="20">
        <f>$I$30*$AG$30</f>
        <v>0</v>
      </c>
      <c r="AH73" s="20">
        <f>$I$30*$AH$30</f>
        <v>0</v>
      </c>
    </row>
    <row r="74" spans="1:34" ht="11.25" customHeight="1" x14ac:dyDescent="0.25">
      <c r="A74" s="9" t="s">
        <v>41</v>
      </c>
      <c r="B74" s="9" t="s">
        <v>1037</v>
      </c>
      <c r="C74" s="9" t="s">
        <v>1038</v>
      </c>
      <c r="D74" s="9" t="s">
        <v>1061</v>
      </c>
      <c r="E74" s="9" t="s">
        <v>1062</v>
      </c>
      <c r="F74" s="9" t="s">
        <v>1063</v>
      </c>
      <c r="G74" s="9" t="s">
        <v>1066</v>
      </c>
      <c r="L74" s="20">
        <f>$I$31*$L$31</f>
        <v>0</v>
      </c>
      <c r="M74" s="20">
        <f>$I$31*$M$31</f>
        <v>0</v>
      </c>
      <c r="N74" s="20">
        <f>$I$31*$N$31</f>
        <v>0</v>
      </c>
      <c r="O74" s="20">
        <f>$I$31*$O$31</f>
        <v>0</v>
      </c>
      <c r="P74" s="20">
        <f>$I$31*$P$31</f>
        <v>0</v>
      </c>
      <c r="Q74" s="20">
        <f>$I$31*$Q$31</f>
        <v>0</v>
      </c>
      <c r="R74" s="20">
        <f>$I$31*$R$31</f>
        <v>0</v>
      </c>
      <c r="S74" s="20">
        <f>$I$31*$S$31</f>
        <v>0</v>
      </c>
      <c r="T74" s="20">
        <f>$I$31*$T$31</f>
        <v>0</v>
      </c>
      <c r="U74" s="20">
        <f>$I$31*$U$31</f>
        <v>0</v>
      </c>
      <c r="V74" s="20">
        <f>$I$31*$V$31</f>
        <v>0</v>
      </c>
      <c r="X74" s="20">
        <f>$I$31*$X$31</f>
        <v>0</v>
      </c>
      <c r="Y74" s="20">
        <f>$I$31*$Y$31</f>
        <v>0</v>
      </c>
      <c r="Z74" s="20">
        <f>$I$31*$Z$31</f>
        <v>0</v>
      </c>
      <c r="AA74" s="20">
        <f>$I$31*$AA$31</f>
        <v>0</v>
      </c>
      <c r="AB74" s="20">
        <f>$I$31*$AB$31</f>
        <v>0</v>
      </c>
      <c r="AC74" s="20">
        <f>$I$31*$AC$31</f>
        <v>0</v>
      </c>
      <c r="AD74" s="20">
        <f>$I$31*$AD$31</f>
        <v>0</v>
      </c>
      <c r="AE74" s="20">
        <f>$I$31*$AE$31</f>
        <v>0</v>
      </c>
      <c r="AF74" s="20">
        <f>$I$31*$AF$31</f>
        <v>0</v>
      </c>
      <c r="AG74" s="20">
        <f>$I$31*$AG$31</f>
        <v>0</v>
      </c>
      <c r="AH74" s="20">
        <f>$I$31*$AH$31</f>
        <v>0</v>
      </c>
    </row>
    <row r="75" spans="1:34" ht="11.25" customHeight="1" x14ac:dyDescent="0.25">
      <c r="A75" s="9" t="s">
        <v>41</v>
      </c>
      <c r="B75" s="9" t="s">
        <v>1045</v>
      </c>
      <c r="C75" s="9" t="s">
        <v>1046</v>
      </c>
      <c r="D75" s="9" t="s">
        <v>1067</v>
      </c>
      <c r="E75" s="9" t="s">
        <v>1068</v>
      </c>
      <c r="F75" s="9" t="s">
        <v>1069</v>
      </c>
      <c r="G75" s="9" t="s">
        <v>1070</v>
      </c>
      <c r="L75" s="20">
        <f>$I$32*$L$32</f>
        <v>0</v>
      </c>
      <c r="M75" s="20">
        <f>$I$32*$M$32</f>
        <v>0</v>
      </c>
      <c r="N75" s="20">
        <f>$I$32*$N$32</f>
        <v>0</v>
      </c>
      <c r="O75" s="20">
        <f>$I$32*$O$32</f>
        <v>0</v>
      </c>
      <c r="P75" s="20">
        <f>$I$32*$P$32</f>
        <v>0</v>
      </c>
      <c r="Q75" s="20">
        <f>$I$32*$Q$32</f>
        <v>0</v>
      </c>
      <c r="R75" s="20">
        <f>$I$32*$R$32</f>
        <v>0</v>
      </c>
      <c r="S75" s="20">
        <f>$I$32*$S$32</f>
        <v>0</v>
      </c>
      <c r="T75" s="20">
        <f>$I$32*$T$32</f>
        <v>0</v>
      </c>
      <c r="U75" s="20">
        <f>$I$32*$U$32</f>
        <v>0</v>
      </c>
      <c r="V75" s="20">
        <f>$I$32*$V$32</f>
        <v>0</v>
      </c>
      <c r="X75" s="20">
        <f>$I$32*$X$32</f>
        <v>0</v>
      </c>
      <c r="Y75" s="20">
        <f>$I$32*$Y$32</f>
        <v>0</v>
      </c>
      <c r="Z75" s="20">
        <f>$I$32*$Z$32</f>
        <v>0</v>
      </c>
      <c r="AA75" s="20">
        <f>$I$32*$AA$32</f>
        <v>0</v>
      </c>
      <c r="AB75" s="20">
        <f>$I$32*$AB$32</f>
        <v>0</v>
      </c>
      <c r="AC75" s="20">
        <f>$I$32*$AC$32</f>
        <v>0</v>
      </c>
      <c r="AD75" s="20">
        <f>$I$32*$AD$32</f>
        <v>0</v>
      </c>
      <c r="AE75" s="20">
        <f>$I$32*$AE$32</f>
        <v>0</v>
      </c>
      <c r="AF75" s="20">
        <f>$I$32*$AF$32</f>
        <v>0</v>
      </c>
      <c r="AG75" s="20">
        <f>$I$32*$AG$32</f>
        <v>0</v>
      </c>
      <c r="AH75" s="20">
        <f>$I$32*$AH$32</f>
        <v>0</v>
      </c>
    </row>
    <row r="76" spans="1:34" ht="11.25" customHeight="1" x14ac:dyDescent="0.25">
      <c r="A76" s="9" t="s">
        <v>41</v>
      </c>
      <c r="B76" s="9" t="s">
        <v>1071</v>
      </c>
      <c r="C76" s="9" t="s">
        <v>1072</v>
      </c>
      <c r="D76" s="9" t="s">
        <v>1073</v>
      </c>
      <c r="E76" s="9" t="s">
        <v>1074</v>
      </c>
      <c r="F76" s="9" t="s">
        <v>1075</v>
      </c>
      <c r="G76" s="9" t="s">
        <v>1076</v>
      </c>
      <c r="L76" s="20">
        <f>$I$33*$L$33</f>
        <v>0</v>
      </c>
      <c r="M76" s="20">
        <f>$I$33*$M$33</f>
        <v>0</v>
      </c>
      <c r="N76" s="20">
        <f>$I$33*$N$33</f>
        <v>0</v>
      </c>
      <c r="O76" s="20">
        <f>$I$33*$O$33</f>
        <v>0</v>
      </c>
      <c r="P76" s="20">
        <f>$I$33*$P$33</f>
        <v>0</v>
      </c>
      <c r="Q76" s="20">
        <f>$I$33*$Q$33</f>
        <v>0</v>
      </c>
      <c r="R76" s="20">
        <f>$I$33*$R$33</f>
        <v>0</v>
      </c>
      <c r="S76" s="20">
        <f>$I$33*$S$33</f>
        <v>0</v>
      </c>
      <c r="T76" s="20">
        <f>$I$33*$T$33</f>
        <v>0</v>
      </c>
      <c r="U76" s="20">
        <f>$I$33*$U$33</f>
        <v>0</v>
      </c>
      <c r="V76" s="20">
        <f>$I$33*$V$33</f>
        <v>0</v>
      </c>
      <c r="X76" s="20">
        <f>$I$33*$X$33</f>
        <v>0</v>
      </c>
      <c r="Y76" s="20">
        <f>$I$33*$Y$33</f>
        <v>0</v>
      </c>
      <c r="Z76" s="20">
        <f>$I$33*$Z$33</f>
        <v>0</v>
      </c>
      <c r="AA76" s="20">
        <f>$I$33*$AA$33</f>
        <v>0</v>
      </c>
      <c r="AB76" s="20">
        <f>$I$33*$AB$33</f>
        <v>0</v>
      </c>
      <c r="AC76" s="20">
        <f>$I$33*$AC$33</f>
        <v>0</v>
      </c>
      <c r="AD76" s="20">
        <f>$I$33*$AD$33</f>
        <v>0</v>
      </c>
      <c r="AE76" s="20">
        <f>$I$33*$AE$33</f>
        <v>0</v>
      </c>
      <c r="AF76" s="20">
        <f>$I$33*$AF$33</f>
        <v>0</v>
      </c>
      <c r="AG76" s="20">
        <f>$I$33*$AG$33</f>
        <v>0</v>
      </c>
      <c r="AH76" s="20">
        <f>$I$33*$AH$33</f>
        <v>0</v>
      </c>
    </row>
    <row r="77" spans="1:34" ht="11.25" customHeight="1" x14ac:dyDescent="0.25">
      <c r="A77" s="9" t="s">
        <v>41</v>
      </c>
      <c r="B77" s="9" t="s">
        <v>1071</v>
      </c>
      <c r="C77" s="9" t="s">
        <v>1072</v>
      </c>
      <c r="D77" s="9" t="s">
        <v>1077</v>
      </c>
      <c r="E77" s="9" t="s">
        <v>1078</v>
      </c>
      <c r="F77" s="9" t="s">
        <v>1079</v>
      </c>
      <c r="G77" s="9" t="s">
        <v>1080</v>
      </c>
      <c r="L77" s="20">
        <f>$I$34*$L$34</f>
        <v>0</v>
      </c>
      <c r="M77" s="20">
        <f>$I$34*$M$34</f>
        <v>0</v>
      </c>
      <c r="N77" s="20">
        <f>$I$34*$N$34</f>
        <v>0</v>
      </c>
      <c r="O77" s="20">
        <f>$I$34*$O$34</f>
        <v>0</v>
      </c>
      <c r="P77" s="20">
        <f>$I$34*$P$34</f>
        <v>0</v>
      </c>
      <c r="Q77" s="20">
        <f>$I$34*$Q$34</f>
        <v>0</v>
      </c>
      <c r="R77" s="20">
        <f>$I$34*$R$34</f>
        <v>0</v>
      </c>
      <c r="S77" s="20">
        <f>$I$34*$S$34</f>
        <v>0</v>
      </c>
      <c r="T77" s="20">
        <f>$I$34*$T$34</f>
        <v>0</v>
      </c>
      <c r="U77" s="20">
        <f>$I$34*$U$34</f>
        <v>0</v>
      </c>
      <c r="V77" s="20">
        <f>$I$34*$V$34</f>
        <v>0</v>
      </c>
      <c r="X77" s="20">
        <f>$I$34*$X$34</f>
        <v>0</v>
      </c>
      <c r="Y77" s="20">
        <f>$I$34*$Y$34</f>
        <v>0</v>
      </c>
      <c r="Z77" s="20">
        <f>$I$34*$Z$34</f>
        <v>0</v>
      </c>
      <c r="AA77" s="20">
        <f>$I$34*$AA$34</f>
        <v>0</v>
      </c>
      <c r="AB77" s="20">
        <f>$I$34*$AB$34</f>
        <v>0</v>
      </c>
      <c r="AC77" s="20">
        <f>$I$34*$AC$34</f>
        <v>0</v>
      </c>
      <c r="AD77" s="20">
        <f>$I$34*$AD$34</f>
        <v>0</v>
      </c>
      <c r="AE77" s="20">
        <f>$I$34*$AE$34</f>
        <v>0</v>
      </c>
      <c r="AF77" s="20">
        <f>$I$34*$AF$34</f>
        <v>0</v>
      </c>
      <c r="AG77" s="20">
        <f>$I$34*$AG$34</f>
        <v>0</v>
      </c>
      <c r="AH77" s="20">
        <f>$I$34*$AH$34</f>
        <v>0</v>
      </c>
    </row>
    <row r="78" spans="1:34" ht="11.25" customHeight="1" x14ac:dyDescent="0.25">
      <c r="A78" s="9" t="s">
        <v>41</v>
      </c>
      <c r="B78" s="9" t="s">
        <v>1071</v>
      </c>
      <c r="C78" s="9" t="s">
        <v>1072</v>
      </c>
      <c r="D78" s="9" t="s">
        <v>1081</v>
      </c>
      <c r="E78" s="9" t="s">
        <v>1082</v>
      </c>
      <c r="F78" s="9" t="s">
        <v>1083</v>
      </c>
      <c r="G78" s="9" t="s">
        <v>1084</v>
      </c>
      <c r="L78" s="20">
        <f>$I$35*$L$35</f>
        <v>0</v>
      </c>
      <c r="M78" s="20">
        <f>$I$35*$M$35</f>
        <v>0</v>
      </c>
      <c r="N78" s="20">
        <f>$I$35*$N$35</f>
        <v>0</v>
      </c>
      <c r="O78" s="20">
        <f>$I$35*$O$35</f>
        <v>0</v>
      </c>
      <c r="P78" s="20">
        <f>$I$35*$P$35</f>
        <v>0</v>
      </c>
      <c r="Q78" s="20">
        <f>$I$35*$Q$35</f>
        <v>0</v>
      </c>
      <c r="R78" s="20">
        <f>$I$35*$R$35</f>
        <v>0</v>
      </c>
      <c r="S78" s="20">
        <f>$I$35*$S$35</f>
        <v>0</v>
      </c>
      <c r="T78" s="20">
        <f>$I$35*$T$35</f>
        <v>0</v>
      </c>
      <c r="U78" s="20">
        <f>$I$35*$U$35</f>
        <v>0</v>
      </c>
      <c r="V78" s="20">
        <f>$I$35*$V$35</f>
        <v>0</v>
      </c>
      <c r="X78" s="20">
        <f>$I$35*$X$35</f>
        <v>0</v>
      </c>
      <c r="Y78" s="20">
        <f>$I$35*$Y$35</f>
        <v>0</v>
      </c>
      <c r="Z78" s="20">
        <f>$I$35*$Z$35</f>
        <v>0</v>
      </c>
      <c r="AA78" s="20">
        <f>$I$35*$AA$35</f>
        <v>0</v>
      </c>
      <c r="AB78" s="20">
        <f>$I$35*$AB$35</f>
        <v>0</v>
      </c>
      <c r="AC78" s="20">
        <f>$I$35*$AC$35</f>
        <v>0</v>
      </c>
      <c r="AD78" s="20">
        <f>$I$35*$AD$35</f>
        <v>0</v>
      </c>
      <c r="AE78" s="20">
        <f>$I$35*$AE$35</f>
        <v>0</v>
      </c>
      <c r="AF78" s="20">
        <f>$I$35*$AF$35</f>
        <v>0</v>
      </c>
      <c r="AG78" s="20">
        <f>$I$35*$AG$35</f>
        <v>0</v>
      </c>
      <c r="AH78" s="20">
        <f>$I$35*$AH$35</f>
        <v>0</v>
      </c>
    </row>
    <row r="79" spans="1:34" ht="11.25" customHeight="1" x14ac:dyDescent="0.25">
      <c r="A79" s="9" t="s">
        <v>32</v>
      </c>
      <c r="B79" s="9" t="s">
        <v>1085</v>
      </c>
      <c r="C79" s="9" t="s">
        <v>1086</v>
      </c>
      <c r="D79" s="9" t="s">
        <v>1087</v>
      </c>
      <c r="E79" s="9" t="s">
        <v>1088</v>
      </c>
      <c r="F79" s="9" t="s">
        <v>1089</v>
      </c>
      <c r="G79" s="9" t="s">
        <v>1090</v>
      </c>
      <c r="L79" s="20">
        <f>$I$36*$L$36</f>
        <v>25.247380715282333</v>
      </c>
      <c r="M79" s="20">
        <f>$I$36*$M$36</f>
        <v>0</v>
      </c>
      <c r="N79" s="20">
        <f>$I$36*$N$36</f>
        <v>0</v>
      </c>
      <c r="O79" s="20">
        <f>$I$36*$O$36</f>
        <v>-8.8338222487752277E-2</v>
      </c>
      <c r="P79" s="20">
        <f>$I$36*$P$36</f>
        <v>0</v>
      </c>
      <c r="Q79" s="20">
        <f>$I$36*$Q$36</f>
        <v>4153.4513694440466</v>
      </c>
      <c r="R79" s="20">
        <f>$I$36*$R$36</f>
        <v>0</v>
      </c>
      <c r="S79" s="20">
        <f>$I$36*$S$36</f>
        <v>0</v>
      </c>
      <c r="T79" s="20">
        <f>$I$36*$T$36</f>
        <v>0</v>
      </c>
      <c r="U79" s="20">
        <f>$I$36*$U$36</f>
        <v>0</v>
      </c>
      <c r="V79" s="20">
        <f>$I$36*$V$36</f>
        <v>0</v>
      </c>
      <c r="X79" s="20">
        <f>$I$36*$X$36</f>
        <v>27.871272244732172</v>
      </c>
      <c r="Y79" s="20">
        <f>$I$36*$Y$36</f>
        <v>0</v>
      </c>
      <c r="Z79" s="20">
        <f>$I$36*$Z$36</f>
        <v>0</v>
      </c>
      <c r="AA79" s="20">
        <f>$I$36*$AA$36</f>
        <v>0</v>
      </c>
      <c r="AB79" s="20">
        <f>$I$36*$AB$36</f>
        <v>0</v>
      </c>
      <c r="AC79" s="20">
        <f>$I$36*$AC$36</f>
        <v>4587.1313602453165</v>
      </c>
      <c r="AD79" s="20">
        <f>$I$36*$AD$36</f>
        <v>0</v>
      </c>
      <c r="AE79" s="20">
        <f>$I$36*$AE$36</f>
        <v>0</v>
      </c>
      <c r="AF79" s="20">
        <f>$I$36*$AF$36</f>
        <v>0</v>
      </c>
      <c r="AG79" s="20">
        <f>$I$36*$AG$36</f>
        <v>0</v>
      </c>
      <c r="AH79" s="20">
        <f>$I$36*$AH$36</f>
        <v>0</v>
      </c>
    </row>
    <row r="80" spans="1:34" ht="11.25" customHeight="1" x14ac:dyDescent="0.25">
      <c r="A80" s="9" t="s">
        <v>32</v>
      </c>
      <c r="B80" s="9" t="s">
        <v>1085</v>
      </c>
      <c r="C80" s="9" t="s">
        <v>1086</v>
      </c>
      <c r="D80" s="9" t="s">
        <v>1087</v>
      </c>
      <c r="E80" s="9" t="s">
        <v>1088</v>
      </c>
      <c r="F80" s="9" t="s">
        <v>1089</v>
      </c>
      <c r="G80" s="9" t="s">
        <v>1091</v>
      </c>
      <c r="L80" s="20">
        <f>$I$37*$L$37</f>
        <v>19.957831692770664</v>
      </c>
      <c r="M80" s="20">
        <f>$I$37*$M$37</f>
        <v>0</v>
      </c>
      <c r="N80" s="20">
        <f>$I$37*$N$37</f>
        <v>0</v>
      </c>
      <c r="O80" s="20">
        <f>$I$37*$O$37</f>
        <v>-6.9830585450866761E-2</v>
      </c>
      <c r="P80" s="20">
        <f>$I$37*$P$37</f>
        <v>0</v>
      </c>
      <c r="Q80" s="20">
        <f>$I$37*$Q$37</f>
        <v>1908.8759655920057</v>
      </c>
      <c r="R80" s="20">
        <f>$I$37*$R$37</f>
        <v>0</v>
      </c>
      <c r="S80" s="20">
        <f>$I$37*$S$37</f>
        <v>0</v>
      </c>
      <c r="T80" s="20">
        <f>$I$37*$T$37</f>
        <v>0</v>
      </c>
      <c r="U80" s="20">
        <f>$I$37*$U$37</f>
        <v>0</v>
      </c>
      <c r="V80" s="20">
        <f>$I$37*$V$37</f>
        <v>0</v>
      </c>
      <c r="X80" s="20">
        <f>$I$37*$X$37</f>
        <v>22.031994795684085</v>
      </c>
      <c r="Y80" s="20">
        <f>$I$37*$Y$37</f>
        <v>0</v>
      </c>
      <c r="Z80" s="20">
        <f>$I$37*$Z$37</f>
        <v>0</v>
      </c>
      <c r="AA80" s="20">
        <f>$I$37*$AA$37</f>
        <v>0</v>
      </c>
      <c r="AB80" s="20">
        <f>$I$37*$AB$37</f>
        <v>0</v>
      </c>
      <c r="AC80" s="20">
        <f>$I$37*$AC$37</f>
        <v>2108.1900390127098</v>
      </c>
      <c r="AD80" s="20">
        <f>$I$37*$AD$37</f>
        <v>0</v>
      </c>
      <c r="AE80" s="20">
        <f>$I$37*$AE$37</f>
        <v>0</v>
      </c>
      <c r="AF80" s="20">
        <f>$I$37*$AF$37</f>
        <v>0</v>
      </c>
      <c r="AG80" s="20">
        <f>$I$37*$AG$37</f>
        <v>0</v>
      </c>
      <c r="AH80" s="20">
        <f>$I$37*$AH$37</f>
        <v>0</v>
      </c>
    </row>
    <row r="81" spans="1:34" ht="11.25" customHeight="1" x14ac:dyDescent="0.25">
      <c r="A81" s="9" t="s">
        <v>32</v>
      </c>
      <c r="B81" s="9" t="s">
        <v>1085</v>
      </c>
      <c r="C81" s="9" t="s">
        <v>1086</v>
      </c>
      <c r="D81" s="9" t="s">
        <v>1087</v>
      </c>
      <c r="E81" s="9" t="s">
        <v>1088</v>
      </c>
      <c r="F81" s="9" t="s">
        <v>1089</v>
      </c>
      <c r="G81" s="9" t="s">
        <v>1092</v>
      </c>
      <c r="L81" s="20">
        <f>$I$38*$L$38</f>
        <v>521.87473872586224</v>
      </c>
      <c r="M81" s="20">
        <f>$I$38*$M$38</f>
        <v>0</v>
      </c>
      <c r="N81" s="20">
        <f>$I$38*$N$38</f>
        <v>0</v>
      </c>
      <c r="O81" s="20">
        <f>$I$38*$O$38</f>
        <v>-1.825990874071044</v>
      </c>
      <c r="P81" s="20">
        <f>$I$38*$P$38</f>
        <v>0</v>
      </c>
      <c r="Q81" s="20">
        <f>$I$38*$Q$38</f>
        <v>49914.948734849684</v>
      </c>
      <c r="R81" s="20">
        <f>$I$38*$R$38</f>
        <v>0</v>
      </c>
      <c r="S81" s="20">
        <f>$I$38*$S$38</f>
        <v>0</v>
      </c>
      <c r="T81" s="20">
        <f>$I$38*$T$38</f>
        <v>0</v>
      </c>
      <c r="U81" s="20">
        <f>$I$38*$U$38</f>
        <v>0</v>
      </c>
      <c r="V81" s="20">
        <f>$I$38*$V$38</f>
        <v>0</v>
      </c>
      <c r="X81" s="20">
        <f>$I$38*$X$38</f>
        <v>576.11175926351234</v>
      </c>
      <c r="Y81" s="20">
        <f>$I$38*$Y$38</f>
        <v>0</v>
      </c>
      <c r="Z81" s="20">
        <f>$I$38*$Z$38</f>
        <v>0</v>
      </c>
      <c r="AA81" s="20">
        <f>$I$38*$AA$38</f>
        <v>0</v>
      </c>
      <c r="AB81" s="20">
        <f>$I$38*$AB$38</f>
        <v>0</v>
      </c>
      <c r="AC81" s="20">
        <f>$I$38*$AC$38</f>
        <v>55126.786453097171</v>
      </c>
      <c r="AD81" s="20">
        <f>$I$38*$AD$38</f>
        <v>0</v>
      </c>
      <c r="AE81" s="20">
        <f>$I$38*$AE$38</f>
        <v>0</v>
      </c>
      <c r="AF81" s="20">
        <f>$I$38*$AF$38</f>
        <v>0</v>
      </c>
      <c r="AG81" s="20">
        <f>$I$38*$AG$38</f>
        <v>0</v>
      </c>
      <c r="AH81" s="20">
        <f>$I$38*$AH$38</f>
        <v>0</v>
      </c>
    </row>
    <row r="82" spans="1:34" ht="11.25" customHeight="1" x14ac:dyDescent="0.25">
      <c r="A82" s="9" t="s">
        <v>32</v>
      </c>
      <c r="B82" s="9" t="s">
        <v>1093</v>
      </c>
      <c r="C82" s="9" t="s">
        <v>1094</v>
      </c>
      <c r="D82" s="9" t="s">
        <v>1095</v>
      </c>
      <c r="E82" s="9" t="s">
        <v>1096</v>
      </c>
      <c r="F82" s="9" t="s">
        <v>1097</v>
      </c>
      <c r="G82" s="9" t="s">
        <v>1098</v>
      </c>
      <c r="L82" s="20">
        <f>$I$39*$L$39</f>
        <v>13146.518577306706</v>
      </c>
      <c r="M82" s="20">
        <f>$I$39*$M$39</f>
        <v>0</v>
      </c>
      <c r="N82" s="20">
        <f>$I$39*$N$39</f>
        <v>0</v>
      </c>
      <c r="O82" s="20">
        <f>$I$39*$O$39</f>
        <v>-45.998438258528928</v>
      </c>
      <c r="P82" s="20">
        <f>$I$39*$P$39</f>
        <v>0</v>
      </c>
      <c r="Q82" s="20">
        <f>$I$39*$Q$39</f>
        <v>1332849.0866906636</v>
      </c>
      <c r="R82" s="20">
        <f>$I$39*$R$39</f>
        <v>0</v>
      </c>
      <c r="S82" s="20">
        <f>$I$39*$S$39</f>
        <v>0</v>
      </c>
      <c r="T82" s="20">
        <f>$I$39*$T$39</f>
        <v>0</v>
      </c>
      <c r="U82" s="20">
        <f>$I$39*$U$39</f>
        <v>0</v>
      </c>
      <c r="V82" s="20">
        <f>$I$39*$V$39</f>
        <v>0</v>
      </c>
      <c r="X82" s="20">
        <f>$I$39*$X$39</f>
        <v>14512.800455247019</v>
      </c>
      <c r="Y82" s="20">
        <f>$I$39*$Y$39</f>
        <v>0</v>
      </c>
      <c r="Z82" s="20">
        <f>$I$39*$Z$39</f>
        <v>0</v>
      </c>
      <c r="AA82" s="20">
        <f>$I$39*$AA$39</f>
        <v>0</v>
      </c>
      <c r="AB82" s="20">
        <f>$I$39*$AB$39</f>
        <v>0</v>
      </c>
      <c r="AC82" s="20">
        <f>$I$39*$AC$39</f>
        <v>1472017.6788422209</v>
      </c>
      <c r="AD82" s="20">
        <f>$I$39*$AD$39</f>
        <v>0</v>
      </c>
      <c r="AE82" s="20">
        <f>$I$39*$AE$39</f>
        <v>0</v>
      </c>
      <c r="AF82" s="20">
        <f>$I$39*$AF$39</f>
        <v>0</v>
      </c>
      <c r="AG82" s="20">
        <f>$I$39*$AG$39</f>
        <v>0</v>
      </c>
      <c r="AH82" s="20">
        <f>$I$39*$AH$39</f>
        <v>0</v>
      </c>
    </row>
    <row r="83" spans="1:34" ht="11.25" customHeight="1" x14ac:dyDescent="0.25">
      <c r="A83" s="9" t="s">
        <v>32</v>
      </c>
      <c r="B83" s="9" t="s">
        <v>1099</v>
      </c>
      <c r="C83" s="9" t="s">
        <v>1100</v>
      </c>
      <c r="D83" s="9" t="s">
        <v>1101</v>
      </c>
      <c r="E83" s="9" t="s">
        <v>1102</v>
      </c>
      <c r="F83" s="9" t="s">
        <v>1103</v>
      </c>
      <c r="G83" s="9" t="s">
        <v>1104</v>
      </c>
      <c r="L83" s="20">
        <f>$I$40*$L$40</f>
        <v>0</v>
      </c>
      <c r="M83" s="20">
        <f>$I$40*$M$40</f>
        <v>0</v>
      </c>
      <c r="N83" s="20">
        <f>$I$40*$N$40</f>
        <v>0</v>
      </c>
      <c r="O83" s="20">
        <f>$I$40*$O$40</f>
        <v>0</v>
      </c>
      <c r="P83" s="20">
        <f>$I$40*$P$40</f>
        <v>0</v>
      </c>
      <c r="Q83" s="20">
        <f>$I$40*$Q$40</f>
        <v>0</v>
      </c>
      <c r="R83" s="20">
        <f>$I$40*$R$40</f>
        <v>0</v>
      </c>
      <c r="S83" s="20">
        <f>$I$40*$S$40</f>
        <v>0</v>
      </c>
      <c r="T83" s="20">
        <f>$I$40*$T$40</f>
        <v>0</v>
      </c>
      <c r="U83" s="20">
        <f>$I$40*$U$40</f>
        <v>0</v>
      </c>
      <c r="V83" s="20">
        <f>$I$40*$V$40</f>
        <v>0</v>
      </c>
      <c r="X83" s="20">
        <f>$I$40*$X$40</f>
        <v>0</v>
      </c>
      <c r="Y83" s="20">
        <f>$I$40*$Y$40</f>
        <v>0</v>
      </c>
      <c r="Z83" s="20">
        <f>$I$40*$Z$40</f>
        <v>0</v>
      </c>
      <c r="AA83" s="20">
        <f>$I$40*$AA$40</f>
        <v>0</v>
      </c>
      <c r="AB83" s="20">
        <f>$I$40*$AB$40</f>
        <v>0</v>
      </c>
      <c r="AC83" s="20">
        <f>$I$40*$AC$40</f>
        <v>0</v>
      </c>
      <c r="AD83" s="20">
        <f>$I$40*$AD$40</f>
        <v>0</v>
      </c>
      <c r="AE83" s="20">
        <f>$I$40*$AE$40</f>
        <v>0</v>
      </c>
      <c r="AF83" s="20">
        <f>$I$40*$AF$40</f>
        <v>0</v>
      </c>
      <c r="AG83" s="20">
        <f>$I$40*$AG$40</f>
        <v>0</v>
      </c>
      <c r="AH83" s="20">
        <f>$I$40*$AH$40</f>
        <v>0</v>
      </c>
    </row>
    <row r="84" spans="1:34" ht="11.25" customHeight="1" x14ac:dyDescent="0.25">
      <c r="A84" s="9" t="s">
        <v>44</v>
      </c>
      <c r="B84" s="9" t="s">
        <v>1105</v>
      </c>
      <c r="C84" s="9" t="s">
        <v>1106</v>
      </c>
      <c r="D84" s="9" t="s">
        <v>1107</v>
      </c>
      <c r="E84" s="9" t="s">
        <v>1108</v>
      </c>
      <c r="F84" s="9" t="s">
        <v>1109</v>
      </c>
      <c r="G84" s="9" t="s">
        <v>1110</v>
      </c>
      <c r="L84" s="20">
        <f>$I$41*$L$41</f>
        <v>556.71595384849854</v>
      </c>
      <c r="M84" s="20">
        <f>$I$41*$M$41</f>
        <v>0</v>
      </c>
      <c r="N84" s="20">
        <f>$I$41*$N$41</f>
        <v>0</v>
      </c>
      <c r="O84" s="20">
        <f>$I$41*$O$41</f>
        <v>-1.9478970253647532</v>
      </c>
      <c r="P84" s="20">
        <f>$I$41*$P$41</f>
        <v>0</v>
      </c>
      <c r="Q84" s="20">
        <f>$I$41*$Q$41</f>
        <v>56442.193898691323</v>
      </c>
      <c r="R84" s="20">
        <f>$I$41*$R$41</f>
        <v>0</v>
      </c>
      <c r="S84" s="20">
        <f>$I$41*$S$41</f>
        <v>0</v>
      </c>
      <c r="T84" s="20">
        <f>$I$41*$T$41</f>
        <v>0</v>
      </c>
      <c r="U84" s="20">
        <f>$I$41*$U$41</f>
        <v>0</v>
      </c>
      <c r="V84" s="20">
        <f>$I$41*$V$41</f>
        <v>0</v>
      </c>
      <c r="X84" s="20">
        <f>$I$41*$X$41</f>
        <v>614.57392700167054</v>
      </c>
      <c r="Y84" s="20">
        <f>$I$41*$Y$41</f>
        <v>0</v>
      </c>
      <c r="Z84" s="20">
        <f>$I$41*$Z$41</f>
        <v>0</v>
      </c>
      <c r="AA84" s="20">
        <f>$I$41*$AA$41</f>
        <v>0</v>
      </c>
      <c r="AB84" s="20">
        <f>$I$41*$AB$41</f>
        <v>0</v>
      </c>
      <c r="AC84" s="20">
        <f>$I$41*$AC$41</f>
        <v>62335.569781424994</v>
      </c>
      <c r="AD84" s="20">
        <f>$I$41*$AD$41</f>
        <v>0</v>
      </c>
      <c r="AE84" s="20">
        <f>$I$41*$AE$41</f>
        <v>0</v>
      </c>
      <c r="AF84" s="20">
        <f>$I$41*$AF$41</f>
        <v>0</v>
      </c>
      <c r="AG84" s="20">
        <f>$I$41*$AG$41</f>
        <v>0</v>
      </c>
      <c r="AH84" s="20">
        <f>$I$41*$AH$41</f>
        <v>0</v>
      </c>
    </row>
    <row r="85" spans="1:34" ht="11.25" customHeight="1" x14ac:dyDescent="0.25">
      <c r="A85" s="9" t="s">
        <v>44</v>
      </c>
      <c r="B85" s="9" t="s">
        <v>1105</v>
      </c>
      <c r="C85" s="9" t="s">
        <v>1106</v>
      </c>
      <c r="D85" s="9" t="s">
        <v>1111</v>
      </c>
      <c r="E85" s="9" t="s">
        <v>1112</v>
      </c>
      <c r="F85" s="9" t="s">
        <v>1113</v>
      </c>
      <c r="G85" s="9" t="s">
        <v>1114</v>
      </c>
      <c r="L85" s="20">
        <f>$I$42*$L$42</f>
        <v>0</v>
      </c>
      <c r="M85" s="20">
        <f>$I$42*$M$42</f>
        <v>0</v>
      </c>
      <c r="N85" s="20">
        <f>$I$42*$N$42</f>
        <v>0</v>
      </c>
      <c r="O85" s="20">
        <f>$I$42*$O$42</f>
        <v>0</v>
      </c>
      <c r="P85" s="20">
        <f>$I$42*$P$42</f>
        <v>0</v>
      </c>
      <c r="Q85" s="20">
        <f>$I$42*$Q$42</f>
        <v>0</v>
      </c>
      <c r="R85" s="20">
        <f>$I$42*$R$42</f>
        <v>0</v>
      </c>
      <c r="S85" s="20">
        <f>$I$42*$S$42</f>
        <v>0</v>
      </c>
      <c r="T85" s="20">
        <f>$I$42*$T$42</f>
        <v>0</v>
      </c>
      <c r="U85" s="20">
        <f>$I$42*$U$42</f>
        <v>0</v>
      </c>
      <c r="V85" s="20">
        <f>$I$42*$V$42</f>
        <v>0</v>
      </c>
      <c r="X85" s="20">
        <f>$I$42*$X$42</f>
        <v>0</v>
      </c>
      <c r="Y85" s="20">
        <f>$I$42*$Y$42</f>
        <v>0</v>
      </c>
      <c r="Z85" s="20">
        <f>$I$42*$Z$42</f>
        <v>0</v>
      </c>
      <c r="AA85" s="20">
        <f>$I$42*$AA$42</f>
        <v>0</v>
      </c>
      <c r="AB85" s="20">
        <f>$I$42*$AB$42</f>
        <v>0</v>
      </c>
      <c r="AC85" s="20">
        <f>$I$42*$AC$42</f>
        <v>0</v>
      </c>
      <c r="AD85" s="20">
        <f>$I$42*$AD$42</f>
        <v>0</v>
      </c>
      <c r="AE85" s="20">
        <f>$I$42*$AE$42</f>
        <v>0</v>
      </c>
      <c r="AF85" s="20">
        <f>$I$42*$AF$42</f>
        <v>0</v>
      </c>
      <c r="AG85" s="20">
        <f>$I$42*$AG$42</f>
        <v>0</v>
      </c>
      <c r="AH85" s="20">
        <f>$I$42*$AH$42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7"/>
    <mergeCell ref="B5:B6"/>
    <mergeCell ref="C5:C6"/>
    <mergeCell ref="D5:D6"/>
    <mergeCell ref="E5:E6"/>
    <mergeCell ref="A8:A20"/>
    <mergeCell ref="B8:B10"/>
    <mergeCell ref="C8:C10"/>
    <mergeCell ref="D8:D10"/>
    <mergeCell ref="E8:E10"/>
    <mergeCell ref="B11:B15"/>
    <mergeCell ref="C11:C15"/>
    <mergeCell ref="B16:B20"/>
    <mergeCell ref="C16:C20"/>
    <mergeCell ref="A21:A35"/>
    <mergeCell ref="B21:B23"/>
    <mergeCell ref="C21:C23"/>
    <mergeCell ref="D21:D23"/>
    <mergeCell ref="E21:E23"/>
    <mergeCell ref="B25:B27"/>
    <mergeCell ref="C25:C27"/>
    <mergeCell ref="D25:D27"/>
    <mergeCell ref="E25:E27"/>
    <mergeCell ref="X1:AH1"/>
    <mergeCell ref="X2:AH2"/>
    <mergeCell ref="X3:AB3"/>
    <mergeCell ref="AD3:AF3"/>
    <mergeCell ref="B33:B35"/>
    <mergeCell ref="C33:C35"/>
    <mergeCell ref="F25:F27"/>
    <mergeCell ref="B29:B31"/>
    <mergeCell ref="C29:C31"/>
    <mergeCell ref="D29:D31"/>
    <mergeCell ref="E29:E31"/>
    <mergeCell ref="F29:F31"/>
    <mergeCell ref="F21:F23"/>
    <mergeCell ref="F8:F10"/>
    <mergeCell ref="F5:F6"/>
    <mergeCell ref="G1:G4"/>
    <mergeCell ref="E36:E38"/>
    <mergeCell ref="F36:F38"/>
    <mergeCell ref="A41:A42"/>
    <mergeCell ref="B41:B42"/>
    <mergeCell ref="C41:C42"/>
    <mergeCell ref="A36:A40"/>
    <mergeCell ref="B36:B38"/>
    <mergeCell ref="C36:C38"/>
    <mergeCell ref="D36:D38"/>
    <mergeCell ref="L44:V44"/>
    <mergeCell ref="X44:AH44"/>
    <mergeCell ref="L45:V45"/>
    <mergeCell ref="X45:AH45"/>
    <mergeCell ref="L46:P46"/>
    <mergeCell ref="R46:T46"/>
    <mergeCell ref="X46:AB46"/>
    <mergeCell ref="AD46:AF46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209-B548-472C-8EB5-C3DAFD86E387}">
  <sheetPr codeName="Planilha25"/>
  <dimension ref="A1:AG15"/>
  <sheetViews>
    <sheetView showGridLines="0" topLeftCell="A10" workbookViewId="0">
      <selection activeCell="A2" sqref="A2"/>
    </sheetView>
  </sheetViews>
  <sheetFormatPr defaultColWidth="9.140625"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1122</v>
      </c>
      <c r="AA1" s="14" t="s">
        <v>34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32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B3</v>
      </c>
      <c r="AA2" s="14" t="s">
        <v>79</v>
      </c>
      <c r="AB2" s="14" t="s">
        <v>73</v>
      </c>
      <c r="AC2" s="14" t="s">
        <v>24</v>
      </c>
      <c r="AD2" s="14" t="s">
        <v>24</v>
      </c>
      <c r="AE2" s="14" t="s">
        <v>77</v>
      </c>
      <c r="AG2" s="14" t="s">
        <v>75</v>
      </c>
    </row>
    <row r="3" spans="1:33" x14ac:dyDescent="0.2">
      <c r="AA3" s="14" t="s">
        <v>22</v>
      </c>
      <c r="AB3" s="14" t="s">
        <v>78</v>
      </c>
      <c r="AC3" s="14" t="s">
        <v>42</v>
      </c>
      <c r="AD3" s="14" t="s">
        <v>28</v>
      </c>
      <c r="AE3" s="14" t="s">
        <v>80</v>
      </c>
      <c r="AG3" s="14" t="s">
        <v>76</v>
      </c>
    </row>
    <row r="4" spans="1:33" x14ac:dyDescent="0.2">
      <c r="AA4" s="14" t="s">
        <v>41</v>
      </c>
      <c r="AB4" s="14" t="s">
        <v>35</v>
      </c>
      <c r="AC4" s="14" t="s">
        <v>45</v>
      </c>
      <c r="AD4" s="14" t="s">
        <v>29</v>
      </c>
      <c r="AE4" s="14" t="s">
        <v>81</v>
      </c>
      <c r="AG4" s="14" t="s">
        <v>72</v>
      </c>
    </row>
    <row r="5" spans="1:33" x14ac:dyDescent="0.2">
      <c r="A5" s="14" t="s">
        <v>1115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457</v>
      </c>
      <c r="AA5" s="14" t="s">
        <v>32</v>
      </c>
      <c r="AB5" s="14" t="s">
        <v>38</v>
      </c>
      <c r="AD5" s="14" t="s">
        <v>30</v>
      </c>
      <c r="AG5" s="14" t="s">
        <v>9</v>
      </c>
    </row>
    <row r="6" spans="1:33" x14ac:dyDescent="0.2">
      <c r="A6" s="14" t="s">
        <v>1116</v>
      </c>
      <c r="B6" s="39">
        <f>SUM(TUSD!$AI$57:'TUSD'!$AI$103)</f>
        <v>0</v>
      </c>
      <c r="C6" s="39">
        <f>SUM(TUSD!$AJ$57:'TUSD'!$AJ$103)</f>
        <v>15734.56915919627</v>
      </c>
      <c r="D6" s="39">
        <f>SUM(TUSD!$AK$57:'TUSD'!$AK$103)</f>
        <v>58064.08589056386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1238246.6310799685</v>
      </c>
      <c r="H6" s="39">
        <f>SUM(TUSD!$AO$57:'TUSD'!$AO$103)</f>
        <v>217657.52809757105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2176164.655304051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3029659.5656749541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276171.31549252366</v>
      </c>
      <c r="U6" s="39">
        <f>SUM(TUSD!$BB$57:'TUSD'!$BB$103)</f>
        <v>0</v>
      </c>
      <c r="V6" s="39">
        <f>SUM(TUSD!$BC$57:'TUSD'!$BC$103)</f>
        <v>28596.146996411422</v>
      </c>
      <c r="W6" s="39">
        <f>SUM(TUSD!$BD$57:'TUSD'!$BD$103)</f>
        <v>8614.2863999674828</v>
      </c>
      <c r="X6" s="39">
        <f t="shared" ref="X6:X11" si="0">SUM(B6:W6)</f>
        <v>7048908.7840952072</v>
      </c>
      <c r="AA6" s="14" t="s">
        <v>44</v>
      </c>
      <c r="AB6" s="14" t="s">
        <v>23</v>
      </c>
      <c r="AD6" s="14" t="s">
        <v>31</v>
      </c>
      <c r="AG6" s="14" t="s">
        <v>69</v>
      </c>
    </row>
    <row r="7" spans="1:33" x14ac:dyDescent="0.2">
      <c r="A7" s="14" t="s">
        <v>1117</v>
      </c>
      <c r="B7" s="39">
        <f>SUM(TUSD!$L$57:'TUSD'!$L$103)</f>
        <v>0</v>
      </c>
      <c r="C7" s="39">
        <f>SUM(TUSD!$M$57:'TUSD'!$M$103)</f>
        <v>18538.148677024834</v>
      </c>
      <c r="D7" s="39">
        <f ca="1">SUM(TUSD!$N$57:'TUSD'!$N$103)</f>
        <v>61905.352111664877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2026828.1386584397</v>
      </c>
      <c r="H7" s="39">
        <f>SUM(TUSD!$R$57:'TUSD'!$R$103)</f>
        <v>350376.15795674082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2054528.489446989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3459787.5647194847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252505.88269405818</v>
      </c>
      <c r="U7" s="39">
        <f>SUM(TUSD!$AE$57:'TUSD'!$AE$103)</f>
        <v>0</v>
      </c>
      <c r="V7" s="39">
        <f ca="1">SUM(TUSD!$AF$57:'TUSD'!$AF$103)</f>
        <v>25599.99592747858</v>
      </c>
      <c r="W7" s="39">
        <f ca="1">SUM(TUSD!$AG$57:'TUSD'!$AG$103)</f>
        <v>8088.4735807721318</v>
      </c>
      <c r="X7" s="39">
        <f t="shared" ca="1" si="0"/>
        <v>8258158.203772652</v>
      </c>
      <c r="AB7" s="14" t="s">
        <v>84</v>
      </c>
      <c r="AD7" s="14" t="s">
        <v>85</v>
      </c>
      <c r="AG7" s="14" t="s">
        <v>70</v>
      </c>
    </row>
    <row r="8" spans="1:33" x14ac:dyDescent="0.2">
      <c r="A8" s="14" t="s">
        <v>1120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5258.9270314121595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18996.669957454927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310659.04205086181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51584.867132357365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445464.42012106191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1005267.9067435475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101765.08409448242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7982.5277613689113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2404.6519393242893</v>
      </c>
      <c r="X8" s="39">
        <f t="shared" si="0"/>
        <v>1949384.0968318714</v>
      </c>
      <c r="AD8" s="14" t="s">
        <v>86</v>
      </c>
      <c r="AG8" s="14" t="s">
        <v>82</v>
      </c>
    </row>
    <row r="9" spans="1:33" x14ac:dyDescent="0.2">
      <c r="A9" s="14" t="s">
        <v>1121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6358.0055454173689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20866.406959303989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515453.73798370047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83036.309564736279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464991.29160174326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1184322.2716827688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93039.678992919784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7304.7705760901999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2307.986453813729</v>
      </c>
      <c r="X9" s="39">
        <f t="shared" ca="1" si="0"/>
        <v>2377680.4593604933</v>
      </c>
      <c r="AD9" s="14" t="s">
        <v>46</v>
      </c>
    </row>
    <row r="10" spans="1:33" x14ac:dyDescent="0.2">
      <c r="A10" s="14" t="s">
        <v>1118</v>
      </c>
      <c r="B10" s="39">
        <f>SUMIF(TUSD!$A$57:'TUSD'!$A$103,$A$2,TUSD!$AI$57:'TUSD'!$AI$103)</f>
        <v>0</v>
      </c>
      <c r="C10" s="39">
        <f>SUMIF(TUSD!$A$57:'TUSD'!$A$103,$A$2,TUSD!$AJ$57:'TUSD'!$AJ$103)</f>
        <v>5258.9270314121595</v>
      </c>
      <c r="D10" s="39">
        <f>SUMIF(TUSD!$A$57:'TUSD'!$A$103,$A$2,TUSD!$AK$57:'TUSD'!$AK$103)</f>
        <v>18996.669957454927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310659.04205086181</v>
      </c>
      <c r="H10" s="39">
        <f>SUMIF(TUSD!$A$57:'TUSD'!$A$103,$A$2,TUSD!$AO$57:'TUSD'!$AO$103)</f>
        <v>51584.867132357365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445464.42012106191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1005267.9067435475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101765.08409448242</v>
      </c>
      <c r="U10" s="39">
        <f>SUMIF(TUSD!$A$57:'TUSD'!$A$103,$A$2,TUSD!$BB$57:'TUSD'!$BB$103)</f>
        <v>0</v>
      </c>
      <c r="V10" s="39">
        <f>SUMIF(TUSD!$A$57:'TUSD'!$A$103,$A$2,TUSD!$BC$57:'TUSD'!$BC$103)</f>
        <v>7982.5277613689113</v>
      </c>
      <c r="W10" s="39">
        <f>SUMIF(TUSD!$A$57:'TUSD'!$A$103,$A$2,TUSD!$BD$57:'TUSD'!$BD$103)</f>
        <v>2404.6519393242893</v>
      </c>
      <c r="X10" s="39">
        <f t="shared" si="0"/>
        <v>1949384.0968318714</v>
      </c>
      <c r="AD10" s="14" t="s">
        <v>87</v>
      </c>
    </row>
    <row r="11" spans="1:33" x14ac:dyDescent="0.2">
      <c r="A11" s="14" t="s">
        <v>1119</v>
      </c>
      <c r="B11" s="39">
        <f>SUMIF(TUSD!$A$57:'TUSD'!$A$103,$A$2,TUSD!$L$57:'TUSD'!$L$103)</f>
        <v>0</v>
      </c>
      <c r="C11" s="39">
        <f>SUMIF(TUSD!$A$57:'TUSD'!$A$103,$A$2,TUSD!$M$57:'TUSD'!$M$103)</f>
        <v>6358.0055454173689</v>
      </c>
      <c r="D11" s="39">
        <f ca="1">SUMIF(TUSD!$A$57:'TUSD'!$A$103,$A$2,TUSD!$N$57:'TUSD'!$N$103)</f>
        <v>20866.406959303989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515453.73798370047</v>
      </c>
      <c r="H11" s="39">
        <f>SUMIF(TUSD!$A$57:'TUSD'!$A$103,$A$2,TUSD!$R$57:'TUSD'!$R$103)</f>
        <v>83036.309564736279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464991.29160174326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1184322.2716827688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93039.678992919784</v>
      </c>
      <c r="U11" s="39">
        <f>SUMIF(TUSD!$A$57:'TUSD'!$A$103,$A$2,TUSD!$AE$57:'TUSD'!$AE$103)</f>
        <v>0</v>
      </c>
      <c r="V11" s="39">
        <f ca="1">SUMIF(TUSD!$A$57:'TUSD'!$A$103,$A$2,TUSD!$AF$57:'TUSD'!$AF$103)</f>
        <v>7304.7705760901999</v>
      </c>
      <c r="W11" s="39">
        <f ca="1">SUMIF(TUSD!$A$57:'TUSD'!$A$103,$A$2,TUSD!$AG$57:'TUSD'!$AG$103)</f>
        <v>2307.986453813729</v>
      </c>
      <c r="X11" s="39">
        <f t="shared" ca="1" si="0"/>
        <v>2377680.4593604933</v>
      </c>
    </row>
    <row r="13" spans="1:33" x14ac:dyDescent="0.2">
      <c r="A13" s="14" t="s">
        <v>1123</v>
      </c>
      <c r="B13" s="93">
        <f t="shared" ref="B13:X13" si="1">IF($X$6&lt;&gt;0,(B$7-B$6)/$X$6,0)</f>
        <v>0</v>
      </c>
      <c r="C13" s="93">
        <f t="shared" si="1"/>
        <v>3.977324155696859E-4</v>
      </c>
      <c r="D13" s="93">
        <f t="shared" ca="1" si="1"/>
        <v>5.4494480475733369E-4</v>
      </c>
      <c r="E13" s="93">
        <f t="shared" si="1"/>
        <v>0</v>
      </c>
      <c r="F13" s="93">
        <f t="shared" si="1"/>
        <v>0</v>
      </c>
      <c r="G13" s="93">
        <f t="shared" si="1"/>
        <v>0.11187284893766616</v>
      </c>
      <c r="H13" s="93">
        <f t="shared" si="1"/>
        <v>1.8828251850645197E-2</v>
      </c>
      <c r="I13" s="93">
        <f t="shared" si="1"/>
        <v>0</v>
      </c>
      <c r="J13" s="93">
        <f t="shared" si="1"/>
        <v>0</v>
      </c>
      <c r="K13" s="93">
        <f t="shared" si="1"/>
        <v>0</v>
      </c>
      <c r="L13" s="93">
        <f t="shared" si="1"/>
        <v>0</v>
      </c>
      <c r="M13" s="93">
        <f t="shared" si="1"/>
        <v>0</v>
      </c>
      <c r="N13" s="93">
        <f t="shared" si="1"/>
        <v>-1.7256027788516079E-2</v>
      </c>
      <c r="O13" s="93">
        <f t="shared" si="1"/>
        <v>0</v>
      </c>
      <c r="P13" s="93">
        <f t="shared" si="1"/>
        <v>0</v>
      </c>
      <c r="Q13" s="93">
        <f t="shared" si="1"/>
        <v>6.102050859489757E-2</v>
      </c>
      <c r="R13" s="93">
        <f t="shared" ca="1" si="1"/>
        <v>0</v>
      </c>
      <c r="S13" s="93">
        <f t="shared" ca="1" si="1"/>
        <v>0</v>
      </c>
      <c r="T13" s="93">
        <f t="shared" si="1"/>
        <v>-3.3573186323339775E-3</v>
      </c>
      <c r="U13" s="93">
        <f t="shared" si="1"/>
        <v>0</v>
      </c>
      <c r="V13" s="93">
        <f t="shared" ca="1" si="1"/>
        <v>-4.2505175775478933E-4</v>
      </c>
      <c r="W13" s="93">
        <f t="shared" ca="1" si="1"/>
        <v>-7.4594924590564698E-5</v>
      </c>
      <c r="X13" s="93">
        <f t="shared" ca="1" si="1"/>
        <v>0.17155129350034043</v>
      </c>
    </row>
    <row r="14" spans="1:33" x14ac:dyDescent="0.2">
      <c r="A14" s="14" t="s">
        <v>1124</v>
      </c>
      <c r="B14" s="93">
        <f t="shared" ref="B14:X14" si="2">IF($X$10&lt;&gt;0,(B$9-B$8)/$X$10,0)</f>
        <v>0</v>
      </c>
      <c r="C14" s="93">
        <f t="shared" si="2"/>
        <v>5.6380808471323117E-4</v>
      </c>
      <c r="D14" s="93">
        <f t="shared" ca="1" si="2"/>
        <v>9.5914243113388918E-4</v>
      </c>
      <c r="E14" s="93">
        <f t="shared" si="2"/>
        <v>0</v>
      </c>
      <c r="F14" s="93">
        <f t="shared" si="2"/>
        <v>0</v>
      </c>
      <c r="G14" s="93">
        <f t="shared" si="2"/>
        <v>0.10505610272786667</v>
      </c>
      <c r="H14" s="93">
        <f t="shared" si="2"/>
        <v>1.6134040738043174E-2</v>
      </c>
      <c r="I14" s="93">
        <f t="shared" si="2"/>
        <v>0</v>
      </c>
      <c r="J14" s="93">
        <f t="shared" si="2"/>
        <v>0</v>
      </c>
      <c r="K14" s="93">
        <f t="shared" si="2"/>
        <v>0</v>
      </c>
      <c r="L14" s="93">
        <f t="shared" si="2"/>
        <v>0</v>
      </c>
      <c r="M14" s="93">
        <f t="shared" si="2"/>
        <v>0</v>
      </c>
      <c r="N14" s="93">
        <f t="shared" si="2"/>
        <v>1.0016944076037308E-2</v>
      </c>
      <c r="O14" s="93">
        <f t="shared" si="2"/>
        <v>0</v>
      </c>
      <c r="P14" s="93">
        <f t="shared" si="2"/>
        <v>0</v>
      </c>
      <c r="Q14" s="93">
        <f t="shared" si="2"/>
        <v>9.1851762425998795E-2</v>
      </c>
      <c r="R14" s="93">
        <f t="shared" ca="1" si="2"/>
        <v>0</v>
      </c>
      <c r="S14" s="93">
        <f t="shared" ca="1" si="2"/>
        <v>0</v>
      </c>
      <c r="T14" s="93">
        <f t="shared" si="2"/>
        <v>-4.4759804472310578E-3</v>
      </c>
      <c r="U14" s="93">
        <f t="shared" si="2"/>
        <v>0</v>
      </c>
      <c r="V14" s="93">
        <f t="shared" ca="1" si="2"/>
        <v>-3.4767760052018416E-4</v>
      </c>
      <c r="W14" s="93">
        <f t="shared" ca="1" si="2"/>
        <v>-4.9587706018357558E-5</v>
      </c>
      <c r="X14" s="93">
        <f t="shared" ca="1" si="2"/>
        <v>0.21970855473002313</v>
      </c>
    </row>
    <row r="15" spans="1:33" x14ac:dyDescent="0.2">
      <c r="A15" s="14" t="s">
        <v>1125</v>
      </c>
      <c r="B15" s="93">
        <f t="shared" ref="B15:X15" si="3">IF($X$8&lt;&gt;0,(B$9-B$8)/$X$8,0)</f>
        <v>0</v>
      </c>
      <c r="C15" s="93">
        <f t="shared" si="3"/>
        <v>5.6380808471323117E-4</v>
      </c>
      <c r="D15" s="93">
        <f t="shared" ca="1" si="3"/>
        <v>9.5914243113388918E-4</v>
      </c>
      <c r="E15" s="93">
        <f t="shared" si="3"/>
        <v>0</v>
      </c>
      <c r="F15" s="93">
        <f t="shared" si="3"/>
        <v>0</v>
      </c>
      <c r="G15" s="93">
        <f t="shared" si="3"/>
        <v>0.10505610272786667</v>
      </c>
      <c r="H15" s="93">
        <f t="shared" si="3"/>
        <v>1.6134040738043174E-2</v>
      </c>
      <c r="I15" s="93">
        <f t="shared" si="3"/>
        <v>0</v>
      </c>
      <c r="J15" s="93">
        <f t="shared" si="3"/>
        <v>0</v>
      </c>
      <c r="K15" s="93">
        <f t="shared" si="3"/>
        <v>0</v>
      </c>
      <c r="L15" s="93">
        <f t="shared" si="3"/>
        <v>0</v>
      </c>
      <c r="M15" s="93">
        <f t="shared" si="3"/>
        <v>0</v>
      </c>
      <c r="N15" s="93">
        <f t="shared" si="3"/>
        <v>1.0016944076037308E-2</v>
      </c>
      <c r="O15" s="93">
        <f t="shared" si="3"/>
        <v>0</v>
      </c>
      <c r="P15" s="93">
        <f t="shared" si="3"/>
        <v>0</v>
      </c>
      <c r="Q15" s="93">
        <f t="shared" si="3"/>
        <v>9.1851762425998795E-2</v>
      </c>
      <c r="R15" s="93">
        <f t="shared" ca="1" si="3"/>
        <v>0</v>
      </c>
      <c r="S15" s="93">
        <f t="shared" ca="1" si="3"/>
        <v>0</v>
      </c>
      <c r="T15" s="93">
        <f t="shared" si="3"/>
        <v>-4.4759804472310578E-3</v>
      </c>
      <c r="U15" s="93">
        <f t="shared" si="3"/>
        <v>0</v>
      </c>
      <c r="V15" s="93">
        <f t="shared" ca="1" si="3"/>
        <v>-3.4767760052018416E-4</v>
      </c>
      <c r="W15" s="93">
        <f t="shared" ca="1" si="3"/>
        <v>-4.9587706018357558E-5</v>
      </c>
      <c r="X15" s="93">
        <f t="shared" ca="1" si="3"/>
        <v>0.21970855473002313</v>
      </c>
    </row>
  </sheetData>
  <dataValidations count="6">
    <dataValidation type="list" allowBlank="1" showInputMessage="1" showErrorMessage="1" error="Deve-se selecionar grupo válido" sqref="A2" xr:uid="{E44D4565-FD66-4246-9C01-A7172BBE73EA}">
      <formula1>AA1:AA6</formula1>
    </dataValidation>
    <dataValidation type="list" allowBlank="1" showInputMessage="1" showErrorMessage="1" error="Deve-se selecionar grupo válido" sqref="B2" xr:uid="{40B01EFF-AD2C-4A4F-8F3A-98F9F15816E0}">
      <formula1>AB1:AB7</formula1>
    </dataValidation>
    <dataValidation type="list" allowBlank="1" showInputMessage="1" showErrorMessage="1" error="Deve-se selecionar grupo válido" sqref="C2 E2" xr:uid="{42375C33-951C-4B7C-B4B7-6F3659242DED}">
      <formula1>AC1:AC4</formula1>
    </dataValidation>
    <dataValidation type="list" allowBlank="1" showInputMessage="1" showErrorMessage="1" error="Deve-se selecionar grupo válido" sqref="D2" xr:uid="{D347CE06-C41F-4729-B7DF-54B5F067B67E}">
      <formula1>AD1:AD10</formula1>
    </dataValidation>
    <dataValidation type="list" allowBlank="1" showInputMessage="1" showErrorMessage="1" error="Deve-se selecionar grupo válido" sqref="F2" xr:uid="{25419E2E-FBC0-4F21-A465-53B6BC78E024}">
      <formula1>AF1:AF1</formula1>
    </dataValidation>
    <dataValidation type="list" allowBlank="1" showInputMessage="1" showErrorMessage="1" error="Deve-se selecionar grupo válido" sqref="G2" xr:uid="{72896FF2-7B83-44B6-B68D-CE8EEBD72712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065F-5FC4-40D7-9DC5-A9B41CF57FE8}">
  <sheetPr codeName="Planilha26"/>
  <dimension ref="A1:AG15"/>
  <sheetViews>
    <sheetView showGridLines="0" workbookViewId="0">
      <selection activeCell="J15" sqref="J15"/>
    </sheetView>
  </sheetViews>
  <sheetFormatPr defaultColWidth="9.140625"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15</v>
      </c>
      <c r="G1" s="14" t="s">
        <v>64</v>
      </c>
      <c r="I1" s="14" t="s">
        <v>1122</v>
      </c>
      <c r="AA1" s="14" t="s">
        <v>34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34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67</v>
      </c>
      <c r="AC2" s="14" t="s">
        <v>24</v>
      </c>
      <c r="AD2" s="14" t="s">
        <v>24</v>
      </c>
      <c r="AG2" s="14" t="s">
        <v>69</v>
      </c>
    </row>
    <row r="3" spans="1:33" x14ac:dyDescent="0.2">
      <c r="AA3" s="14" t="s">
        <v>41</v>
      </c>
      <c r="AB3" s="14" t="s">
        <v>71</v>
      </c>
      <c r="AC3" s="14" t="s">
        <v>42</v>
      </c>
      <c r="AD3" s="14" t="s">
        <v>28</v>
      </c>
      <c r="AG3" s="14" t="s">
        <v>70</v>
      </c>
    </row>
    <row r="4" spans="1:33" x14ac:dyDescent="0.2">
      <c r="AA4" s="14" t="s">
        <v>32</v>
      </c>
      <c r="AB4" s="14" t="s">
        <v>83</v>
      </c>
      <c r="AC4" s="14" t="s">
        <v>45</v>
      </c>
      <c r="AD4" s="14" t="s">
        <v>29</v>
      </c>
      <c r="AG4" s="14" t="s">
        <v>72</v>
      </c>
    </row>
    <row r="5" spans="1:33" x14ac:dyDescent="0.2">
      <c r="A5" s="14" t="s">
        <v>1115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457</v>
      </c>
      <c r="AA5" s="14" t="s">
        <v>44</v>
      </c>
      <c r="AD5" s="14" t="s">
        <v>30</v>
      </c>
      <c r="AG5" s="14" t="s">
        <v>82</v>
      </c>
    </row>
    <row r="6" spans="1:33" x14ac:dyDescent="0.2">
      <c r="A6" s="14" t="s">
        <v>1116</v>
      </c>
      <c r="B6" s="39">
        <f>SUM(TE!$X$48:'TE'!$X$85)</f>
        <v>45761.629191040549</v>
      </c>
      <c r="C6" s="39">
        <f>SUM(TE!$Y$48:'TE'!$Y$85)</f>
        <v>0</v>
      </c>
      <c r="D6" s="39">
        <f>SUM(TE!$Z$48:'TE'!$Z$85)</f>
        <v>0</v>
      </c>
      <c r="E6" s="39">
        <f>SUM(TE!$AA$48:'TE'!$AA$85)</f>
        <v>0</v>
      </c>
      <c r="F6" s="39">
        <f>SUM(TE!$AB$48:'TE'!$AB$85)</f>
        <v>0</v>
      </c>
      <c r="G6" s="39">
        <f>SUM(TE!$AC$48:'TE'!$AC$85)</f>
        <v>4617043.2298137378</v>
      </c>
      <c r="H6" s="39">
        <f>SUM(TE!$AD$48:'TE'!$AD$85)</f>
        <v>0</v>
      </c>
      <c r="I6" s="39">
        <f>SUM(TE!$AE$48:'TE'!$AE$85)</f>
        <v>0</v>
      </c>
      <c r="J6" s="39">
        <f>SUM(TE!$AF$48:'TE'!$AF$85)</f>
        <v>0</v>
      </c>
      <c r="K6" s="39">
        <f>SUM(TE!$AG$48:'TE'!$AG$85)</f>
        <v>0</v>
      </c>
      <c r="L6" s="39">
        <f>SUM(TE!$AH$48:'TE'!$AH$85)</f>
        <v>0</v>
      </c>
      <c r="M6" s="39">
        <f t="shared" ref="M6:M11" si="0">SUM(B6:L6)</f>
        <v>4662804.8590047788</v>
      </c>
      <c r="AD6" s="14" t="s">
        <v>31</v>
      </c>
    </row>
    <row r="7" spans="1:33" x14ac:dyDescent="0.2">
      <c r="A7" s="14" t="s">
        <v>1117</v>
      </c>
      <c r="B7" s="39">
        <f>SUM(TE!$L$48:'TE'!$L$85)</f>
        <v>41455.497644945099</v>
      </c>
      <c r="C7" s="39">
        <f>SUM(TE!$M$48:'TE'!$M$85)</f>
        <v>0</v>
      </c>
      <c r="D7" s="39">
        <f>SUM(TE!$N$48:'TE'!$N$85)</f>
        <v>0</v>
      </c>
      <c r="E7" s="39">
        <f>SUM(TE!$O$48:'TE'!$O$85)</f>
        <v>-145.04890687860404</v>
      </c>
      <c r="F7" s="39">
        <f>SUM(TE!$P$48:'TE'!$P$85)</f>
        <v>0</v>
      </c>
      <c r="G7" s="39">
        <f>SUM(TE!$Q$48:'TE'!$Q$85)</f>
        <v>4180739.6722901626</v>
      </c>
      <c r="H7" s="39">
        <f>SUM(TE!$R$48:'TE'!$R$85)</f>
        <v>0</v>
      </c>
      <c r="I7" s="39">
        <f>SUM(TE!$S$48:'TE'!$S$85)</f>
        <v>0</v>
      </c>
      <c r="J7" s="39">
        <f>SUM(TE!$T$48:'TE'!$T$85)</f>
        <v>0</v>
      </c>
      <c r="K7" s="39">
        <f>SUM(TE!$U$48:'TE'!$U$85)</f>
        <v>0</v>
      </c>
      <c r="L7" s="39">
        <f>SUM(TE!$V$48:'TE'!$V$85)</f>
        <v>0</v>
      </c>
      <c r="M7" s="39">
        <f t="shared" si="0"/>
        <v>4222050.1210282296</v>
      </c>
      <c r="AD7" s="14" t="s">
        <v>85</v>
      </c>
    </row>
    <row r="8" spans="1:33" x14ac:dyDescent="0.2">
      <c r="A8" s="14" t="s">
        <v>1120</v>
      </c>
      <c r="B8" s="39">
        <f>IF($G$2&lt;&gt;"Não se aplica",SUMIF(TE!$G$48:'TE'!$G$85,$I$2,TE!$X$48:'TE'!$X$85),IF($F$2&lt;&gt;"Não se aplica",SUMIF(TE!$F$48:'TE'!$F$85,$I$2,TE!$X$48:'TE'!$X$85),IF($E$2&lt;&gt;"Não se aplica",SUMIF(TE!$E$48:'TE'!$E$85,$I$2,TE!$X$48:'TE'!$X$85),IF($D$2&lt;&gt;"Não se aplica",SUMIF(TE!$D$48:'TE'!$D$85,$I$2,TE!$X$48:'TE'!$X$85),IF($C$2&lt;&gt;"Não se aplica",SUMIF(TE!$C$48:'TE'!$C$85,$I$2,TE!$X$48:'TE'!$X$85),IF($B$2&lt;&gt;"Não se aplica",SUMIF(TE!$B$48:'TE'!$B$85,$I$2,TE!$X$48:'TE'!$X$85),SUMIF(TE!$A$48:'TE'!$A$85,$I$2,TE!$X$48:'TE'!$X$85)))))))</f>
        <v>7220.3010250032812</v>
      </c>
      <c r="C8" s="39">
        <f>IF($G$2&lt;&gt;"Não se aplica",SUMIF(TE!$G$48:'TE'!$G$85,$I$2,TE!$Y$48:'TE'!$Y$85),IF($F$2&lt;&gt;"Não se aplica",SUMIF(TE!$F$48:'TE'!$F$85,$I$2,TE!$Y$48:'TE'!$Y$85),IF($E$2&lt;&gt;"Não se aplica",SUMIF(TE!$E$48:'TE'!$E$85,$I$2,TE!$Y$48:'TE'!$Y$85),IF($D$2&lt;&gt;"Não se aplica",SUMIF(TE!$D$48:'TE'!$D$85,$I$2,TE!$Y$48:'TE'!$Y$85),IF($C$2&lt;&gt;"Não se aplica",SUMIF(TE!$C$48:'TE'!$C$85,$I$2,TE!$Y$48:'TE'!$Y$85),IF($B$2&lt;&gt;"Não se aplica",SUMIF(TE!$B$48:'TE'!$B$85,$I$2,TE!$Y$48:'TE'!$Y$85),SUMIF(TE!$A$48:'TE'!$A$85,$I$2,TE!$Y$48:'TE'!$Y$85)))))))</f>
        <v>0</v>
      </c>
      <c r="D8" s="39">
        <f>IF($G$2&lt;&gt;"Não se aplica",SUMIF(TE!$G$48:'TE'!$G$85,$I$2,TE!$Z$48:'TE'!$Z$85),IF($F$2&lt;&gt;"Não se aplica",SUMIF(TE!$F$48:'TE'!$F$85,$I$2,TE!$Z$48:'TE'!$Z$85),IF($E$2&lt;&gt;"Não se aplica",SUMIF(TE!$E$48:'TE'!$E$85,$I$2,TE!$Z$48:'TE'!$Z$85),IF($D$2&lt;&gt;"Não se aplica",SUMIF(TE!$D$48:'TE'!$D$85,$I$2,TE!$Z$48:'TE'!$Z$85),IF($C$2&lt;&gt;"Não se aplica",SUMIF(TE!$C$48:'TE'!$C$85,$I$2,TE!$Z$48:'TE'!$Z$85),IF($B$2&lt;&gt;"Não se aplica",SUMIF(TE!$B$48:'TE'!$B$85,$I$2,TE!$Z$48:'TE'!$Z$85),SUMIF(TE!$A$48:'TE'!$A$85,$I$2,TE!$Z$48:'TE'!$Z$85)))))))</f>
        <v>0</v>
      </c>
      <c r="E8" s="39">
        <f>IF($G$2&lt;&gt;"Não se aplica",SUMIF(TE!$G$48:'TE'!$G$85,$I$2,TE!$AA$48:'TE'!$AA$85),IF($F$2&lt;&gt;"Não se aplica",SUMIF(TE!$F$48:'TE'!$F$85,$I$2,TE!$AA$48:'TE'!$AA$85),IF($E$2&lt;&gt;"Não se aplica",SUMIF(TE!$E$48:'TE'!$E$85,$I$2,TE!$AA$48:'TE'!$AA$85),IF($D$2&lt;&gt;"Não se aplica",SUMIF(TE!$D$48:'TE'!$D$85,$I$2,TE!$AA$48:'TE'!$AA$85),IF($C$2&lt;&gt;"Não se aplica",SUMIF(TE!$C$48:'TE'!$C$85,$I$2,TE!$AA$48:'TE'!$AA$85),IF($B$2&lt;&gt;"Não se aplica",SUMIF(TE!$B$48:'TE'!$B$85,$I$2,TE!$AA$48:'TE'!$AA$85),SUMIF(TE!$A$48:'TE'!$A$85,$I$2,TE!$AA$48:'TE'!$AA$85)))))))</f>
        <v>0</v>
      </c>
      <c r="F8" s="39">
        <f>IF($G$2&lt;&gt;"Não se aplica",SUMIF(TE!$G$48:'TE'!$G$85,$I$2,TE!$AB$48:'TE'!$AB$85),IF($F$2&lt;&gt;"Não se aplica",SUMIF(TE!$F$48:'TE'!$F$85,$I$2,TE!$AB$48:'TE'!$AB$85),IF($E$2&lt;&gt;"Não se aplica",SUMIF(TE!$E$48:'TE'!$E$85,$I$2,TE!$AB$48:'TE'!$AB$85),IF($D$2&lt;&gt;"Não se aplica",SUMIF(TE!$D$48:'TE'!$D$85,$I$2,TE!$AB$48:'TE'!$AB$85),IF($C$2&lt;&gt;"Não se aplica",SUMIF(TE!$C$48:'TE'!$C$85,$I$2,TE!$AB$48:'TE'!$AB$85),IF($B$2&lt;&gt;"Não se aplica",SUMIF(TE!$B$48:'TE'!$B$85,$I$2,TE!$AB$48:'TE'!$AB$85),SUMIF(TE!$A$48:'TE'!$A$85,$I$2,TE!$AB$48:'TE'!$AB$85)))))))</f>
        <v>0</v>
      </c>
      <c r="G8" s="39">
        <f>IF($G$2&lt;&gt;"Não se aplica",SUMIF(TE!$G$48:'TE'!$G$85,$I$2,TE!$AC$48:'TE'!$AC$85),IF($F$2&lt;&gt;"Não se aplica",SUMIF(TE!$F$48:'TE'!$F$85,$I$2,TE!$AC$48:'TE'!$AC$85),IF($E$2&lt;&gt;"Não se aplica",SUMIF(TE!$E$48:'TE'!$E$85,$I$2,TE!$AC$48:'TE'!$AC$85),IF($D$2&lt;&gt;"Não se aplica",SUMIF(TE!$D$48:'TE'!$D$85,$I$2,TE!$AC$48:'TE'!$AC$85),IF($C$2&lt;&gt;"Não se aplica",SUMIF(TE!$C$48:'TE'!$C$85,$I$2,TE!$AC$48:'TE'!$AC$85),IF($B$2&lt;&gt;"Não se aplica",SUMIF(TE!$B$48:'TE'!$B$85,$I$2,TE!$AC$48:'TE'!$AC$85),SUMIF(TE!$A$48:'TE'!$A$85,$I$2,TE!$AC$48:'TE'!$AC$85)))))))</f>
        <v>709511.85222855641</v>
      </c>
      <c r="H8" s="39">
        <f>IF($G$2&lt;&gt;"Não se aplica",SUMIF(TE!$G$48:'TE'!$G$85,$I$2,TE!$AD$48:'TE'!$AD$85),IF($F$2&lt;&gt;"Não se aplica",SUMIF(TE!$F$48:'TE'!$F$85,$I$2,TE!$AD$48:'TE'!$AD$85),IF($E$2&lt;&gt;"Não se aplica",SUMIF(TE!$E$48:'TE'!$E$85,$I$2,TE!$AD$48:'TE'!$AD$85),IF($D$2&lt;&gt;"Não se aplica",SUMIF(TE!$D$48:'TE'!$D$85,$I$2,TE!$AD$48:'TE'!$AD$85),IF($C$2&lt;&gt;"Não se aplica",SUMIF(TE!$C$48:'TE'!$C$85,$I$2,TE!$AD$48:'TE'!$AD$85),IF($B$2&lt;&gt;"Não se aplica",SUMIF(TE!$B$48:'TE'!$B$85,$I$2,TE!$AD$48:'TE'!$AD$85),SUMIF(TE!$A$48:'TE'!$A$85,$I$2,TE!$AD$48:'TE'!$AD$85)))))))</f>
        <v>0</v>
      </c>
      <c r="I8" s="39">
        <f>IF($G$2&lt;&gt;"Não se aplica",SUMIF(TE!$G$48:'TE'!$G$85,$I$2,TE!$AE$48:'TE'!$AE$85),IF($F$2&lt;&gt;"Não se aplica",SUMIF(TE!$F$48:'TE'!$F$85,$I$2,TE!$AE$48:'TE'!$AE$85),IF($E$2&lt;&gt;"Não se aplica",SUMIF(TE!$E$48:'TE'!$E$85,$I$2,TE!$AE$48:'TE'!$AE$85),IF($D$2&lt;&gt;"Não se aplica",SUMIF(TE!$D$48:'TE'!$D$85,$I$2,TE!$AE$48:'TE'!$AE$85),IF($C$2&lt;&gt;"Não se aplica",SUMIF(TE!$C$48:'TE'!$C$85,$I$2,TE!$AE$48:'TE'!$AE$85),IF($B$2&lt;&gt;"Não se aplica",SUMIF(TE!$B$48:'TE'!$B$85,$I$2,TE!$AE$48:'TE'!$AE$85),SUMIF(TE!$A$48:'TE'!$A$85,$I$2,TE!$AE$48:'TE'!$AE$85)))))))</f>
        <v>0</v>
      </c>
      <c r="J8" s="39">
        <f>IF($G$2&lt;&gt;"Não se aplica",SUMIF(TE!$G$48:'TE'!$G$85,$I$2,TE!$AF$48:'TE'!$AF$85),IF($F$2&lt;&gt;"Não se aplica",SUMIF(TE!$F$48:'TE'!$F$85,$I$2,TE!$AF$48:'TE'!$AF$85),IF($E$2&lt;&gt;"Não se aplica",SUMIF(TE!$E$48:'TE'!$E$85,$I$2,TE!$AF$48:'TE'!$AF$85),IF($D$2&lt;&gt;"Não se aplica",SUMIF(TE!$D$48:'TE'!$D$85,$I$2,TE!$AF$48:'TE'!$AF$85),IF($C$2&lt;&gt;"Não se aplica",SUMIF(TE!$C$48:'TE'!$C$85,$I$2,TE!$AF$48:'TE'!$AF$85),IF($B$2&lt;&gt;"Não se aplica",SUMIF(TE!$B$48:'TE'!$B$85,$I$2,TE!$AF$48:'TE'!$AF$85),SUMIF(TE!$A$48:'TE'!$A$85,$I$2,TE!$AF$48:'TE'!$AF$85)))))))</f>
        <v>0</v>
      </c>
      <c r="K8" s="39">
        <f>IF($G$2&lt;&gt;"Não se aplica",SUMIF(TE!$G$48:'TE'!$G$85,$I$2,TE!$AG$48:'TE'!$AG$85),IF($F$2&lt;&gt;"Não se aplica",SUMIF(TE!$F$48:'TE'!$F$85,$I$2,TE!$AG$48:'TE'!$AG$85),IF($E$2&lt;&gt;"Não se aplica",SUMIF(TE!$E$48:'TE'!$E$85,$I$2,TE!$AG$48:'TE'!$AG$85),IF($D$2&lt;&gt;"Não se aplica",SUMIF(TE!$D$48:'TE'!$D$85,$I$2,TE!$AG$48:'TE'!$AG$85),IF($C$2&lt;&gt;"Não se aplica",SUMIF(TE!$C$48:'TE'!$C$85,$I$2,TE!$AG$48:'TE'!$AG$85),IF($B$2&lt;&gt;"Não se aplica",SUMIF(TE!$B$48:'TE'!$B$85,$I$2,TE!$AG$48:'TE'!$AG$85),SUMIF(TE!$A$48:'TE'!$A$85,$I$2,TE!$AG$48:'TE'!$AG$85)))))))</f>
        <v>0</v>
      </c>
      <c r="L8" s="39">
        <f>IF($G$2&lt;&gt;"Não se aplica",SUMIF(TE!$G$48:'TE'!$G$85,$I$2,TE!$AH$48:'TE'!$AH$85),IF($F$2&lt;&gt;"Não se aplica",SUMIF(TE!$F$48:'TE'!$F$85,$I$2,TE!$AH$48:'TE'!$AH$85),IF($E$2&lt;&gt;"Não se aplica",SUMIF(TE!$E$48:'TE'!$E$85,$I$2,TE!$AH$48:'TE'!$AH$85),IF($D$2&lt;&gt;"Não se aplica",SUMIF(TE!$D$48:'TE'!$D$85,$I$2,TE!$AH$48:'TE'!$AH$85),IF($C$2&lt;&gt;"Não se aplica",SUMIF(TE!$C$48:'TE'!$C$85,$I$2,TE!$AH$48:'TE'!$AH$85),IF($B$2&lt;&gt;"Não se aplica",SUMIF(TE!$B$48:'TE'!$B$85,$I$2,TE!$AH$48:'TE'!$AH$85),SUMIF(TE!$A$48:'TE'!$A$85,$I$2,TE!$AH$48:'TE'!$AH$85)))))))</f>
        <v>0</v>
      </c>
      <c r="M8" s="39">
        <f t="shared" si="0"/>
        <v>716732.15325355972</v>
      </c>
      <c r="AD8" s="14" t="s">
        <v>86</v>
      </c>
    </row>
    <row r="9" spans="1:33" x14ac:dyDescent="0.2">
      <c r="A9" s="14" t="s">
        <v>1121</v>
      </c>
      <c r="B9" s="39">
        <f>IF($G$2&lt;&gt;"Não se aplica",SUMIF(TE!$G$48:'TE'!$G$85,$I$2,TE!$L$48:'TE'!$L$85),IF($F$2&lt;&gt;"Não se aplica",SUMIF(TE!$F$48:'TE'!$F$85,$I$2,TE!$L$48:'TE'!$L$85),IF($E$2&lt;&gt;"Não se aplica",SUMIF(TE!$E$48:'TE'!$E$85,$I$2,TE!$L$48:'TE'!$L$85),IF($D$2&lt;&gt;"Não se aplica",SUMIF(TE!$D$48:'TE'!$D$85,$I$2,TE!$L$48:'TE'!$L$85),IF($C$2&lt;&gt;"Não se aplica",SUMIF(TE!$C$48:'TE'!$C$85,$I$2,TE!$L$48:'TE'!$L$85),IF($B$2&lt;&gt;"Não se aplica",SUMIF(TE!$B$48:'TE'!$B$85,$I$2,TE!$L$48:'TE'!$L$85),SUMIF(TE!$A$48:'TE'!$A$85,$I$2,TE!$L$48:'TE'!$L$85)))))))</f>
        <v>6540.5585814854812</v>
      </c>
      <c r="C9" s="39">
        <f>IF($G$2&lt;&gt;"Não se aplica",SUMIF(TE!$G$48:'TE'!$G$85,$I$2,TE!$M$48:'TE'!$M$85),IF($F$2&lt;&gt;"Não se aplica",SUMIF(TE!$F$48:'TE'!$F$85,$I$2,TE!$M$48:'TE'!$M$85),IF($E$2&lt;&gt;"Não se aplica",SUMIF(TE!$E$48:'TE'!$E$85,$I$2,TE!$M$48:'TE'!$M$85),IF($D$2&lt;&gt;"Não se aplica",SUMIF(TE!$D$48:'TE'!$D$85,$I$2,TE!$M$48:'TE'!$M$85),IF($C$2&lt;&gt;"Não se aplica",SUMIF(TE!$C$48:'TE'!$C$85,$I$2,TE!$M$48:'TE'!$M$85),IF($B$2&lt;&gt;"Não se aplica",SUMIF(TE!$B$48:'TE'!$B$85,$I$2,TE!$M$48:'TE'!$M$85),SUMIF(TE!$A$48:'TE'!$A$85,$I$2,TE!$M$48:'TE'!$M$85)))))))</f>
        <v>0</v>
      </c>
      <c r="D9" s="39">
        <f>IF($G$2&lt;&gt;"Não se aplica",SUMIF(TE!$G$48:'TE'!$G$85,$I$2,TE!$N$48:'TE'!$N$85),IF($F$2&lt;&gt;"Não se aplica",SUMIF(TE!$F$48:'TE'!$F$85,$I$2,TE!$N$48:'TE'!$N$85),IF($E$2&lt;&gt;"Não se aplica",SUMIF(TE!$E$48:'TE'!$E$85,$I$2,TE!$N$48:'TE'!$N$85),IF($D$2&lt;&gt;"Não se aplica",SUMIF(TE!$D$48:'TE'!$D$85,$I$2,TE!$N$48:'TE'!$N$85),IF($C$2&lt;&gt;"Não se aplica",SUMIF(TE!$C$48:'TE'!$C$85,$I$2,TE!$N$48:'TE'!$N$85),IF($B$2&lt;&gt;"Não se aplica",SUMIF(TE!$B$48:'TE'!$B$85,$I$2,TE!$N$48:'TE'!$N$85),SUMIF(TE!$A$48:'TE'!$A$85,$I$2,TE!$N$48:'TE'!$N$85)))))))</f>
        <v>0</v>
      </c>
      <c r="E9" s="39">
        <f>IF($G$2&lt;&gt;"Não se aplica",SUMIF(TE!$G$48:'TE'!$G$85,$I$2,TE!$O$48:'TE'!$O$85),IF($F$2&lt;&gt;"Não se aplica",SUMIF(TE!$F$48:'TE'!$F$85,$I$2,TE!$O$48:'TE'!$O$85),IF($E$2&lt;&gt;"Não se aplica",SUMIF(TE!$E$48:'TE'!$E$85,$I$2,TE!$O$48:'TE'!$O$85),IF($D$2&lt;&gt;"Não se aplica",SUMIF(TE!$D$48:'TE'!$D$85,$I$2,TE!$O$48:'TE'!$O$85),IF($C$2&lt;&gt;"Não se aplica",SUMIF(TE!$C$48:'TE'!$C$85,$I$2,TE!$O$48:'TE'!$O$85),IF($B$2&lt;&gt;"Não se aplica",SUMIF(TE!$B$48:'TE'!$B$85,$I$2,TE!$O$48:'TE'!$O$85),SUMIF(TE!$A$48:'TE'!$A$85,$I$2,TE!$O$48:'TE'!$O$85)))))))</f>
        <v>-22.884802414997001</v>
      </c>
      <c r="F9" s="39">
        <f>IF($G$2&lt;&gt;"Não se aplica",SUMIF(TE!$G$48:'TE'!$G$85,$I$2,TE!$P$48:'TE'!$P$85),IF($F$2&lt;&gt;"Não se aplica",SUMIF(TE!$F$48:'TE'!$F$85,$I$2,TE!$P$48:'TE'!$P$85),IF($E$2&lt;&gt;"Não se aplica",SUMIF(TE!$E$48:'TE'!$E$85,$I$2,TE!$P$48:'TE'!$P$85),IF($D$2&lt;&gt;"Não se aplica",SUMIF(TE!$D$48:'TE'!$D$85,$I$2,TE!$P$48:'TE'!$P$85),IF($C$2&lt;&gt;"Não se aplica",SUMIF(TE!$C$48:'TE'!$C$85,$I$2,TE!$P$48:'TE'!$P$85),IF($B$2&lt;&gt;"Não se aplica",SUMIF(TE!$B$48:'TE'!$B$85,$I$2,TE!$P$48:'TE'!$P$85),SUMIF(TE!$A$48:'TE'!$A$85,$I$2,TE!$P$48:'TE'!$P$85)))))))</f>
        <v>0</v>
      </c>
      <c r="G9" s="39">
        <f>IF($G$2&lt;&gt;"Não se aplica",SUMIF(TE!$G$48:'TE'!$G$85,$I$2,TE!$Q$48:'TE'!$Q$85),IF($F$2&lt;&gt;"Não se aplica",SUMIF(TE!$F$48:'TE'!$F$85,$I$2,TE!$Q$48:'TE'!$Q$85),IF($E$2&lt;&gt;"Não se aplica",SUMIF(TE!$E$48:'TE'!$E$85,$I$2,TE!$Q$48:'TE'!$Q$85),IF($D$2&lt;&gt;"Não se aplica",SUMIF(TE!$D$48:'TE'!$D$85,$I$2,TE!$Q$48:'TE'!$Q$85),IF($C$2&lt;&gt;"Não se aplica",SUMIF(TE!$C$48:'TE'!$C$85,$I$2,TE!$Q$48:'TE'!$Q$85),IF($B$2&lt;&gt;"Não se aplica",SUMIF(TE!$B$48:'TE'!$B$85,$I$2,TE!$Q$48:'TE'!$Q$85),SUMIF(TE!$A$48:'TE'!$A$85,$I$2,TE!$Q$48:'TE'!$Q$85)))))))</f>
        <v>642432.6540580875</v>
      </c>
      <c r="H9" s="39">
        <f>IF($G$2&lt;&gt;"Não se aplica",SUMIF(TE!$G$48:'TE'!$G$85,$I$2,TE!$R$48:'TE'!$R$85),IF($F$2&lt;&gt;"Não se aplica",SUMIF(TE!$F$48:'TE'!$F$85,$I$2,TE!$R$48:'TE'!$R$85),IF($E$2&lt;&gt;"Não se aplica",SUMIF(TE!$E$48:'TE'!$E$85,$I$2,TE!$R$48:'TE'!$R$85),IF($D$2&lt;&gt;"Não se aplica",SUMIF(TE!$D$48:'TE'!$D$85,$I$2,TE!$R$48:'TE'!$R$85),IF($C$2&lt;&gt;"Não se aplica",SUMIF(TE!$C$48:'TE'!$C$85,$I$2,TE!$R$48:'TE'!$R$85),IF($B$2&lt;&gt;"Não se aplica",SUMIF(TE!$B$48:'TE'!$B$85,$I$2,TE!$R$48:'TE'!$R$85),SUMIF(TE!$A$48:'TE'!$A$85,$I$2,TE!$R$48:'TE'!$R$85)))))))</f>
        <v>0</v>
      </c>
      <c r="I9" s="39">
        <f>IF($G$2&lt;&gt;"Não se aplica",SUMIF(TE!$G$48:'TE'!$G$85,$I$2,TE!$S$48:'TE'!$S$85),IF($F$2&lt;&gt;"Não se aplica",SUMIF(TE!$F$48:'TE'!$F$85,$I$2,TE!$S$48:'TE'!$S$85),IF($E$2&lt;&gt;"Não se aplica",SUMIF(TE!$E$48:'TE'!$E$85,$I$2,TE!$S$48:'TE'!$S$85),IF($D$2&lt;&gt;"Não se aplica",SUMIF(TE!$D$48:'TE'!$D$85,$I$2,TE!$S$48:'TE'!$S$85),IF($C$2&lt;&gt;"Não se aplica",SUMIF(TE!$C$48:'TE'!$C$85,$I$2,TE!$S$48:'TE'!$S$85),IF($B$2&lt;&gt;"Não se aplica",SUMIF(TE!$B$48:'TE'!$B$85,$I$2,TE!$S$48:'TE'!$S$85),SUMIF(TE!$A$48:'TE'!$A$85,$I$2,TE!$S$48:'TE'!$S$85)))))))</f>
        <v>0</v>
      </c>
      <c r="J9" s="39">
        <f>IF($G$2&lt;&gt;"Não se aplica",SUMIF(TE!$G$48:'TE'!$G$85,$I$2,TE!$T$48:'TE'!$T$85),IF($F$2&lt;&gt;"Não se aplica",SUMIF(TE!$F$48:'TE'!$F$85,$I$2,TE!$T$48:'TE'!$T$85),IF($E$2&lt;&gt;"Não se aplica",SUMIF(TE!$E$48:'TE'!$E$85,$I$2,TE!$T$48:'TE'!$T$85),IF($D$2&lt;&gt;"Não se aplica",SUMIF(TE!$D$48:'TE'!$D$85,$I$2,TE!$T$48:'TE'!$T$85),IF($C$2&lt;&gt;"Não se aplica",SUMIF(TE!$C$48:'TE'!$C$85,$I$2,TE!$T$48:'TE'!$T$85),IF($B$2&lt;&gt;"Não se aplica",SUMIF(TE!$B$48:'TE'!$B$85,$I$2,TE!$T$48:'TE'!$T$85),SUMIF(TE!$A$48:'TE'!$A$85,$I$2,TE!$T$48:'TE'!$T$85)))))))</f>
        <v>0</v>
      </c>
      <c r="K9" s="39">
        <f>IF($G$2&lt;&gt;"Não se aplica",SUMIF(TE!$G$48:'TE'!$G$85,$I$2,TE!$U$48:'TE'!$U$85),IF($F$2&lt;&gt;"Não se aplica",SUMIF(TE!$F$48:'TE'!$F$85,$I$2,TE!$U$48:'TE'!$U$85),IF($E$2&lt;&gt;"Não se aplica",SUMIF(TE!$E$48:'TE'!$E$85,$I$2,TE!$U$48:'TE'!$U$85),IF($D$2&lt;&gt;"Não se aplica",SUMIF(TE!$D$48:'TE'!$D$85,$I$2,TE!$U$48:'TE'!$U$85),IF($C$2&lt;&gt;"Não se aplica",SUMIF(TE!$C$48:'TE'!$C$85,$I$2,TE!$U$48:'TE'!$U$85),IF($B$2&lt;&gt;"Não se aplica",SUMIF(TE!$B$48:'TE'!$B$85,$I$2,TE!$U$48:'TE'!$U$85),SUMIF(TE!$A$48:'TE'!$A$85,$I$2,TE!$U$48:'TE'!$U$85)))))))</f>
        <v>0</v>
      </c>
      <c r="L9" s="39">
        <f>IF($G$2&lt;&gt;"Não se aplica",SUMIF(TE!$G$48:'TE'!$G$85,$I$2,TE!$V$48:'TE'!$V$85),IF($F$2&lt;&gt;"Não se aplica",SUMIF(TE!$F$48:'TE'!$F$85,$I$2,TE!$V$48:'TE'!$V$85),IF($E$2&lt;&gt;"Não se aplica",SUMIF(TE!$E$48:'TE'!$E$85,$I$2,TE!$V$48:'TE'!$V$85),IF($D$2&lt;&gt;"Não se aplica",SUMIF(TE!$D$48:'TE'!$D$85,$I$2,TE!$V$48:'TE'!$V$85),IF($C$2&lt;&gt;"Não se aplica",SUMIF(TE!$C$48:'TE'!$C$85,$I$2,TE!$V$48:'TE'!$V$85),IF($B$2&lt;&gt;"Não se aplica",SUMIF(TE!$B$48:'TE'!$B$85,$I$2,TE!$V$48:'TE'!$V$85),SUMIF(TE!$A$48:'TE'!$A$85,$I$2,TE!$V$48:'TE'!$V$85)))))))</f>
        <v>0</v>
      </c>
      <c r="M9" s="39">
        <f t="shared" si="0"/>
        <v>648950.32783715799</v>
      </c>
      <c r="AD9" s="14" t="s">
        <v>46</v>
      </c>
    </row>
    <row r="10" spans="1:33" x14ac:dyDescent="0.2">
      <c r="A10" s="14" t="s">
        <v>1118</v>
      </c>
      <c r="B10" s="39">
        <f>SUMIF(TE!$A$48:'TE'!$A$85,$A$2,TE!$X$48:'TE'!$X$85)</f>
        <v>7220.3010250032812</v>
      </c>
      <c r="C10" s="39">
        <f>SUMIF(TE!$A$48:'TE'!$A$85,$A$2,TE!$Y$48:'TE'!$Y$85)</f>
        <v>0</v>
      </c>
      <c r="D10" s="39">
        <f>SUMIF(TE!$A$48:'TE'!$A$85,$A$2,TE!$Z$48:'TE'!$Z$85)</f>
        <v>0</v>
      </c>
      <c r="E10" s="39">
        <f>SUMIF(TE!$A$48:'TE'!$A$85,$A$2,TE!$AA$48:'TE'!$AA$85)</f>
        <v>0</v>
      </c>
      <c r="F10" s="39">
        <f>SUMIF(TE!$A$48:'TE'!$A$85,$A$2,TE!$AB$48:'TE'!$AB$85)</f>
        <v>0</v>
      </c>
      <c r="G10" s="39">
        <f>SUMIF(TE!$A$48:'TE'!$A$85,$A$2,TE!$AC$48:'TE'!$AC$85)</f>
        <v>709511.85222855641</v>
      </c>
      <c r="H10" s="39">
        <f>SUMIF(TE!$A$48:'TE'!$A$85,$A$2,TE!$AD$48:'TE'!$AD$85)</f>
        <v>0</v>
      </c>
      <c r="I10" s="39">
        <f>SUMIF(TE!$A$48:'TE'!$A$85,$A$2,TE!$AE$48:'TE'!$AE$85)</f>
        <v>0</v>
      </c>
      <c r="J10" s="39">
        <f>SUMIF(TE!$A$48:'TE'!$A$85,$A$2,TE!$AF$48:'TE'!$AF$85)</f>
        <v>0</v>
      </c>
      <c r="K10" s="39">
        <f>SUMIF(TE!$A$48:'TE'!$A$85,$A$2,TE!$AG$48:'TE'!$AG$85)</f>
        <v>0</v>
      </c>
      <c r="L10" s="39">
        <f>SUMIF(TE!$A$48:'TE'!$A$85,$A$2,TE!$AH$48:'TE'!$AH$85)</f>
        <v>0</v>
      </c>
      <c r="M10" s="39">
        <f t="shared" si="0"/>
        <v>716732.15325355972</v>
      </c>
      <c r="AD10" s="14" t="s">
        <v>87</v>
      </c>
    </row>
    <row r="11" spans="1:33" x14ac:dyDescent="0.2">
      <c r="A11" s="14" t="s">
        <v>1119</v>
      </c>
      <c r="B11" s="39">
        <f>SUMIF(TE!$A$48:'TE'!$A$85,$A$2,TE!$L$48:'TE'!$L$85)</f>
        <v>6540.5585814854812</v>
      </c>
      <c r="C11" s="39">
        <f>SUMIF(TE!$A$48:'TE'!$A$85,$A$2,TE!$M$48:'TE'!$M$85)</f>
        <v>0</v>
      </c>
      <c r="D11" s="39">
        <f>SUMIF(TE!$A$48:'TE'!$A$85,$A$2,TE!$N$48:'TE'!$N$85)</f>
        <v>0</v>
      </c>
      <c r="E11" s="39">
        <f>SUMIF(TE!$A$48:'TE'!$A$85,$A$2,TE!$O$48:'TE'!$O$85)</f>
        <v>-22.884802414997001</v>
      </c>
      <c r="F11" s="39">
        <f>SUMIF(TE!$A$48:'TE'!$A$85,$A$2,TE!$P$48:'TE'!$P$85)</f>
        <v>0</v>
      </c>
      <c r="G11" s="39">
        <f>SUMIF(TE!$A$48:'TE'!$A$85,$A$2,TE!$Q$48:'TE'!$Q$85)</f>
        <v>642432.6540580875</v>
      </c>
      <c r="H11" s="39">
        <f>SUMIF(TE!$A$48:'TE'!$A$85,$A$2,TE!$R$48:'TE'!$R$85)</f>
        <v>0</v>
      </c>
      <c r="I11" s="39">
        <f>SUMIF(TE!$A$48:'TE'!$A$85,$A$2,TE!$S$48:'TE'!$S$85)</f>
        <v>0</v>
      </c>
      <c r="J11" s="39">
        <f>SUMIF(TE!$A$48:'TE'!$A$85,$A$2,TE!$T$48:'TE'!$T$85)</f>
        <v>0</v>
      </c>
      <c r="K11" s="39">
        <f>SUMIF(TE!$A$48:'TE'!$A$85,$A$2,TE!$U$48:'TE'!$U$85)</f>
        <v>0</v>
      </c>
      <c r="L11" s="39">
        <f>SUMIF(TE!$A$48:'TE'!$A$85,$A$2,TE!$V$48:'TE'!$V$85)</f>
        <v>0</v>
      </c>
      <c r="M11" s="39">
        <f t="shared" si="0"/>
        <v>648950.32783715799</v>
      </c>
    </row>
    <row r="13" spans="1:33" x14ac:dyDescent="0.2">
      <c r="A13" s="14" t="s">
        <v>1123</v>
      </c>
      <c r="B13" s="93">
        <f t="shared" ref="B13:M13" si="1">IF($M$6&lt;&gt;0,(B$7-B$6)/$M$6,0)</f>
        <v>-9.2350670386290702E-4</v>
      </c>
      <c r="C13" s="93">
        <f t="shared" si="1"/>
        <v>0</v>
      </c>
      <c r="D13" s="93">
        <f t="shared" si="1"/>
        <v>0</v>
      </c>
      <c r="E13" s="93">
        <f t="shared" si="1"/>
        <v>-3.1107651138024045E-5</v>
      </c>
      <c r="F13" s="93">
        <f t="shared" si="1"/>
        <v>0</v>
      </c>
      <c r="G13" s="93">
        <f t="shared" si="1"/>
        <v>-9.3571052342237421E-2</v>
      </c>
      <c r="H13" s="93">
        <f t="shared" si="1"/>
        <v>0</v>
      </c>
      <c r="I13" s="93">
        <f t="shared" si="1"/>
        <v>0</v>
      </c>
      <c r="J13" s="93">
        <f t="shared" si="1"/>
        <v>0</v>
      </c>
      <c r="K13" s="93">
        <f t="shared" si="1"/>
        <v>0</v>
      </c>
      <c r="L13" s="93">
        <f t="shared" si="1"/>
        <v>0</v>
      </c>
      <c r="M13" s="93">
        <f t="shared" si="1"/>
        <v>-9.4525666697238359E-2</v>
      </c>
    </row>
    <row r="14" spans="1:33" x14ac:dyDescent="0.2">
      <c r="A14" s="14" t="s">
        <v>1124</v>
      </c>
      <c r="B14" s="93">
        <f t="shared" ref="B14:M14" si="2">IF($M$10&lt;&gt;0,(B$9-B$8)/$M$10,0)</f>
        <v>-9.483911673728501E-4</v>
      </c>
      <c r="C14" s="93">
        <f t="shared" si="2"/>
        <v>0</v>
      </c>
      <c r="D14" s="93">
        <f t="shared" si="2"/>
        <v>0</v>
      </c>
      <c r="E14" s="93">
        <f t="shared" si="2"/>
        <v>-3.1929364841681659E-5</v>
      </c>
      <c r="F14" s="93">
        <f t="shared" si="2"/>
        <v>0</v>
      </c>
      <c r="G14" s="93">
        <f t="shared" si="2"/>
        <v>-9.3590329198944375E-2</v>
      </c>
      <c r="H14" s="93">
        <f t="shared" si="2"/>
        <v>0</v>
      </c>
      <c r="I14" s="93">
        <f t="shared" si="2"/>
        <v>0</v>
      </c>
      <c r="J14" s="93">
        <f t="shared" si="2"/>
        <v>0</v>
      </c>
      <c r="K14" s="93">
        <f t="shared" si="2"/>
        <v>0</v>
      </c>
      <c r="L14" s="93">
        <f t="shared" si="2"/>
        <v>0</v>
      </c>
      <c r="M14" s="93">
        <f t="shared" si="2"/>
        <v>-9.4570649731158946E-2</v>
      </c>
    </row>
    <row r="15" spans="1:33" x14ac:dyDescent="0.2">
      <c r="A15" s="14" t="s">
        <v>1125</v>
      </c>
      <c r="B15" s="93">
        <f t="shared" ref="B15:M15" si="3">IF($M$8&lt;&gt;0,(B$9-B$8)/$M$8,0)</f>
        <v>-9.483911673728501E-4</v>
      </c>
      <c r="C15" s="93">
        <f t="shared" si="3"/>
        <v>0</v>
      </c>
      <c r="D15" s="93">
        <f t="shared" si="3"/>
        <v>0</v>
      </c>
      <c r="E15" s="93">
        <f t="shared" si="3"/>
        <v>-3.1929364841681659E-5</v>
      </c>
      <c r="F15" s="93">
        <f t="shared" si="3"/>
        <v>0</v>
      </c>
      <c r="G15" s="93">
        <f t="shared" si="3"/>
        <v>-9.3590329198944375E-2</v>
      </c>
      <c r="H15" s="93">
        <f t="shared" si="3"/>
        <v>0</v>
      </c>
      <c r="I15" s="93">
        <f t="shared" si="3"/>
        <v>0</v>
      </c>
      <c r="J15" s="93">
        <f t="shared" si="3"/>
        <v>0</v>
      </c>
      <c r="K15" s="93">
        <f t="shared" si="3"/>
        <v>0</v>
      </c>
      <c r="L15" s="93">
        <f t="shared" si="3"/>
        <v>0</v>
      </c>
      <c r="M15" s="93">
        <f t="shared" si="3"/>
        <v>-9.4570649731158946E-2</v>
      </c>
    </row>
  </sheetData>
  <dataValidations count="4">
    <dataValidation type="list" allowBlank="1" showInputMessage="1" showErrorMessage="1" sqref="A2 G2" xr:uid="{E9935228-3711-47A0-895C-6B35773C8F97}">
      <formula1>AA1:AA5</formula1>
    </dataValidation>
    <dataValidation type="list" allowBlank="1" showInputMessage="1" showErrorMessage="1" sqref="B2 C2" xr:uid="{FF58052E-1CE1-474C-A7EA-999890B0EDD4}">
      <formula1>AB1:AB4</formula1>
    </dataValidation>
    <dataValidation type="list" allowBlank="1" showInputMessage="1" showErrorMessage="1" sqref="D2" xr:uid="{0E86CD1E-379E-4B26-8448-1375DC290D68}">
      <formula1>AD1:AD10</formula1>
    </dataValidation>
    <dataValidation type="list" allowBlank="1" showInputMessage="1" showErrorMessage="1" sqref="E2 F2" xr:uid="{04EC7919-6198-4C0C-B03D-2620BC06E6F5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088F-2878-49FA-BEAB-72B9D5A3EB0F}">
  <sheetPr codeName="Planilha27">
    <tabColor indexed="12" tint="-0.249977111117893"/>
  </sheetPr>
  <dimension ref="A1:BC58"/>
  <sheetViews>
    <sheetView showGridLines="0" topLeftCell="AH22" workbookViewId="0">
      <selection activeCell="AK69" sqref="AK69"/>
    </sheetView>
  </sheetViews>
  <sheetFormatPr defaultColWidth="9.140625"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4" width="7.85546875" style="9" bestFit="1" customWidth="1"/>
    <col min="15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7" style="9" bestFit="1" customWidth="1"/>
    <col min="38" max="38" width="9.28515625" style="9" bestFit="1" customWidth="1"/>
    <col min="39" max="39" width="10" style="9" bestFit="1" customWidth="1"/>
    <col min="40" max="40" width="9.140625" style="9"/>
    <col min="41" max="42" width="10.42578125" style="9" bestFit="1" customWidth="1"/>
    <col min="43" max="16384" width="9.140625" style="9"/>
  </cols>
  <sheetData>
    <row r="1" spans="1:55" ht="11.25" customHeight="1" x14ac:dyDescent="0.25">
      <c r="A1" s="140" t="s">
        <v>58</v>
      </c>
      <c r="B1" s="140" t="s">
        <v>59</v>
      </c>
      <c r="C1" s="140" t="s">
        <v>60</v>
      </c>
      <c r="D1" s="140" t="s">
        <v>61</v>
      </c>
      <c r="E1" s="140" t="s">
        <v>62</v>
      </c>
      <c r="F1" s="140" t="s">
        <v>15</v>
      </c>
      <c r="G1" s="140" t="s">
        <v>64</v>
      </c>
      <c r="H1" s="140" t="s">
        <v>65</v>
      </c>
      <c r="I1" s="140" t="s">
        <v>520</v>
      </c>
      <c r="J1" s="128"/>
      <c r="L1" s="141" t="s">
        <v>537</v>
      </c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O1" s="20"/>
      <c r="AP1" s="144" t="s">
        <v>522</v>
      </c>
      <c r="AQ1" s="158" t="s">
        <v>1</v>
      </c>
      <c r="AR1" s="160" t="s">
        <v>2</v>
      </c>
      <c r="AS1" s="160" t="s">
        <v>3</v>
      </c>
      <c r="AT1" s="160" t="s">
        <v>4</v>
      </c>
      <c r="AU1" s="160" t="s">
        <v>5</v>
      </c>
      <c r="AV1" s="160" t="s">
        <v>743</v>
      </c>
      <c r="AW1" s="160" t="s">
        <v>744</v>
      </c>
      <c r="AX1" s="160" t="s">
        <v>745</v>
      </c>
      <c r="AY1" s="160" t="s">
        <v>746</v>
      </c>
      <c r="AZ1" s="160" t="s">
        <v>747</v>
      </c>
      <c r="BC1" s="160" t="s">
        <v>748</v>
      </c>
    </row>
    <row r="2" spans="1:55" ht="11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28"/>
      <c r="L2" s="141" t="s">
        <v>419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O2" s="20"/>
      <c r="AP2" s="145"/>
      <c r="AQ2" s="159"/>
      <c r="AR2" s="161"/>
      <c r="AS2" s="161"/>
      <c r="AT2" s="161"/>
      <c r="AU2" s="161"/>
      <c r="AV2" s="161"/>
      <c r="AW2" s="161"/>
      <c r="AX2" s="161"/>
      <c r="AY2" s="161"/>
      <c r="AZ2" s="161"/>
      <c r="BC2" s="161"/>
    </row>
    <row r="3" spans="1:55" ht="11.2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28"/>
      <c r="L3" s="141" t="s">
        <v>420</v>
      </c>
      <c r="M3" s="141"/>
      <c r="N3" s="141"/>
      <c r="O3" s="141"/>
      <c r="P3" s="141"/>
      <c r="Q3" s="141"/>
      <c r="R3" s="141"/>
      <c r="S3" s="141"/>
      <c r="T3" s="141"/>
      <c r="U3" s="141" t="s">
        <v>429</v>
      </c>
      <c r="V3" s="141"/>
      <c r="W3" s="141"/>
      <c r="X3" s="141"/>
      <c r="Y3" s="141"/>
      <c r="Z3" s="141"/>
      <c r="AA3" s="141"/>
      <c r="AB3" s="141"/>
      <c r="AC3" s="141" t="s">
        <v>437</v>
      </c>
      <c r="AD3" s="141"/>
      <c r="AE3" s="141" t="s">
        <v>439</v>
      </c>
      <c r="AF3" s="141"/>
      <c r="AG3" s="141"/>
      <c r="AH3" s="141" t="s">
        <v>442</v>
      </c>
      <c r="AI3" s="141"/>
      <c r="AJ3" s="141"/>
      <c r="AK3" s="141"/>
      <c r="AL3" s="141"/>
      <c r="AM3" s="141" t="s">
        <v>428</v>
      </c>
      <c r="AO3" s="20"/>
      <c r="AP3" s="145"/>
      <c r="AQ3" s="159"/>
      <c r="AR3" s="161"/>
      <c r="AS3" s="161"/>
      <c r="AT3" s="161"/>
      <c r="AU3" s="161"/>
      <c r="AV3" s="161"/>
      <c r="AW3" s="161"/>
      <c r="AX3" s="161"/>
      <c r="AY3" s="161"/>
      <c r="AZ3" s="161"/>
      <c r="BC3" s="161"/>
    </row>
    <row r="4" spans="1:55" ht="11.25" customHeight="1" x14ac:dyDescent="0.25">
      <c r="A4" s="140"/>
      <c r="B4" s="140"/>
      <c r="C4" s="140"/>
      <c r="D4" s="140"/>
      <c r="E4" s="140"/>
      <c r="F4" s="140"/>
      <c r="G4" s="140"/>
      <c r="H4" s="140"/>
      <c r="I4" s="140"/>
      <c r="J4" s="128"/>
      <c r="L4" s="10" t="s">
        <v>505</v>
      </c>
      <c r="M4" s="10" t="s">
        <v>421</v>
      </c>
      <c r="N4" s="10" t="s">
        <v>422</v>
      </c>
      <c r="O4" s="10" t="s">
        <v>423</v>
      </c>
      <c r="P4" s="10" t="s">
        <v>424</v>
      </c>
      <c r="Q4" s="10" t="s">
        <v>425</v>
      </c>
      <c r="R4" s="10" t="s">
        <v>426</v>
      </c>
      <c r="S4" s="10" t="s">
        <v>427</v>
      </c>
      <c r="T4" s="10" t="s">
        <v>428</v>
      </c>
      <c r="U4" s="10" t="s">
        <v>430</v>
      </c>
      <c r="V4" s="10" t="s">
        <v>431</v>
      </c>
      <c r="W4" s="10" t="s">
        <v>432</v>
      </c>
      <c r="X4" s="10" t="s">
        <v>433</v>
      </c>
      <c r="Y4" s="10" t="s">
        <v>434</v>
      </c>
      <c r="Z4" s="10" t="s">
        <v>435</v>
      </c>
      <c r="AA4" s="10" t="s">
        <v>436</v>
      </c>
      <c r="AB4" s="10" t="s">
        <v>428</v>
      </c>
      <c r="AC4" s="10" t="s">
        <v>438</v>
      </c>
      <c r="AD4" s="10" t="s">
        <v>428</v>
      </c>
      <c r="AE4" s="10" t="s">
        <v>440</v>
      </c>
      <c r="AF4" s="10" t="s">
        <v>441</v>
      </c>
      <c r="AG4" s="10" t="s">
        <v>428</v>
      </c>
      <c r="AH4" s="10" t="s">
        <v>443</v>
      </c>
      <c r="AI4" s="10" t="s">
        <v>444</v>
      </c>
      <c r="AJ4" s="10" t="s">
        <v>445</v>
      </c>
      <c r="AK4" s="10" t="s">
        <v>446</v>
      </c>
      <c r="AL4" s="10" t="s">
        <v>428</v>
      </c>
      <c r="AM4" s="143"/>
      <c r="AO4" s="21" t="s">
        <v>539</v>
      </c>
      <c r="AP4" s="146"/>
      <c r="AQ4" s="159"/>
      <c r="AR4" s="161"/>
      <c r="AS4" s="161"/>
      <c r="AT4" s="161"/>
      <c r="AU4" s="161"/>
      <c r="AV4" s="161"/>
      <c r="AW4" s="161"/>
      <c r="AX4" s="161"/>
      <c r="AY4" s="161"/>
      <c r="AZ4" s="161"/>
      <c r="BC4" s="161"/>
    </row>
    <row r="5" spans="1:55" ht="11.25" customHeight="1" x14ac:dyDescent="0.25">
      <c r="A5" s="139" t="s">
        <v>34</v>
      </c>
      <c r="B5" s="139" t="s">
        <v>73</v>
      </c>
      <c r="C5" s="139" t="s">
        <v>25</v>
      </c>
      <c r="D5" s="139" t="s">
        <v>25</v>
      </c>
      <c r="E5" s="139" t="s">
        <v>25</v>
      </c>
      <c r="F5" s="139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-0.85691198728265305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-0.85691198728265305</v>
      </c>
      <c r="AC5" s="13">
        <f>'TUSD BE'!$AC$5*'TUSD BE'!$AC$58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SUMIF($L$4:$AL$4,"SUBTOTAL",$L$5:$AL$5)+AZ5</f>
        <v>-16.805964526540546</v>
      </c>
      <c r="AO5" s="20">
        <f ca="1">+'TUSD BE'!$T$5+'TUSD BE'!$AB$5+'TUSD BE'!$AD$5+'TUSD BE'!$AL$5</f>
        <v>49.155964526540544</v>
      </c>
      <c r="AP5" s="20">
        <f ca="1">+'TUSD BE'!$T$5+'TUSD BE'!$AB$5+'TUSD BE'!$AD$5+'TUSD BE'!$AL$5</f>
        <v>49.155964526540544</v>
      </c>
      <c r="AQ5" s="9" t="str">
        <f t="shared" ref="AQ5:AQ51" si="0">IF($A5="",AQ4,$A5)</f>
        <v>A4</v>
      </c>
      <c r="AR5" s="9" t="str">
        <f t="shared" ref="AR5:AR51" si="1">IF($B5="",AR4,$B5)</f>
        <v>Azul</v>
      </c>
      <c r="AS5" s="9" t="str">
        <f t="shared" ref="AS5:AS51" si="2">IF($C5="",AS4,$C5)</f>
        <v>Não se aplica</v>
      </c>
      <c r="AT5" s="9" t="str">
        <f t="shared" ref="AT5:AT51" si="3">IF($D5="",AT4,$D5)</f>
        <v>Não se aplica</v>
      </c>
      <c r="AU5" s="9" t="str">
        <f t="shared" ref="AU5:AU51" si="4">IF($E5="",AU4,$E5)</f>
        <v>Não se aplica</v>
      </c>
      <c r="AV5" s="9">
        <f t="shared" ref="AV5:AV51" si="5">IF(OR(AR5="Distribuição",AR5="Geração"),0,1)</f>
        <v>1</v>
      </c>
      <c r="AW5" s="9">
        <f ca="1">IFERROR(VLOOKUP(AQ5,TarifaMedia!$C$17:$G$17,5,0),0)</f>
        <v>1</v>
      </c>
      <c r="AX5" s="15">
        <f ca="1">'TUSD BE'!$AM5+'TUSD BF'!$AM5+'TUSD CVA'!$AM5</f>
        <v>48.299052539257893</v>
      </c>
      <c r="AY5" s="9">
        <v>32.35</v>
      </c>
      <c r="AZ5" s="9">
        <f t="shared" ref="AZ5:AZ51" ca="1" si="6">(AY5-AX5)*AW5*AV5</f>
        <v>-15.949052539257892</v>
      </c>
      <c r="BC5" s="81" t="s">
        <v>749</v>
      </c>
    </row>
    <row r="6" spans="1:55" ht="11.25" customHeight="1" x14ac:dyDescent="0.25">
      <c r="A6" s="139"/>
      <c r="B6" s="139"/>
      <c r="C6" s="139"/>
      <c r="D6" s="139"/>
      <c r="E6" s="139"/>
      <c r="F6" s="139"/>
      <c r="G6" s="18" t="s">
        <v>76</v>
      </c>
      <c r="H6" s="18" t="s">
        <v>74</v>
      </c>
      <c r="I6" s="18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-0.33024231263050302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-0.33024231263050302</v>
      </c>
      <c r="AC6" s="13">
        <f>'TUSD BE'!$AC$6*'TUSD BE'!$AC$58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SUMIF($L$4:$AL$4,"SUBTOTAL",$L$6:$AL$6)+AZ6</f>
        <v>-2.39255501547024</v>
      </c>
      <c r="AO6" s="20">
        <f ca="1">+'TUSD BE'!$T$6+'TUSD BE'!$AB$6+'TUSD BE'!$AD$6+'TUSD BE'!$AL$6</f>
        <v>18.032555015470241</v>
      </c>
      <c r="AP6" s="20">
        <f ca="1">+'TUSD BE'!$T$6+'TUSD BE'!$AB$6+'TUSD BE'!$AD$6+'TUSD BE'!$AL$6</f>
        <v>18.032555015470241</v>
      </c>
      <c r="AQ6" s="9" t="str">
        <f t="shared" si="0"/>
        <v>A4</v>
      </c>
      <c r="AR6" s="9" t="str">
        <f t="shared" si="1"/>
        <v>Azul</v>
      </c>
      <c r="AS6" s="9" t="str">
        <f t="shared" si="2"/>
        <v>Não se aplica</v>
      </c>
      <c r="AT6" s="9" t="str">
        <f t="shared" si="3"/>
        <v>Não se aplica</v>
      </c>
      <c r="AU6" s="9" t="str">
        <f t="shared" si="4"/>
        <v>Não se aplica</v>
      </c>
      <c r="AV6" s="9">
        <f t="shared" si="5"/>
        <v>1</v>
      </c>
      <c r="AW6" s="9">
        <f ca="1">IFERROR(VLOOKUP(AQ6,TarifaMedia!$C$17:$G$17,5,0),0)</f>
        <v>1</v>
      </c>
      <c r="AX6" s="15">
        <f ca="1">'TUSD BE'!$AM6+'TUSD BF'!$AM6+'TUSD CVA'!$AM6</f>
        <v>17.702312702839738</v>
      </c>
      <c r="AY6" s="9">
        <v>15.64</v>
      </c>
      <c r="AZ6" s="9">
        <f t="shared" ca="1" si="6"/>
        <v>-2.062312702839737</v>
      </c>
      <c r="BC6" s="81" t="s">
        <v>750</v>
      </c>
    </row>
    <row r="7" spans="1:55" ht="11.25" customHeight="1" x14ac:dyDescent="0.25">
      <c r="A7" s="139"/>
      <c r="B7" s="139"/>
      <c r="C7" s="139"/>
      <c r="D7" s="139"/>
      <c r="E7" s="139"/>
      <c r="F7" s="139"/>
      <c r="G7" s="18" t="s">
        <v>72</v>
      </c>
      <c r="H7" s="18" t="s">
        <v>68</v>
      </c>
      <c r="I7" s="18">
        <f>'MERCADO TUSD'!$U$4</f>
        <v>0</v>
      </c>
      <c r="J7" s="15"/>
      <c r="L7" s="13">
        <f>'TUSD BE'!$L$7*'TUSD BE'!$L$58</f>
        <v>0</v>
      </c>
      <c r="M7" s="13">
        <f>'TUSD BE'!$M$7*'TUSD BE'!$M$58</f>
        <v>-8.7019342913275365E-3</v>
      </c>
      <c r="N7" s="13">
        <f ca="1">'TUSD BE'!$N$7*'TUSD BE'!$N$58</f>
        <v>4.9069372520292251E-8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-2.1747245060227489</v>
      </c>
      <c r="R7" s="13">
        <f>'TUSD BE'!$R$7*'TUSD BE'!$R$58</f>
        <v>-0.42769576103318119</v>
      </c>
      <c r="S7" s="13">
        <f>'TUSD BE'!$R$7*'TUSD BE'!$S$58</f>
        <v>0</v>
      </c>
      <c r="T7" s="13">
        <f ca="1">SUM($L$7:$S$7)</f>
        <v>-2.6111221522778854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4.874514940831523E-2</v>
      </c>
      <c r="AI7" s="13">
        <f>'TUSD BE'!$AI$7*'TUSD BE'!$AI$58</f>
        <v>0</v>
      </c>
      <c r="AJ7" s="13">
        <f ca="1">'TUSD BE'!$AJ$7*'TUSD BE'!$AJ$58</f>
        <v>2.1842539187677309E-2</v>
      </c>
      <c r="AK7" s="13">
        <f ca="1">'TUSD BE'!$AK$7*'TUSD BE'!$AK$58</f>
        <v>1.0280214917301387E-2</v>
      </c>
      <c r="AL7" s="13">
        <f ca="1">SUM($AH$7:$AK$7)</f>
        <v>8.0867903513293926E-2</v>
      </c>
      <c r="AM7" s="13">
        <f ca="1">SUMIF($L$4:$AL$4,"SUBTOTAL",$L$7:$AL$7)+AZ7</f>
        <v>13.717503397616099</v>
      </c>
      <c r="AO7" s="20">
        <f ca="1">+'TUSD BE'!$T$7+'TUSD BE'!$AB$7+'TUSD BE'!$AD$7+'TUSD BE'!$AL$7</f>
        <v>92.279335725261305</v>
      </c>
      <c r="AP7" s="20">
        <f ca="1">+'TUSD BE'!$T$7+'TUSD BE'!$AB$7+'TUSD BE'!$AD$7+'TUSD BE'!$AL$7</f>
        <v>92.279335725261305</v>
      </c>
      <c r="AQ7" s="9" t="str">
        <f t="shared" si="0"/>
        <v>A4</v>
      </c>
      <c r="AR7" s="9" t="str">
        <f t="shared" si="1"/>
        <v>Azul</v>
      </c>
      <c r="AS7" s="9" t="str">
        <f t="shared" si="2"/>
        <v>Não se aplica</v>
      </c>
      <c r="AT7" s="9" t="str">
        <f t="shared" si="3"/>
        <v>Não se aplica</v>
      </c>
      <c r="AU7" s="9" t="str">
        <f t="shared" si="4"/>
        <v>Não se aplica</v>
      </c>
      <c r="AV7" s="9">
        <f t="shared" si="5"/>
        <v>1</v>
      </c>
      <c r="AW7" s="9">
        <f ca="1">IFERROR(VLOOKUP(AQ7,TarifaMedia!$C$17:$G$17,5,0),0)</f>
        <v>1</v>
      </c>
      <c r="AX7" s="15">
        <f ca="1">'TUSD BE'!$AM7+'TUSD BF'!$AM7+'TUSD CVA'!$AM7</f>
        <v>110.00224235361931</v>
      </c>
      <c r="AY7" s="9">
        <v>126.25</v>
      </c>
      <c r="AZ7" s="9">
        <f t="shared" ca="1" si="6"/>
        <v>16.247757646380691</v>
      </c>
      <c r="BC7" s="81" t="s">
        <v>751</v>
      </c>
    </row>
    <row r="8" spans="1:55" ht="11.25" customHeight="1" x14ac:dyDescent="0.25">
      <c r="A8" s="139"/>
      <c r="B8" s="139"/>
      <c r="C8" s="139"/>
      <c r="D8" s="139"/>
      <c r="E8" s="17" t="s">
        <v>77</v>
      </c>
      <c r="F8" s="17" t="s">
        <v>25</v>
      </c>
      <c r="G8" s="18" t="s">
        <v>72</v>
      </c>
      <c r="H8" s="18" t="s">
        <v>68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-8.7019342913275365E-3</v>
      </c>
      <c r="N8" s="13">
        <f ca="1">'TUSD BE'!$N$8*'TUSD BE'!$N$58</f>
        <v>4.2327888195596826E-8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-8.7018919634393403E-3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4.874514940831523E-2</v>
      </c>
      <c r="AI8" s="13">
        <f>'TUSD BE'!$AI$8*'TUSD BE'!$AI$58</f>
        <v>0</v>
      </c>
      <c r="AJ8" s="13">
        <f ca="1">'TUSD BE'!$AJ$8*'TUSD BE'!$AJ$58</f>
        <v>2.1842539187677309E-2</v>
      </c>
      <c r="AK8" s="13">
        <f ca="1">'TUSD BE'!$AK$8*'TUSD BE'!$AK$58</f>
        <v>1.0280214917301387E-2</v>
      </c>
      <c r="AL8" s="13">
        <f ca="1">SUM($AH$8:$AK$8)</f>
        <v>8.0867903513293926E-2</v>
      </c>
      <c r="AM8" s="13">
        <f ca="1">SUMIF($L$4:$AL$4,"SUBTOTAL",$L$8:$AL$8)+AZ8</f>
        <v>17.351413200451752</v>
      </c>
      <c r="AO8" s="20">
        <f ca="1">+'TUSD BE'!$T$8+'TUSD BE'!$AB$8+'TUSD BE'!$AD$8+'TUSD BE'!$AL$8</f>
        <v>3.1661178267469312</v>
      </c>
      <c r="AP8" s="20">
        <f ca="1">+'TUSD BE'!$T$8+'TUSD BE'!$AB$8+'TUSD BE'!$AD$8+'TUSD BE'!$AL$8</f>
        <v>3.1661178267469312</v>
      </c>
      <c r="AQ8" s="9" t="str">
        <f t="shared" si="0"/>
        <v>A4</v>
      </c>
      <c r="AR8" s="9" t="str">
        <f t="shared" si="1"/>
        <v>Azul</v>
      </c>
      <c r="AS8" s="9" t="str">
        <f t="shared" si="2"/>
        <v>Não se aplica</v>
      </c>
      <c r="AT8" s="9" t="str">
        <f t="shared" si="3"/>
        <v>Não se aplica</v>
      </c>
      <c r="AU8" s="9" t="str">
        <f t="shared" si="4"/>
        <v>APE</v>
      </c>
      <c r="AV8" s="9">
        <f t="shared" si="5"/>
        <v>1</v>
      </c>
      <c r="AW8" s="9">
        <f ca="1">IFERROR(VLOOKUP(AQ8,TarifaMedia!$C$17:$G$17,5,0),0)</f>
        <v>1</v>
      </c>
      <c r="AX8" s="15">
        <f ca="1">'TUSD BE'!$AM8+'TUSD BF'!$AM8+'TUSD CVA'!$AM8</f>
        <v>3.2107528110980992</v>
      </c>
      <c r="AY8" s="9">
        <v>20.49</v>
      </c>
      <c r="AZ8" s="9">
        <f t="shared" ca="1" si="6"/>
        <v>17.279247188901898</v>
      </c>
      <c r="BC8" s="81" t="s">
        <v>752</v>
      </c>
    </row>
    <row r="9" spans="1:55" ht="11.25" customHeight="1" x14ac:dyDescent="0.25">
      <c r="A9" s="139"/>
      <c r="B9" s="17" t="s">
        <v>78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-7.7772556508206323E-4</v>
      </c>
      <c r="N9" s="13">
        <f ca="1">'TUSD BE'!$N$9*'TUSD BE'!$N$58</f>
        <v>4.1729787969864668E-8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-7.7768383529409338E-4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SUMIF($L$4:$AL$4,"SUBTOTAL",$L$9:$AL$9)+AZ9</f>
        <v>-7.7768383529409338E-4</v>
      </c>
      <c r="AO9" s="20">
        <f ca="1">+'TUSD BE'!$T$9+'TUSD BE'!$AB$9+'TUSD BE'!$AD$9+'TUSD BE'!$AL$9</f>
        <v>6.8344940588749727</v>
      </c>
      <c r="AP9" s="20">
        <f ca="1">+'TUSD BE'!$T$9+'TUSD BE'!$AB$9+'TUSD BE'!$AD$9+'TUSD BE'!$AL$9</f>
        <v>6.8344940588749727</v>
      </c>
      <c r="AQ9" s="9" t="str">
        <f t="shared" si="0"/>
        <v>A4</v>
      </c>
      <c r="AR9" s="9" t="str">
        <f t="shared" si="1"/>
        <v>Geração</v>
      </c>
      <c r="AS9" s="9" t="str">
        <f t="shared" si="2"/>
        <v>Não se aplica</v>
      </c>
      <c r="AT9" s="9" t="str">
        <f t="shared" si="3"/>
        <v>Não se aplica</v>
      </c>
      <c r="AU9" s="9" t="str">
        <f t="shared" si="4"/>
        <v>Não se aplica</v>
      </c>
      <c r="AV9" s="9">
        <f t="shared" si="5"/>
        <v>0</v>
      </c>
      <c r="AW9" s="9">
        <f ca="1">IFERROR(VLOOKUP(AQ9,TarifaMedia!$C$17:$G$17,5,0),0)</f>
        <v>1</v>
      </c>
      <c r="AX9" s="15">
        <f ca="1">'TUSD BE'!$AM9+'TUSD BF'!$AM9+'TUSD CVA'!$AM9</f>
        <v>6.8337163750396783</v>
      </c>
      <c r="AY9" s="9">
        <v>3.46</v>
      </c>
      <c r="AZ9" s="9">
        <f t="shared" ca="1" si="6"/>
        <v>0</v>
      </c>
      <c r="BC9" s="81" t="s">
        <v>753</v>
      </c>
    </row>
    <row r="10" spans="1:55" ht="11.25" customHeight="1" x14ac:dyDescent="0.25">
      <c r="A10" s="139"/>
      <c r="B10" s="139" t="s">
        <v>35</v>
      </c>
      <c r="C10" s="139" t="s">
        <v>25</v>
      </c>
      <c r="D10" s="139" t="s">
        <v>25</v>
      </c>
      <c r="E10" s="139" t="s">
        <v>25</v>
      </c>
      <c r="F10" s="139" t="s">
        <v>25</v>
      </c>
      <c r="G10" s="18" t="s">
        <v>9</v>
      </c>
      <c r="H10" s="18" t="s">
        <v>74</v>
      </c>
      <c r="I10" s="18">
        <f>'MERCADO TUSD'!$U$7</f>
        <v>31517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-0.33024231263050302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-0.33024231263050302</v>
      </c>
      <c r="AC10" s="13">
        <f>'TUSD BE'!$AC$10*'TUSD BE'!$AC$58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SUMIF($L$4:$AL$4,"SUBTOTAL",$L$10:$AL$10)+AZ10</f>
        <v>-2.39255501547024</v>
      </c>
      <c r="AO10" s="20">
        <f ca="1">+'TUSD BE'!$T$10+'TUSD BE'!$AB$10+'TUSD BE'!$AD$10+'TUSD BE'!$AL$10</f>
        <v>18.032555015470241</v>
      </c>
      <c r="AP10" s="20">
        <f ca="1">+'TUSD BE'!$T$10+'TUSD BE'!$AB$10+'TUSD BE'!$AD$10+'TUSD BE'!$AL$10</f>
        <v>18.032555015470241</v>
      </c>
      <c r="AQ10" s="9" t="str">
        <f t="shared" si="0"/>
        <v>A4</v>
      </c>
      <c r="AR10" s="9" t="str">
        <f t="shared" si="1"/>
        <v>Verde</v>
      </c>
      <c r="AS10" s="9" t="str">
        <f t="shared" si="2"/>
        <v>Não se aplica</v>
      </c>
      <c r="AT10" s="9" t="str">
        <f t="shared" si="3"/>
        <v>Não se aplica</v>
      </c>
      <c r="AU10" s="9" t="str">
        <f t="shared" si="4"/>
        <v>Não se aplica</v>
      </c>
      <c r="AV10" s="9">
        <f t="shared" si="5"/>
        <v>1</v>
      </c>
      <c r="AW10" s="9">
        <f ca="1">IFERROR(VLOOKUP(AQ10,TarifaMedia!$C$17:$G$17,5,0),0)</f>
        <v>1</v>
      </c>
      <c r="AX10" s="15">
        <f ca="1">'TUSD BE'!$AM10+'TUSD BF'!$AM10+'TUSD CVA'!$AM10</f>
        <v>17.702312702839738</v>
      </c>
      <c r="AY10" s="9">
        <v>15.64</v>
      </c>
      <c r="AZ10" s="9">
        <f t="shared" ca="1" si="6"/>
        <v>-2.062312702839737</v>
      </c>
      <c r="BC10" s="81" t="s">
        <v>754</v>
      </c>
    </row>
    <row r="11" spans="1:55" ht="11.25" customHeight="1" x14ac:dyDescent="0.25">
      <c r="A11" s="139"/>
      <c r="B11" s="139"/>
      <c r="C11" s="139"/>
      <c r="D11" s="139"/>
      <c r="E11" s="139"/>
      <c r="F11" s="139"/>
      <c r="G11" s="18" t="s">
        <v>69</v>
      </c>
      <c r="H11" s="18" t="s">
        <v>68</v>
      </c>
      <c r="I11" s="18">
        <f>'MERCADO TUSD'!$U$8</f>
        <v>644.95300000000009</v>
      </c>
      <c r="J11" s="15"/>
      <c r="L11" s="13">
        <f>'TUSD BE'!$L$11*'TUSD BE'!$L$58</f>
        <v>0</v>
      </c>
      <c r="M11" s="13">
        <f>'TUSD BE'!$M$11*'TUSD BE'!$M$58</f>
        <v>-8.7019342913275365E-3</v>
      </c>
      <c r="N11" s="13">
        <f ca="1">'TUSD BE'!$N$11*'TUSD BE'!$N$58</f>
        <v>6.6456589746250368E-6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-2.1747245060227489</v>
      </c>
      <c r="R11" s="13">
        <f>'TUSD BE'!$R$11*'TUSD BE'!$R$58</f>
        <v>-0.42769576103318119</v>
      </c>
      <c r="S11" s="13">
        <f>'TUSD BE'!$R$11*'TUSD BE'!$S$58</f>
        <v>0</v>
      </c>
      <c r="T11" s="13">
        <f ca="1">SUM($L$11:$S$11)</f>
        <v>-2.6111155556882832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-20.608736353552242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-20.608736353552242</v>
      </c>
      <c r="AC11" s="13">
        <f>'TUSD BE'!$AC$11*'TUSD BE'!$AC$58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4.874514940831523E-2</v>
      </c>
      <c r="AI11" s="13">
        <f>'TUSD BE'!$AI$11*'TUSD BE'!$AI$58</f>
        <v>0</v>
      </c>
      <c r="AJ11" s="13">
        <f ca="1">'TUSD BE'!$AJ$11*'TUSD BE'!$AJ$58</f>
        <v>2.1842539187677309E-2</v>
      </c>
      <c r="AK11" s="13">
        <f ca="1">'TUSD BE'!$AK$11*'TUSD BE'!$AK$58</f>
        <v>1.0280214917301387E-2</v>
      </c>
      <c r="AL11" s="13">
        <f ca="1">SUM($AH$11:$AK$11)</f>
        <v>8.0867903513293926E-2</v>
      </c>
      <c r="AM11" s="13">
        <f ca="1">SUMIF($L$4:$AL$4,"SUBTOTAL",$L$11:$AL$11)+AZ11</f>
        <v>-395.15328132987872</v>
      </c>
      <c r="AO11" s="20">
        <f ca="1">+'TUSD BE'!$T$11+'TUSD BE'!$AB$11+'TUSD BE'!$AD$11+'TUSD BE'!$AL$11</f>
        <v>1286.7401204527562</v>
      </c>
      <c r="AP11" s="20">
        <f ca="1">+'TUSD BE'!$T$11+'TUSD BE'!$AB$11+'TUSD BE'!$AD$11+'TUSD BE'!$AL$11</f>
        <v>1286.7401204527562</v>
      </c>
      <c r="AQ11" s="9" t="str">
        <f t="shared" si="0"/>
        <v>A4</v>
      </c>
      <c r="AR11" s="9" t="str">
        <f t="shared" si="1"/>
        <v>Verde</v>
      </c>
      <c r="AS11" s="9" t="str">
        <f t="shared" si="2"/>
        <v>Não se aplica</v>
      </c>
      <c r="AT11" s="9" t="str">
        <f t="shared" si="3"/>
        <v>Não se aplica</v>
      </c>
      <c r="AU11" s="9" t="str">
        <f t="shared" si="4"/>
        <v>Não se aplica</v>
      </c>
      <c r="AV11" s="9">
        <f t="shared" si="5"/>
        <v>1</v>
      </c>
      <c r="AW11" s="9">
        <f ca="1">IFERROR(VLOOKUP(AQ11,TarifaMedia!$C$17:$G$17,5,0),0)</f>
        <v>1</v>
      </c>
      <c r="AX11" s="15">
        <f ca="1">'TUSD BE'!$AM11+'TUSD BF'!$AM11+'TUSD CVA'!$AM11</f>
        <v>1283.8542973241515</v>
      </c>
      <c r="AY11" s="9">
        <v>911.84</v>
      </c>
      <c r="AZ11" s="9">
        <f t="shared" ca="1" si="6"/>
        <v>-372.01429732415147</v>
      </c>
      <c r="BC11" s="81" t="s">
        <v>755</v>
      </c>
    </row>
    <row r="12" spans="1:55" ht="11.25" customHeight="1" x14ac:dyDescent="0.25">
      <c r="A12" s="139"/>
      <c r="B12" s="139"/>
      <c r="C12" s="139"/>
      <c r="D12" s="139"/>
      <c r="E12" s="139"/>
      <c r="F12" s="139"/>
      <c r="G12" s="18" t="s">
        <v>70</v>
      </c>
      <c r="H12" s="18" t="s">
        <v>68</v>
      </c>
      <c r="I12" s="18">
        <f>'MERCADO TUSD'!$U$9</f>
        <v>8036.4479999999985</v>
      </c>
      <c r="J12" s="15"/>
      <c r="L12" s="13">
        <f>'TUSD BE'!$L$12*'TUSD BE'!$L$58</f>
        <v>0</v>
      </c>
      <c r="M12" s="13">
        <f>'TUSD BE'!$M$12*'TUSD BE'!$M$58</f>
        <v>-8.7019342913275365E-3</v>
      </c>
      <c r="N12" s="13">
        <f ca="1">'TUSD BE'!$N$12*'TUSD BE'!$N$58</f>
        <v>4.9069372520292251E-8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-2.1747245060227489</v>
      </c>
      <c r="R12" s="13">
        <f>'TUSD BE'!$R$12*'TUSD BE'!$R$58</f>
        <v>-0.42769576103318119</v>
      </c>
      <c r="S12" s="13">
        <f>'TUSD BE'!$R$12*'TUSD BE'!$S$58</f>
        <v>0</v>
      </c>
      <c r="T12" s="13">
        <f ca="1">SUM($L$12:$S$12)</f>
        <v>-2.6111221522778854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4.874514940831523E-2</v>
      </c>
      <c r="AI12" s="13">
        <f>'TUSD BE'!$AI$12*'TUSD BE'!$AI$58</f>
        <v>0</v>
      </c>
      <c r="AJ12" s="13">
        <f ca="1">'TUSD BE'!$AJ$12*'TUSD BE'!$AJ$58</f>
        <v>2.1842539187677309E-2</v>
      </c>
      <c r="AK12" s="13">
        <f ca="1">'TUSD BE'!$AK$12*'TUSD BE'!$AK$58</f>
        <v>1.0280214917301387E-2</v>
      </c>
      <c r="AL12" s="13">
        <f ca="1">SUM($AH$12:$AK$12)</f>
        <v>8.0867903513293926E-2</v>
      </c>
      <c r="AM12" s="13">
        <f ca="1">SUMIF($L$4:$AL$4,"SUBTOTAL",$L$12:$AL$12)+AZ12</f>
        <v>13.717503397616099</v>
      </c>
      <c r="AO12" s="20">
        <f ca="1">+'TUSD BE'!$T$12+'TUSD BE'!$AB$12+'TUSD BE'!$AD$12+'TUSD BE'!$AL$12</f>
        <v>92.279335725261305</v>
      </c>
      <c r="AP12" s="20">
        <f ca="1">+'TUSD BE'!$T$12+'TUSD BE'!$AB$12+'TUSD BE'!$AD$12+'TUSD BE'!$AL$12</f>
        <v>92.279335725261305</v>
      </c>
      <c r="AQ12" s="9" t="str">
        <f t="shared" si="0"/>
        <v>A4</v>
      </c>
      <c r="AR12" s="9" t="str">
        <f t="shared" si="1"/>
        <v>Verde</v>
      </c>
      <c r="AS12" s="9" t="str">
        <f t="shared" si="2"/>
        <v>Não se aplica</v>
      </c>
      <c r="AT12" s="9" t="str">
        <f t="shared" si="3"/>
        <v>Não se aplica</v>
      </c>
      <c r="AU12" s="9" t="str">
        <f t="shared" si="4"/>
        <v>Não se aplica</v>
      </c>
      <c r="AV12" s="9">
        <f t="shared" si="5"/>
        <v>1</v>
      </c>
      <c r="AW12" s="9">
        <f ca="1">IFERROR(VLOOKUP(AQ12,TarifaMedia!$C$17:$G$17,5,0),0)</f>
        <v>1</v>
      </c>
      <c r="AX12" s="15">
        <f ca="1">'TUSD BE'!$AM12+'TUSD BF'!$AM12+'TUSD CVA'!$AM12</f>
        <v>110.00224235361931</v>
      </c>
      <c r="AY12" s="9">
        <v>126.25</v>
      </c>
      <c r="AZ12" s="9">
        <f t="shared" ca="1" si="6"/>
        <v>16.247757646380691</v>
      </c>
      <c r="BC12" s="81" t="s">
        <v>756</v>
      </c>
    </row>
    <row r="13" spans="1:55" ht="11.25" customHeight="1" x14ac:dyDescent="0.25">
      <c r="A13" s="139"/>
      <c r="B13" s="139"/>
      <c r="C13" s="139"/>
      <c r="D13" s="139"/>
      <c r="E13" s="139" t="s">
        <v>77</v>
      </c>
      <c r="F13" s="139" t="s">
        <v>25</v>
      </c>
      <c r="G13" s="18" t="s">
        <v>69</v>
      </c>
      <c r="H13" s="18" t="s">
        <v>68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-8.7019342913275365E-3</v>
      </c>
      <c r="N13" s="13">
        <f ca="1">'TUSD BE'!$N$13*'TUSD BE'!$N$58</f>
        <v>6.6389174903003416E-6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-8.6952953738372359E-3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-20.608736353552242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-20.608736353552242</v>
      </c>
      <c r="AC13" s="13">
        <f>'TUSD BE'!$AC$13*'TUSD BE'!$AC$58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4.874514940831523E-2</v>
      </c>
      <c r="AI13" s="13">
        <f>'TUSD BE'!$AI$13*'TUSD BE'!$AI$58</f>
        <v>0</v>
      </c>
      <c r="AJ13" s="13">
        <f ca="1">'TUSD BE'!$AJ$13*'TUSD BE'!$AJ$58</f>
        <v>2.1842539187677309E-2</v>
      </c>
      <c r="AK13" s="13">
        <f ca="1">'TUSD BE'!$AK$13*'TUSD BE'!$AK$58</f>
        <v>1.0280214917301387E-2</v>
      </c>
      <c r="AL13" s="13">
        <f ca="1">SUM($AH$13:$AK$13)</f>
        <v>8.0867903513293926E-2</v>
      </c>
      <c r="AM13" s="13">
        <f ca="1">SUMIF($L$4:$AL$4,"SUBTOTAL",$L$13:$AL$13)+AZ13</f>
        <v>-391.51937152704295</v>
      </c>
      <c r="AO13" s="20">
        <f ca="1">+'TUSD BE'!$T$13+'TUSD BE'!$AB$13+'TUSD BE'!$AD$13+'TUSD BE'!$AL$13</f>
        <v>1197.6269025542417</v>
      </c>
      <c r="AP13" s="20">
        <f ca="1">+'TUSD BE'!$T$13+'TUSD BE'!$AB$13+'TUSD BE'!$AD$13+'TUSD BE'!$AL$13</f>
        <v>1197.6269025542417</v>
      </c>
      <c r="AQ13" s="9" t="str">
        <f t="shared" si="0"/>
        <v>A4</v>
      </c>
      <c r="AR13" s="9" t="str">
        <f t="shared" si="1"/>
        <v>Verde</v>
      </c>
      <c r="AS13" s="9" t="str">
        <f t="shared" si="2"/>
        <v>Não se aplica</v>
      </c>
      <c r="AT13" s="9" t="str">
        <f t="shared" si="3"/>
        <v>Não se aplica</v>
      </c>
      <c r="AU13" s="9" t="str">
        <f t="shared" si="4"/>
        <v>APE</v>
      </c>
      <c r="AV13" s="9">
        <f t="shared" si="5"/>
        <v>1</v>
      </c>
      <c r="AW13" s="9">
        <f ca="1">IFERROR(VLOOKUP(AQ13,TarifaMedia!$C$17:$G$17,5,0),0)</f>
        <v>1</v>
      </c>
      <c r="AX13" s="15">
        <f ca="1">'TUSD BE'!$AM13+'TUSD BF'!$AM13+'TUSD CVA'!$AM13</f>
        <v>1177.0628077816302</v>
      </c>
      <c r="AY13" s="9">
        <v>806.08</v>
      </c>
      <c r="AZ13" s="9">
        <f t="shared" ca="1" si="6"/>
        <v>-370.98280778163019</v>
      </c>
      <c r="BC13" s="81" t="s">
        <v>757</v>
      </c>
    </row>
    <row r="14" spans="1:55" ht="11.25" customHeight="1" x14ac:dyDescent="0.25">
      <c r="A14" s="139"/>
      <c r="B14" s="139"/>
      <c r="C14" s="139"/>
      <c r="D14" s="139"/>
      <c r="E14" s="139"/>
      <c r="F14" s="139"/>
      <c r="G14" s="18" t="s">
        <v>70</v>
      </c>
      <c r="H14" s="18" t="s">
        <v>68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-8.7019342913275365E-3</v>
      </c>
      <c r="N14" s="13">
        <f ca="1">'TUSD BE'!$N$14*'TUSD BE'!$N$58</f>
        <v>4.2327888195596826E-8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-8.7018919634393403E-3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4.874514940831523E-2</v>
      </c>
      <c r="AI14" s="13">
        <f>'TUSD BE'!$AI$14*'TUSD BE'!$AI$58</f>
        <v>0</v>
      </c>
      <c r="AJ14" s="13">
        <f ca="1">'TUSD BE'!$AJ$14*'TUSD BE'!$AJ$58</f>
        <v>2.1842539187677309E-2</v>
      </c>
      <c r="AK14" s="13">
        <f ca="1">'TUSD BE'!$AK$14*'TUSD BE'!$AK$58</f>
        <v>1.0280214917301387E-2</v>
      </c>
      <c r="AL14" s="13">
        <f ca="1">SUM($AH$14:$AK$14)</f>
        <v>8.0867903513293926E-2</v>
      </c>
      <c r="AM14" s="13">
        <f ca="1">SUMIF($L$4:$AL$4,"SUBTOTAL",$L$14:$AL$14)+AZ14</f>
        <v>17.351413200451752</v>
      </c>
      <c r="AO14" s="20">
        <f ca="1">+'TUSD BE'!$T$14+'TUSD BE'!$AB$14+'TUSD BE'!$AD$14+'TUSD BE'!$AL$14</f>
        <v>3.1661178267469312</v>
      </c>
      <c r="AP14" s="20">
        <f ca="1">+'TUSD BE'!$T$14+'TUSD BE'!$AB$14+'TUSD BE'!$AD$14+'TUSD BE'!$AL$14</f>
        <v>3.1661178267469312</v>
      </c>
      <c r="AQ14" s="9" t="str">
        <f t="shared" si="0"/>
        <v>A4</v>
      </c>
      <c r="AR14" s="9" t="str">
        <f t="shared" si="1"/>
        <v>Verde</v>
      </c>
      <c r="AS14" s="9" t="str">
        <f t="shared" si="2"/>
        <v>Não se aplica</v>
      </c>
      <c r="AT14" s="9" t="str">
        <f t="shared" si="3"/>
        <v>Não se aplica</v>
      </c>
      <c r="AU14" s="9" t="str">
        <f t="shared" si="4"/>
        <v>APE</v>
      </c>
      <c r="AV14" s="9">
        <f t="shared" si="5"/>
        <v>1</v>
      </c>
      <c r="AW14" s="9">
        <f ca="1">IFERROR(VLOOKUP(AQ14,TarifaMedia!$C$17:$G$17,5,0),0)</f>
        <v>1</v>
      </c>
      <c r="AX14" s="15">
        <f ca="1">'TUSD BE'!$AM14+'TUSD BF'!$AM14+'TUSD CVA'!$AM14</f>
        <v>3.2107528110980992</v>
      </c>
      <c r="AY14" s="9">
        <v>20.49</v>
      </c>
      <c r="AZ14" s="9">
        <f t="shared" ca="1" si="6"/>
        <v>17.279247188901898</v>
      </c>
      <c r="BC14" s="81" t="s">
        <v>758</v>
      </c>
    </row>
    <row r="15" spans="1:55" ht="11.25" customHeight="1" x14ac:dyDescent="0.25">
      <c r="A15" s="139" t="s">
        <v>79</v>
      </c>
      <c r="B15" s="139" t="s">
        <v>78</v>
      </c>
      <c r="C15" s="139" t="s">
        <v>25</v>
      </c>
      <c r="D15" s="139" t="s">
        <v>25</v>
      </c>
      <c r="E15" s="17" t="s">
        <v>80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-1.6813985900964443E-3</v>
      </c>
      <c r="N15" s="13">
        <f ca="1">'TUSD BE'!$N$15*'TUSD BE'!$N$58</f>
        <v>9.0268475107671719E-8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-1.6813083216213366E-3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SUMIF($L$4:$AL$4,"SUBTOTAL",$L$15:$AL$15)+AZ15</f>
        <v>-1.6813083216213366E-3</v>
      </c>
      <c r="AO15" s="20">
        <f ca="1">+'TUSD BE'!$T$15+'TUSD BE'!$AB$15+'TUSD BE'!$AD$15+'TUSD BE'!$AL$15</f>
        <v>14.78820829081349</v>
      </c>
      <c r="AP15" s="20">
        <f ca="1">+'TUSD BE'!$T$15+'TUSD BE'!$AB$15+'TUSD BE'!$AD$15+'TUSD BE'!$AL$15</f>
        <v>14.78820829081349</v>
      </c>
      <c r="AQ15" s="9" t="str">
        <f t="shared" si="0"/>
        <v>B</v>
      </c>
      <c r="AR15" s="9" t="str">
        <f t="shared" si="1"/>
        <v>Geração</v>
      </c>
      <c r="AS15" s="9" t="str">
        <f t="shared" si="2"/>
        <v>Não se aplica</v>
      </c>
      <c r="AT15" s="9" t="str">
        <f t="shared" si="3"/>
        <v>Não se aplica</v>
      </c>
      <c r="AU15" s="9" t="str">
        <f t="shared" si="4"/>
        <v>TIPO 01</v>
      </c>
      <c r="AV15" s="9">
        <f t="shared" si="5"/>
        <v>0</v>
      </c>
      <c r="AW15" s="9">
        <f ca="1">TarifaMedia!$G$20</f>
        <v>1</v>
      </c>
      <c r="AX15" s="15">
        <f ca="1">'TUSD BE'!$AM15+'TUSD BF'!$AM15+'TUSD CVA'!$AM15</f>
        <v>14.786526982491868</v>
      </c>
      <c r="AY15" s="9">
        <v>1.99</v>
      </c>
      <c r="AZ15" s="9">
        <f t="shared" ca="1" si="6"/>
        <v>0</v>
      </c>
      <c r="BC15" s="81" t="s">
        <v>759</v>
      </c>
    </row>
    <row r="16" spans="1:55" ht="11.25" customHeight="1" x14ac:dyDescent="0.25">
      <c r="A16" s="139"/>
      <c r="B16" s="139"/>
      <c r="C16" s="139"/>
      <c r="D16" s="139"/>
      <c r="E16" s="17" t="s">
        <v>81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-1.6813985900964443E-3</v>
      </c>
      <c r="N16" s="13">
        <f ca="1">'TUSD BE'!$N$16*'TUSD BE'!$N$58</f>
        <v>9.0268475107671719E-8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-1.6813083216213366E-3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SUMIF($L$4:$AL$4,"SUBTOTAL",$L$16:$AL$16)+AZ16</f>
        <v>-1.6813083216213366E-3</v>
      </c>
      <c r="AO16" s="20">
        <f ca="1">+'TUSD BE'!$T$16+'TUSD BE'!$AB$16+'TUSD BE'!$AD$16+'TUSD BE'!$AL$16</f>
        <v>22.584594661653828</v>
      </c>
      <c r="AP16" s="20">
        <f ca="1">+'TUSD BE'!$T$16+'TUSD BE'!$AB$16+'TUSD BE'!$AD$16+'TUSD BE'!$AL$16</f>
        <v>22.584594661653828</v>
      </c>
      <c r="AQ16" s="9" t="str">
        <f t="shared" si="0"/>
        <v>B</v>
      </c>
      <c r="AR16" s="9" t="str">
        <f t="shared" si="1"/>
        <v>Geração</v>
      </c>
      <c r="AS16" s="9" t="str">
        <f t="shared" si="2"/>
        <v>Não se aplica</v>
      </c>
      <c r="AT16" s="9" t="str">
        <f t="shared" si="3"/>
        <v>Não se aplica</v>
      </c>
      <c r="AU16" s="9" t="str">
        <f t="shared" si="4"/>
        <v>TIPO 02</v>
      </c>
      <c r="AV16" s="9">
        <f t="shared" si="5"/>
        <v>0</v>
      </c>
      <c r="AW16" s="9">
        <f ca="1">TarifaMedia!$G$20</f>
        <v>1</v>
      </c>
      <c r="AX16" s="15">
        <f ca="1">'TUSD BE'!$AM16+'TUSD BF'!$AM16+'TUSD CVA'!$AM16</f>
        <v>22.582913353332206</v>
      </c>
      <c r="AY16" s="9">
        <v>5.86</v>
      </c>
      <c r="AZ16" s="9">
        <f t="shared" ca="1" si="6"/>
        <v>0</v>
      </c>
      <c r="BC16" s="81" t="s">
        <v>760</v>
      </c>
    </row>
    <row r="17" spans="1:55" ht="11.25" customHeight="1" x14ac:dyDescent="0.25">
      <c r="A17" s="139" t="s">
        <v>22</v>
      </c>
      <c r="B17" s="139" t="s">
        <v>38</v>
      </c>
      <c r="C17" s="139" t="s">
        <v>24</v>
      </c>
      <c r="D17" s="139" t="s">
        <v>24</v>
      </c>
      <c r="E17" s="139" t="s">
        <v>25</v>
      </c>
      <c r="F17" s="139" t="s">
        <v>25</v>
      </c>
      <c r="G17" s="18" t="s">
        <v>69</v>
      </c>
      <c r="H17" s="18" t="s">
        <v>68</v>
      </c>
      <c r="I17" s="18">
        <f>'MERCADO TUSD'!$U$14</f>
        <v>0</v>
      </c>
      <c r="J17" s="15"/>
      <c r="L17" s="13">
        <f>'TUSD BE'!$L$17*'TUSD BE'!$L$58</f>
        <v>0</v>
      </c>
      <c r="M17" s="13">
        <f>'TUSD BE'!$M$17*'TUSD BE'!$M$58</f>
        <v>-4.2283101664990205E-2</v>
      </c>
      <c r="N17" s="13">
        <f ca="1">'TUSD BE'!$N$17*'TUSD BE'!$N$58</f>
        <v>6.0024829882324845E-6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-2.5889577452651773</v>
      </c>
      <c r="R17" s="13">
        <f>'TUSD BE'!$R$17*'TUSD BE'!$R$58</f>
        <v>-0.42769576103318119</v>
      </c>
      <c r="S17" s="13">
        <f>'TUSD BE'!$R$17*'TUSD BE'!$S$58</f>
        <v>0</v>
      </c>
      <c r="T17" s="13">
        <f ca="1">SUM($L$17:$S$17)</f>
        <v>-3.0589306054803607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-7.3761051137529625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-7.3761051137529625</v>
      </c>
      <c r="AC17" s="13">
        <f>'TUSD BE'!$AC$17*'TUSD BE'!$AC$58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0.52138809842257405</v>
      </c>
      <c r="AI17" s="13">
        <f>'TUSD BE'!$AI$17*'TUSD BE'!$AI$58</f>
        <v>0</v>
      </c>
      <c r="AJ17" s="13">
        <f ca="1">'TUSD BE'!$AJ$17*'TUSD BE'!$AJ$58</f>
        <v>4.0935442612293094E-2</v>
      </c>
      <c r="AK17" s="13">
        <f ca="1">'TUSD BE'!$AK$17*'TUSD BE'!$AK$58</f>
        <v>1.9266310760547616E-2</v>
      </c>
      <c r="AL17" s="13">
        <f ca="1">SUM($AH$17:$AK$17)</f>
        <v>0.58158985179541478</v>
      </c>
      <c r="AM17" s="13">
        <f ca="1">SUMIF($L$4:$AL$4,"SUBTOTAL",$L$17:$AL$17)+AZ17</f>
        <v>-554.45201196895187</v>
      </c>
      <c r="AO17" s="20">
        <f ca="1">+'TUSD BE'!$T$17+'TUSD BE'!$AB$17+'TUSD BE'!$AD$17+'TUSD BE'!$AL$17</f>
        <v>1102.833361429681</v>
      </c>
      <c r="AP17" s="20">
        <f ca="1">+'TUSD BE'!$T$17+'TUSD BE'!$AB$17+'TUSD BE'!$AD$17+'TUSD BE'!$AL$17</f>
        <v>1102.833361429681</v>
      </c>
      <c r="AQ17" s="9" t="str">
        <f t="shared" si="0"/>
        <v>B1</v>
      </c>
      <c r="AR17" s="9" t="str">
        <f t="shared" si="1"/>
        <v>Branca</v>
      </c>
      <c r="AS17" s="9" t="str">
        <f t="shared" si="2"/>
        <v>Residencial</v>
      </c>
      <c r="AT17" s="9" t="str">
        <f t="shared" si="3"/>
        <v>Residencial</v>
      </c>
      <c r="AU17" s="9" t="str">
        <f t="shared" si="4"/>
        <v>Não se aplica</v>
      </c>
      <c r="AV17" s="9">
        <f t="shared" si="5"/>
        <v>1</v>
      </c>
      <c r="AW17" s="9">
        <f ca="1">TarifaMedia!$G$20</f>
        <v>1</v>
      </c>
      <c r="AX17" s="15">
        <f ca="1">'TUSD BE'!$AM17+'TUSD BF'!$AM17+'TUSD CVA'!$AM17</f>
        <v>1116.188566101514</v>
      </c>
      <c r="AY17" s="9">
        <v>571.59</v>
      </c>
      <c r="AZ17" s="9">
        <f t="shared" ca="1" si="6"/>
        <v>-544.59856610151394</v>
      </c>
      <c r="BC17" s="81" t="s">
        <v>761</v>
      </c>
    </row>
    <row r="18" spans="1:55" ht="11.25" customHeight="1" x14ac:dyDescent="0.25">
      <c r="A18" s="139"/>
      <c r="B18" s="139"/>
      <c r="C18" s="139"/>
      <c r="D18" s="139"/>
      <c r="E18" s="139"/>
      <c r="F18" s="139"/>
      <c r="G18" s="18" t="s">
        <v>82</v>
      </c>
      <c r="H18" s="18" t="s">
        <v>68</v>
      </c>
      <c r="I18" s="18">
        <f>'MERCADO TUSD'!$U$15</f>
        <v>0</v>
      </c>
      <c r="J18" s="15"/>
      <c r="L18" s="13">
        <f>'TUSD BE'!$L$18*'TUSD BE'!$L$58</f>
        <v>0</v>
      </c>
      <c r="M18" s="13">
        <f>'TUSD BE'!$M$18*'TUSD BE'!$M$58</f>
        <v>-4.2283101664990205E-2</v>
      </c>
      <c r="N18" s="13">
        <f ca="1">'TUSD BE'!$N$18*'TUSD BE'!$N$58</f>
        <v>3.7173968771664811E-6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-2.5889577452651773</v>
      </c>
      <c r="R18" s="13">
        <f>'TUSD BE'!$R$18*'TUSD BE'!$R$58</f>
        <v>-0.42769576103318119</v>
      </c>
      <c r="S18" s="13">
        <f>'TUSD BE'!$R$18*'TUSD BE'!$S$58</f>
        <v>0</v>
      </c>
      <c r="T18" s="13">
        <f ca="1">SUM($L$18:$S$18)</f>
        <v>-3.0589328905664717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-4.4256630682517768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-4.4256630682517768</v>
      </c>
      <c r="AC18" s="13">
        <f>'TUSD BE'!$AC$18*'TUSD BE'!$AC$58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0.52138809842257405</v>
      </c>
      <c r="AI18" s="13">
        <f>'TUSD BE'!$AI$18*'TUSD BE'!$AI$58</f>
        <v>0</v>
      </c>
      <c r="AJ18" s="13">
        <f ca="1">'TUSD BE'!$AJ$18*'TUSD BE'!$AJ$58</f>
        <v>4.0935442612293094E-2</v>
      </c>
      <c r="AK18" s="13">
        <f ca="1">'TUSD BE'!$AK$18*'TUSD BE'!$AK$58</f>
        <v>1.9266310760547616E-2</v>
      </c>
      <c r="AL18" s="13">
        <f ca="1">SUM($AH$18:$AK$18)</f>
        <v>0.58158985179541478</v>
      </c>
      <c r="AM18" s="13">
        <f ca="1">SUMIF($L$4:$AL$4,"SUBTOTAL",$L$18:$AL$18)+AZ18</f>
        <v>-329.68240674311386</v>
      </c>
      <c r="AO18" s="20">
        <f ca="1">+'TUSD BE'!$T$18+'TUSD BE'!$AB$18+'TUSD BE'!$AD$18+'TUSD BE'!$AL$18</f>
        <v>712.18375620384302</v>
      </c>
      <c r="AP18" s="20">
        <f ca="1">+'TUSD BE'!$T$18+'TUSD BE'!$AB$18+'TUSD BE'!$AD$18+'TUSD BE'!$AL$18</f>
        <v>712.18375620384302</v>
      </c>
      <c r="AQ18" s="9" t="str">
        <f t="shared" si="0"/>
        <v>B1</v>
      </c>
      <c r="AR18" s="9" t="str">
        <f t="shared" si="1"/>
        <v>Branca</v>
      </c>
      <c r="AS18" s="9" t="str">
        <f t="shared" si="2"/>
        <v>Residencial</v>
      </c>
      <c r="AT18" s="9" t="str">
        <f t="shared" si="3"/>
        <v>Residencial</v>
      </c>
      <c r="AU18" s="9" t="str">
        <f t="shared" si="4"/>
        <v>Não se aplica</v>
      </c>
      <c r="AV18" s="9">
        <f t="shared" si="5"/>
        <v>1</v>
      </c>
      <c r="AW18" s="9">
        <f ca="1">TarifaMedia!$G$20</f>
        <v>1</v>
      </c>
      <c r="AX18" s="15">
        <f ca="1">'TUSD BE'!$AM18+'TUSD BF'!$AM18+'TUSD CVA'!$AM18</f>
        <v>728.48940063609098</v>
      </c>
      <c r="AY18" s="9">
        <v>405.71</v>
      </c>
      <c r="AZ18" s="9">
        <f t="shared" ca="1" si="6"/>
        <v>-322.779400636091</v>
      </c>
      <c r="BC18" s="81" t="s">
        <v>762</v>
      </c>
    </row>
    <row r="19" spans="1:55" ht="11.25" customHeight="1" x14ac:dyDescent="0.25">
      <c r="A19" s="139"/>
      <c r="B19" s="139"/>
      <c r="C19" s="139"/>
      <c r="D19" s="139"/>
      <c r="E19" s="139"/>
      <c r="F19" s="139"/>
      <c r="G19" s="18" t="s">
        <v>70</v>
      </c>
      <c r="H19" s="18" t="s">
        <v>68</v>
      </c>
      <c r="I19" s="18">
        <f>'MERCADO TUSD'!$U$16</f>
        <v>0</v>
      </c>
      <c r="J19" s="15"/>
      <c r="L19" s="13">
        <f>'TUSD BE'!$L$19*'TUSD BE'!$L$58</f>
        <v>0</v>
      </c>
      <c r="M19" s="13">
        <f>'TUSD BE'!$M$19*'TUSD BE'!$M$58</f>
        <v>-4.2283101664990205E-2</v>
      </c>
      <c r="N19" s="13">
        <f ca="1">'TUSD BE'!$N$19*'TUSD BE'!$N$58</f>
        <v>1.4323114402489093E-6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-2.5889577452651773</v>
      </c>
      <c r="R19" s="13">
        <f>'TUSD BE'!$R$19*'TUSD BE'!$R$58</f>
        <v>-0.42769576103318119</v>
      </c>
      <c r="S19" s="13">
        <f>'TUSD BE'!$R$19*'TUSD BE'!$S$58</f>
        <v>0</v>
      </c>
      <c r="T19" s="13">
        <f ca="1">SUM($L$19:$S$19)</f>
        <v>-3.0589351756519085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-1.4752210227505924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-1.4752210227505924</v>
      </c>
      <c r="AC19" s="13">
        <f>'TUSD BE'!$AC$19*'TUSD BE'!$AC$58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0.52138809842257405</v>
      </c>
      <c r="AI19" s="13">
        <f>'TUSD BE'!$AI$19*'TUSD BE'!$AI$58</f>
        <v>0</v>
      </c>
      <c r="AJ19" s="13">
        <f ca="1">'TUSD BE'!$AJ$19*'TUSD BE'!$AJ$58</f>
        <v>4.0935442612293094E-2</v>
      </c>
      <c r="AK19" s="13">
        <f ca="1">'TUSD BE'!$AK$19*'TUSD BE'!$AK$58</f>
        <v>1.9266310760547616E-2</v>
      </c>
      <c r="AL19" s="13">
        <f ca="1">SUM($AH$19:$AK$19)</f>
        <v>0.58158985179541478</v>
      </c>
      <c r="AM19" s="13">
        <f ca="1">SUMIF($L$4:$AL$4,"SUBTOTAL",$L$19:$AL$19)+AZ19</f>
        <v>-104.91291196310749</v>
      </c>
      <c r="AO19" s="20">
        <f ca="1">+'TUSD BE'!$T$19+'TUSD BE'!$AB$19+'TUSD BE'!$AD$19+'TUSD BE'!$AL$19</f>
        <v>321.53426142383665</v>
      </c>
      <c r="AP19" s="20">
        <f ca="1">+'TUSD BE'!$T$19+'TUSD BE'!$AB$19+'TUSD BE'!$AD$19+'TUSD BE'!$AL$19</f>
        <v>321.53426142383665</v>
      </c>
      <c r="AQ19" s="9" t="str">
        <f t="shared" si="0"/>
        <v>B1</v>
      </c>
      <c r="AR19" s="9" t="str">
        <f t="shared" si="1"/>
        <v>Branca</v>
      </c>
      <c r="AS19" s="9" t="str">
        <f t="shared" si="2"/>
        <v>Residencial</v>
      </c>
      <c r="AT19" s="9" t="str">
        <f t="shared" si="3"/>
        <v>Residencial</v>
      </c>
      <c r="AU19" s="9" t="str">
        <f t="shared" si="4"/>
        <v>Não se aplica</v>
      </c>
      <c r="AV19" s="9">
        <f t="shared" si="5"/>
        <v>1</v>
      </c>
      <c r="AW19" s="9">
        <f ca="1">TarifaMedia!$G$20</f>
        <v>1</v>
      </c>
      <c r="AX19" s="15">
        <f ca="1">'TUSD BE'!$AM19+'TUSD BF'!$AM19+'TUSD CVA'!$AM19</f>
        <v>340.79034561650042</v>
      </c>
      <c r="AY19" s="9">
        <v>239.83</v>
      </c>
      <c r="AZ19" s="9">
        <f t="shared" ca="1" si="6"/>
        <v>-100.9603456165004</v>
      </c>
      <c r="BC19" s="81" t="s">
        <v>763</v>
      </c>
    </row>
    <row r="20" spans="1:55" ht="11.25" customHeight="1" x14ac:dyDescent="0.25">
      <c r="A20" s="139"/>
      <c r="B20" s="139" t="s">
        <v>23</v>
      </c>
      <c r="C20" s="139" t="s">
        <v>24</v>
      </c>
      <c r="D20" s="17" t="s">
        <v>24</v>
      </c>
      <c r="E20" s="17" t="s">
        <v>25</v>
      </c>
      <c r="F20" s="17" t="s">
        <v>25</v>
      </c>
      <c r="G20" s="18" t="s">
        <v>72</v>
      </c>
      <c r="H20" s="18" t="s">
        <v>68</v>
      </c>
      <c r="I20" s="18">
        <f>'MERCADO TUSD'!$U$17</f>
        <v>6670.0239999999994</v>
      </c>
      <c r="J20" s="15"/>
      <c r="L20" s="13">
        <f>'TUSD BE'!$L$20*'TUSD BE'!$L$58</f>
        <v>0</v>
      </c>
      <c r="M20" s="13">
        <f>'TUSD BE'!$M$20*'TUSD BE'!$M$58</f>
        <v>-4.2283101664990205E-2</v>
      </c>
      <c r="N20" s="13">
        <f ca="1">'TUSD BE'!$N$20*'TUSD BE'!$N$58</f>
        <v>2.3300236724877309E-6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-2.5889577452651773</v>
      </c>
      <c r="R20" s="13">
        <f>'TUSD BE'!$R$20*'TUSD BE'!$R$58</f>
        <v>-0.42769576103318119</v>
      </c>
      <c r="S20" s="13">
        <f>'TUSD BE'!$R$20*'TUSD BE'!$S$58</f>
        <v>0</v>
      </c>
      <c r="T20" s="13">
        <f ca="1">SUM($L$20:$S$20)</f>
        <v>-3.0589342779396764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-2.6343239833413987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-2.6343239833413987</v>
      </c>
      <c r="AC20" s="13">
        <f>'TUSD BE'!$AC$20*'TUSD BE'!$AC$58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0.52138809842257405</v>
      </c>
      <c r="AI20" s="13">
        <f>'TUSD BE'!$AI$20*'TUSD BE'!$AI$58</f>
        <v>0</v>
      </c>
      <c r="AJ20" s="13">
        <f ca="1">'TUSD BE'!$AJ$20*'TUSD BE'!$AJ$58</f>
        <v>4.0935442612293094E-2</v>
      </c>
      <c r="AK20" s="13">
        <f ca="1">'TUSD BE'!$AK$20*'TUSD BE'!$AK$58</f>
        <v>1.9266310760547616E-2</v>
      </c>
      <c r="AL20" s="13">
        <f ca="1">SUM($AH$20:$AK$20)</f>
        <v>0.58158985179541478</v>
      </c>
      <c r="AM20" s="13">
        <f ca="1">SUMIF($L$4:$AL$4,"SUBTOTAL",$L$20:$AL$20)+AZ20</f>
        <v>-187.72237613918071</v>
      </c>
      <c r="AO20" s="20">
        <f ca="1">+'TUSD BE'!$T$20+'TUSD BE'!$AB$20+'TUSD BE'!$AD$20+'TUSD BE'!$AL$20</f>
        <v>475.00372559990984</v>
      </c>
      <c r="AP20" s="20">
        <f ca="1">+'TUSD BE'!$T$20+'TUSD BE'!$AB$20+'TUSD BE'!$AD$20+'TUSD BE'!$AL$20</f>
        <v>475.00372559990984</v>
      </c>
      <c r="AQ20" s="9" t="str">
        <f t="shared" si="0"/>
        <v>B1</v>
      </c>
      <c r="AR20" s="9" t="str">
        <f t="shared" si="1"/>
        <v>Convencional</v>
      </c>
      <c r="AS20" s="9" t="str">
        <f t="shared" si="2"/>
        <v>Residencial</v>
      </c>
      <c r="AT20" s="9" t="str">
        <f t="shared" si="3"/>
        <v>Residencial</v>
      </c>
      <c r="AU20" s="9" t="str">
        <f t="shared" si="4"/>
        <v>Não se aplica</v>
      </c>
      <c r="AV20" s="9">
        <f t="shared" si="5"/>
        <v>1</v>
      </c>
      <c r="AW20" s="9">
        <f ca="1">TarifaMedia!$G$20</f>
        <v>1</v>
      </c>
      <c r="AX20" s="15">
        <f ca="1">'TUSD BE'!$AM20+'TUSD BF'!$AM20+'TUSD CVA'!$AM20</f>
        <v>493.10070772969505</v>
      </c>
      <c r="AY20" s="9">
        <v>310.49</v>
      </c>
      <c r="AZ20" s="9">
        <f t="shared" ca="1" si="6"/>
        <v>-182.61070772969504</v>
      </c>
      <c r="BC20" s="81" t="s">
        <v>764</v>
      </c>
    </row>
    <row r="21" spans="1:55" ht="11.25" customHeight="1" x14ac:dyDescent="0.25">
      <c r="A21" s="139"/>
      <c r="B21" s="139"/>
      <c r="C21" s="139"/>
      <c r="D21" s="17" t="s">
        <v>28</v>
      </c>
      <c r="E21" s="17" t="s">
        <v>25</v>
      </c>
      <c r="F21" s="17" t="s">
        <v>25</v>
      </c>
      <c r="G21" s="18" t="s">
        <v>72</v>
      </c>
      <c r="H21" s="18" t="s">
        <v>68</v>
      </c>
      <c r="I21" s="18">
        <f>'MERCADO TUSD'!$U$18</f>
        <v>127.41000000000001</v>
      </c>
      <c r="J21" s="15"/>
      <c r="L21" s="13">
        <f>'TUSD BE'!$L$21*'TUSD BE'!$L$58</f>
        <v>0</v>
      </c>
      <c r="M21" s="13">
        <f>'TUSD BE'!$M$21*'TUSD BE'!$M$58</f>
        <v>-4.2283101664990205E-2</v>
      </c>
      <c r="N21" s="13">
        <f ca="1">'TUSD BE'!$N$21*'TUSD BE'!$N$58</f>
        <v>2.3232821881630357E-6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-4.2280778382802045E-2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-2.6343239833413987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-2.6343239833413987</v>
      </c>
      <c r="AC21" s="13">
        <f>'TUSD BE'!$AC$21*'TUSD BE'!$AC$58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0.52138809842257405</v>
      </c>
      <c r="AI21" s="13">
        <f>'TUSD BE'!$AI$21*'TUSD BE'!$AI$58</f>
        <v>0</v>
      </c>
      <c r="AJ21" s="13">
        <f ca="1">'TUSD BE'!$AJ$21*'TUSD BE'!$AJ$58</f>
        <v>4.0935442612293094E-2</v>
      </c>
      <c r="AK21" s="13">
        <f ca="1">'TUSD BE'!$AK$21*'TUSD BE'!$AK$58</f>
        <v>1.9266310760547616E-2</v>
      </c>
      <c r="AL21" s="13">
        <f ca="1">SUM($AH$21:$AK$21)</f>
        <v>0.58158985179541478</v>
      </c>
      <c r="AM21" s="13">
        <f ca="1">SUMIF($L$4:$AL$4,"SUBTOTAL",$L$21:$AL$21)+AZ21</f>
        <v>-183.55826288217122</v>
      </c>
      <c r="AO21" s="20">
        <f ca="1">+'TUSD BE'!$T$21+'TUSD BE'!$AB$21+'TUSD BE'!$AD$21+'TUSD BE'!$AL$21</f>
        <v>371.55758363074114</v>
      </c>
      <c r="AP21" s="20">
        <f ca="1">+'TUSD BE'!$T$21+'TUSD BE'!$AB$21+'TUSD BE'!$AD$21+'TUSD BE'!$AL$21</f>
        <v>371.55758363074114</v>
      </c>
      <c r="AQ21" s="9" t="str">
        <f t="shared" si="0"/>
        <v>B1</v>
      </c>
      <c r="AR21" s="9" t="str">
        <f t="shared" si="1"/>
        <v>Convencional</v>
      </c>
      <c r="AS21" s="9" t="str">
        <f t="shared" si="2"/>
        <v>Residencial</v>
      </c>
      <c r="AT21" s="9" t="str">
        <f t="shared" si="3"/>
        <v>Residencial baixa renda – faixa 01</v>
      </c>
      <c r="AU21" s="9" t="str">
        <f t="shared" si="4"/>
        <v>Não se aplica</v>
      </c>
      <c r="AV21" s="9">
        <f t="shared" si="5"/>
        <v>1</v>
      </c>
      <c r="AW21" s="9">
        <f ca="1">TarifaMedia!$G$20</f>
        <v>1</v>
      </c>
      <c r="AX21" s="15">
        <f ca="1">'TUSD BE'!$AM21+'TUSD BF'!$AM21+'TUSD CVA'!$AM21</f>
        <v>369.24324797224244</v>
      </c>
      <c r="AY21" s="9">
        <v>187.78</v>
      </c>
      <c r="AZ21" s="9">
        <f t="shared" ca="1" si="6"/>
        <v>-181.46324797224244</v>
      </c>
      <c r="BC21" s="81" t="s">
        <v>765</v>
      </c>
    </row>
    <row r="22" spans="1:55" ht="11.25" customHeight="1" x14ac:dyDescent="0.25">
      <c r="A22" s="139"/>
      <c r="B22" s="139"/>
      <c r="C22" s="139"/>
      <c r="D22" s="17" t="s">
        <v>29</v>
      </c>
      <c r="E22" s="17" t="s">
        <v>25</v>
      </c>
      <c r="F22" s="17" t="s">
        <v>25</v>
      </c>
      <c r="G22" s="18" t="s">
        <v>72</v>
      </c>
      <c r="H22" s="18" t="s">
        <v>68</v>
      </c>
      <c r="I22" s="18">
        <f>'MERCADO TUSD'!$U$19</f>
        <v>275.43099999999998</v>
      </c>
      <c r="J22" s="15"/>
      <c r="L22" s="13">
        <f>'TUSD BE'!$L$22*'TUSD BE'!$L$58</f>
        <v>0</v>
      </c>
      <c r="M22" s="13">
        <f>'TUSD BE'!$M$22*'TUSD BE'!$M$58</f>
        <v>-4.2283101664990205E-2</v>
      </c>
      <c r="N22" s="13">
        <f ca="1">'TUSD BE'!$N$22*'TUSD BE'!$N$58</f>
        <v>2.3232821881630357E-6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-4.2280778382802045E-2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-2.6343239833413987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-2.6343239833413987</v>
      </c>
      <c r="AC22" s="13">
        <f>'TUSD BE'!$AC$22*'TUSD BE'!$AC$58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0.52138809842257405</v>
      </c>
      <c r="AI22" s="13">
        <f>'TUSD BE'!$AI$22*'TUSD BE'!$AI$58</f>
        <v>0</v>
      </c>
      <c r="AJ22" s="13">
        <f ca="1">'TUSD BE'!$AJ$22*'TUSD BE'!$AJ$58</f>
        <v>4.0935442612293094E-2</v>
      </c>
      <c r="AK22" s="13">
        <f ca="1">'TUSD BE'!$AK$22*'TUSD BE'!$AK$58</f>
        <v>1.9266310760547616E-2</v>
      </c>
      <c r="AL22" s="13">
        <f ca="1">SUM($AH$22:$AK$22)</f>
        <v>0.58158985179541478</v>
      </c>
      <c r="AM22" s="13">
        <f ca="1">SUMIF($L$4:$AL$4,"SUBTOTAL",$L$22:$AL$22)+AZ22</f>
        <v>-183.55826288217122</v>
      </c>
      <c r="AO22" s="20">
        <f ca="1">+'TUSD BE'!$T$22+'TUSD BE'!$AB$22+'TUSD BE'!$AD$22+'TUSD BE'!$AL$22</f>
        <v>371.55758363074114</v>
      </c>
      <c r="AP22" s="20">
        <f ca="1">+'TUSD BE'!$T$22+'TUSD BE'!$AB$22+'TUSD BE'!$AD$22+'TUSD BE'!$AL$22</f>
        <v>371.55758363074114</v>
      </c>
      <c r="AQ22" s="9" t="str">
        <f t="shared" si="0"/>
        <v>B1</v>
      </c>
      <c r="AR22" s="9" t="str">
        <f t="shared" si="1"/>
        <v>Convencional</v>
      </c>
      <c r="AS22" s="9" t="str">
        <f t="shared" si="2"/>
        <v>Residencial</v>
      </c>
      <c r="AT22" s="9" t="str">
        <f t="shared" si="3"/>
        <v>Residencial baixa renda – faixa 02</v>
      </c>
      <c r="AU22" s="9" t="str">
        <f t="shared" si="4"/>
        <v>Não se aplica</v>
      </c>
      <c r="AV22" s="9">
        <f t="shared" si="5"/>
        <v>1</v>
      </c>
      <c r="AW22" s="9">
        <f ca="1">TarifaMedia!$G$20</f>
        <v>1</v>
      </c>
      <c r="AX22" s="15">
        <f ca="1">'TUSD BE'!$AM22+'TUSD BF'!$AM22+'TUSD CVA'!$AM22</f>
        <v>369.24324797224244</v>
      </c>
      <c r="AY22" s="9">
        <v>187.78</v>
      </c>
      <c r="AZ22" s="9">
        <f t="shared" ca="1" si="6"/>
        <v>-181.46324797224244</v>
      </c>
      <c r="BC22" s="81" t="s">
        <v>765</v>
      </c>
    </row>
    <row r="23" spans="1:55" ht="11.25" customHeight="1" x14ac:dyDescent="0.25">
      <c r="A23" s="139"/>
      <c r="B23" s="139"/>
      <c r="C23" s="139"/>
      <c r="D23" s="17" t="s">
        <v>30</v>
      </c>
      <c r="E23" s="17" t="s">
        <v>25</v>
      </c>
      <c r="F23" s="17" t="s">
        <v>25</v>
      </c>
      <c r="G23" s="18" t="s">
        <v>72</v>
      </c>
      <c r="H23" s="18" t="s">
        <v>68</v>
      </c>
      <c r="I23" s="18">
        <f>'MERCADO TUSD'!$U$20</f>
        <v>305.03699999999998</v>
      </c>
      <c r="J23" s="15"/>
      <c r="L23" s="13">
        <f>'TUSD BE'!$L$23*'TUSD BE'!$L$58</f>
        <v>0</v>
      </c>
      <c r="M23" s="13">
        <f>'TUSD BE'!$M$23*'TUSD BE'!$M$58</f>
        <v>-4.2283101664990205E-2</v>
      </c>
      <c r="N23" s="13">
        <f ca="1">'TUSD BE'!$N$23*'TUSD BE'!$N$58</f>
        <v>2.3232821881630357E-6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-4.2280778382802045E-2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-2.6343239833413987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-2.6343239833413987</v>
      </c>
      <c r="AC23" s="13">
        <f>'TUSD BE'!$AC$23*'TUSD BE'!$AC$58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0.52138809842257405</v>
      </c>
      <c r="AI23" s="13">
        <f>'TUSD BE'!$AI$23*'TUSD BE'!$AI$58</f>
        <v>0</v>
      </c>
      <c r="AJ23" s="13">
        <f ca="1">'TUSD BE'!$AJ$23*'TUSD BE'!$AJ$58</f>
        <v>4.0935442612293094E-2</v>
      </c>
      <c r="AK23" s="13">
        <f ca="1">'TUSD BE'!$AK$23*'TUSD BE'!$AK$58</f>
        <v>1.9266310760547616E-2</v>
      </c>
      <c r="AL23" s="13">
        <f ca="1">SUM($AH$23:$AK$23)</f>
        <v>0.58158985179541478</v>
      </c>
      <c r="AM23" s="13">
        <f ca="1">SUMIF($L$4:$AL$4,"SUBTOTAL",$L$23:$AL$23)+AZ23</f>
        <v>-183.55826288217122</v>
      </c>
      <c r="AO23" s="20">
        <f ca="1">+'TUSD BE'!$T$23+'TUSD BE'!$AB$23+'TUSD BE'!$AD$23+'TUSD BE'!$AL$23</f>
        <v>371.55758363074114</v>
      </c>
      <c r="AP23" s="20">
        <f ca="1">+'TUSD BE'!$T$23+'TUSD BE'!$AB$23+'TUSD BE'!$AD$23+'TUSD BE'!$AL$23</f>
        <v>371.55758363074114</v>
      </c>
      <c r="AQ23" s="9" t="str">
        <f t="shared" si="0"/>
        <v>B1</v>
      </c>
      <c r="AR23" s="9" t="str">
        <f t="shared" si="1"/>
        <v>Convencional</v>
      </c>
      <c r="AS23" s="9" t="str">
        <f t="shared" si="2"/>
        <v>Residencial</v>
      </c>
      <c r="AT23" s="9" t="str">
        <f t="shared" si="3"/>
        <v>Residencial baixa renda – faixa 03</v>
      </c>
      <c r="AU23" s="9" t="str">
        <f t="shared" si="4"/>
        <v>Não se aplica</v>
      </c>
      <c r="AV23" s="9">
        <f t="shared" si="5"/>
        <v>1</v>
      </c>
      <c r="AW23" s="9">
        <f ca="1">TarifaMedia!$G$20</f>
        <v>1</v>
      </c>
      <c r="AX23" s="15">
        <f ca="1">'TUSD BE'!$AM23+'TUSD BF'!$AM23+'TUSD CVA'!$AM23</f>
        <v>369.24324797224244</v>
      </c>
      <c r="AY23" s="9">
        <v>187.78</v>
      </c>
      <c r="AZ23" s="9">
        <f t="shared" ca="1" si="6"/>
        <v>-181.46324797224244</v>
      </c>
      <c r="BC23" s="81" t="s">
        <v>765</v>
      </c>
    </row>
    <row r="24" spans="1:55" ht="11.25" customHeight="1" x14ac:dyDescent="0.25">
      <c r="A24" s="139"/>
      <c r="B24" s="139"/>
      <c r="C24" s="139"/>
      <c r="D24" s="17" t="s">
        <v>31</v>
      </c>
      <c r="E24" s="17" t="s">
        <v>25</v>
      </c>
      <c r="F24" s="17" t="s">
        <v>25</v>
      </c>
      <c r="G24" s="18" t="s">
        <v>72</v>
      </c>
      <c r="H24" s="18" t="s">
        <v>68</v>
      </c>
      <c r="I24" s="18">
        <f>'MERCADO TUSD'!$U$21</f>
        <v>109.482</v>
      </c>
      <c r="J24" s="15"/>
      <c r="L24" s="13">
        <f>'TUSD BE'!$L$24*'TUSD BE'!$L$58</f>
        <v>0</v>
      </c>
      <c r="M24" s="13">
        <f>'TUSD BE'!$M$24*'TUSD BE'!$M$58</f>
        <v>-4.2283101664990205E-2</v>
      </c>
      <c r="N24" s="13">
        <f ca="1">'TUSD BE'!$N$24*'TUSD BE'!$N$58</f>
        <v>2.3232821881630357E-6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-4.2280778382802045E-2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-2.6343239833413987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-2.6343239833413987</v>
      </c>
      <c r="AC24" s="13">
        <f>'TUSD BE'!$AC$24*'TUSD BE'!$AC$58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0.52138809842257405</v>
      </c>
      <c r="AI24" s="13">
        <f>'TUSD BE'!$AI$24*'TUSD BE'!$AI$58</f>
        <v>0</v>
      </c>
      <c r="AJ24" s="13">
        <f ca="1">'TUSD BE'!$AJ$24*'TUSD BE'!$AJ$58</f>
        <v>4.0935442612293094E-2</v>
      </c>
      <c r="AK24" s="13">
        <f ca="1">'TUSD BE'!$AK$24*'TUSD BE'!$AK$58</f>
        <v>1.9266310760547616E-2</v>
      </c>
      <c r="AL24" s="13">
        <f ca="1">SUM($AH$24:$AK$24)</f>
        <v>0.58158985179541478</v>
      </c>
      <c r="AM24" s="13">
        <f ca="1">SUMIF($L$4:$AL$4,"SUBTOTAL",$L$24:$AL$24)+AZ24</f>
        <v>-183.55826288217122</v>
      </c>
      <c r="AO24" s="20">
        <f ca="1">+'TUSD BE'!$T$24+'TUSD BE'!$AB$24+'TUSD BE'!$AD$24+'TUSD BE'!$AL$24</f>
        <v>371.55758363074114</v>
      </c>
      <c r="AP24" s="20">
        <f ca="1">+'TUSD BE'!$T$24+'TUSD BE'!$AB$24+'TUSD BE'!$AD$24+'TUSD BE'!$AL$24</f>
        <v>371.55758363074114</v>
      </c>
      <c r="AQ24" s="9" t="str">
        <f t="shared" si="0"/>
        <v>B1</v>
      </c>
      <c r="AR24" s="9" t="str">
        <f t="shared" si="1"/>
        <v>Convencional</v>
      </c>
      <c r="AS24" s="9" t="str">
        <f t="shared" si="2"/>
        <v>Residencial</v>
      </c>
      <c r="AT24" s="9" t="str">
        <f t="shared" si="3"/>
        <v>Residencial baixa renda – faixa 04</v>
      </c>
      <c r="AU24" s="9" t="str">
        <f t="shared" si="4"/>
        <v>Não se aplica</v>
      </c>
      <c r="AV24" s="9">
        <f t="shared" si="5"/>
        <v>1</v>
      </c>
      <c r="AW24" s="9">
        <f ca="1">TarifaMedia!$G$20</f>
        <v>1</v>
      </c>
      <c r="AX24" s="15">
        <f ca="1">'TUSD BE'!$AM24+'TUSD BF'!$AM24+'TUSD CVA'!$AM24</f>
        <v>369.24324797224244</v>
      </c>
      <c r="AY24" s="9">
        <v>187.78</v>
      </c>
      <c r="AZ24" s="9">
        <f t="shared" ca="1" si="6"/>
        <v>-181.46324797224244</v>
      </c>
      <c r="BC24" s="81" t="s">
        <v>765</v>
      </c>
    </row>
    <row r="25" spans="1:55" ht="11.25" customHeight="1" x14ac:dyDescent="0.25">
      <c r="A25" s="139"/>
      <c r="B25" s="139" t="s">
        <v>84</v>
      </c>
      <c r="C25" s="139" t="s">
        <v>24</v>
      </c>
      <c r="D25" s="17" t="s">
        <v>24</v>
      </c>
      <c r="E25" s="17" t="s">
        <v>25</v>
      </c>
      <c r="F25" s="17" t="s">
        <v>25</v>
      </c>
      <c r="G25" s="18" t="s">
        <v>72</v>
      </c>
      <c r="H25" s="18" t="s">
        <v>68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-4.2283101664990205E-2</v>
      </c>
      <c r="N25" s="13">
        <f ca="1">'TUSD BE'!$N$25*'TUSD BE'!$N$58</f>
        <v>2.3300236724877309E-6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-2.5889577452651773</v>
      </c>
      <c r="R25" s="13">
        <f>'TUSD BE'!$R$25*'TUSD BE'!$R$58</f>
        <v>-0.42769576103318119</v>
      </c>
      <c r="S25" s="13">
        <f>'TUSD BE'!$R$25*'TUSD BE'!$S$58</f>
        <v>0</v>
      </c>
      <c r="T25" s="13">
        <f ca="1">SUM($L$25:$S$25)</f>
        <v>-3.0589342779396764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-2.6343239833413987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-2.6343239833413987</v>
      </c>
      <c r="AC25" s="13">
        <f>'TUSD BE'!$AC$25*'TUSD BE'!$AC$58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0.52138809842257405</v>
      </c>
      <c r="AI25" s="13">
        <f>'TUSD BE'!$AI$25*'TUSD BE'!$AI$58</f>
        <v>0</v>
      </c>
      <c r="AJ25" s="13">
        <f ca="1">'TUSD BE'!$AJ$25*'TUSD BE'!$AJ$58</f>
        <v>4.0935442612293094E-2</v>
      </c>
      <c r="AK25" s="13">
        <f ca="1">'TUSD BE'!$AK$25*'TUSD BE'!$AK$58</f>
        <v>1.9266310760547616E-2</v>
      </c>
      <c r="AL25" s="13">
        <f ca="1">SUM($AH$25:$AK$25)</f>
        <v>0.58158985179541478</v>
      </c>
      <c r="AM25" s="13">
        <f ca="1">SUMIF($L$4:$AL$4,"SUBTOTAL",$L$25:$AL$25)+AZ25</f>
        <v>-187.72237613918071</v>
      </c>
      <c r="AO25" s="20">
        <f ca="1">+'TUSD BE'!$T$25+'TUSD BE'!$AB$25+'TUSD BE'!$AD$25+'TUSD BE'!$AL$25</f>
        <v>475.00372559990984</v>
      </c>
      <c r="AP25" s="20">
        <f ca="1">+'TUSD BE'!$T$25+'TUSD BE'!$AB$25+'TUSD BE'!$AD$25+'TUSD BE'!$AL$25</f>
        <v>475.00372559990984</v>
      </c>
      <c r="AQ25" s="9" t="str">
        <f t="shared" si="0"/>
        <v>B1</v>
      </c>
      <c r="AR25" s="9" t="str">
        <f t="shared" si="1"/>
        <v>Convencional pré-pagamento</v>
      </c>
      <c r="AS25" s="9" t="str">
        <f t="shared" si="2"/>
        <v>Residencial</v>
      </c>
      <c r="AT25" s="9" t="str">
        <f t="shared" si="3"/>
        <v>Residencial</v>
      </c>
      <c r="AU25" s="9" t="str">
        <f t="shared" si="4"/>
        <v>Não se aplica</v>
      </c>
      <c r="AV25" s="9">
        <f t="shared" si="5"/>
        <v>1</v>
      </c>
      <c r="AW25" s="9">
        <f ca="1">TarifaMedia!$G$20</f>
        <v>1</v>
      </c>
      <c r="AX25" s="15">
        <f ca="1">'TUSD BE'!$AM25+'TUSD BF'!$AM25+'TUSD CVA'!$AM25</f>
        <v>493.10070772969505</v>
      </c>
      <c r="AY25" s="9">
        <v>310.49</v>
      </c>
      <c r="AZ25" s="9">
        <f t="shared" ca="1" si="6"/>
        <v>-182.61070772969504</v>
      </c>
      <c r="BC25" s="81" t="s">
        <v>766</v>
      </c>
    </row>
    <row r="26" spans="1:55" ht="11.25" customHeight="1" x14ac:dyDescent="0.25">
      <c r="A26" s="139"/>
      <c r="B26" s="139"/>
      <c r="C26" s="139"/>
      <c r="D26" s="17" t="s">
        <v>28</v>
      </c>
      <c r="E26" s="17" t="s">
        <v>25</v>
      </c>
      <c r="F26" s="17" t="s">
        <v>25</v>
      </c>
      <c r="G26" s="18" t="s">
        <v>72</v>
      </c>
      <c r="H26" s="18" t="s">
        <v>68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-4.2283101664990205E-2</v>
      </c>
      <c r="N26" s="13">
        <f ca="1">'TUSD BE'!$N$26*'TUSD BE'!$N$58</f>
        <v>2.3232821881630357E-6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-4.2280778382802045E-2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-2.6343239833413987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-2.6343239833413987</v>
      </c>
      <c r="AC26" s="13">
        <f>'TUSD BE'!$AC$26*'TUSD BE'!$AC$58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0.52138809842257405</v>
      </c>
      <c r="AI26" s="13">
        <f>'TUSD BE'!$AI$26*'TUSD BE'!$AI$58</f>
        <v>0</v>
      </c>
      <c r="AJ26" s="13">
        <f ca="1">'TUSD BE'!$AJ$26*'TUSD BE'!$AJ$58</f>
        <v>4.0935442612293094E-2</v>
      </c>
      <c r="AK26" s="13">
        <f ca="1">'TUSD BE'!$AK$26*'TUSD BE'!$AK$58</f>
        <v>1.9266310760547616E-2</v>
      </c>
      <c r="AL26" s="13">
        <f ca="1">SUM($AH$26:$AK$26)</f>
        <v>0.58158985179541478</v>
      </c>
      <c r="AM26" s="13">
        <f ca="1">SUMIF($L$4:$AL$4,"SUBTOTAL",$L$26:$AL$26)+AZ26</f>
        <v>-183.55826288217122</v>
      </c>
      <c r="AO26" s="20">
        <f ca="1">+'TUSD BE'!$T$26+'TUSD BE'!$AB$26+'TUSD BE'!$AD$26+'TUSD BE'!$AL$26</f>
        <v>371.55758363074114</v>
      </c>
      <c r="AP26" s="20">
        <f ca="1">+'TUSD BE'!$T$26+'TUSD BE'!$AB$26+'TUSD BE'!$AD$26+'TUSD BE'!$AL$26</f>
        <v>371.55758363074114</v>
      </c>
      <c r="AQ26" s="9" t="str">
        <f t="shared" si="0"/>
        <v>B1</v>
      </c>
      <c r="AR26" s="9" t="str">
        <f t="shared" si="1"/>
        <v>Convencional pré-pagamento</v>
      </c>
      <c r="AS26" s="9" t="str">
        <f t="shared" si="2"/>
        <v>Residencial</v>
      </c>
      <c r="AT26" s="9" t="str">
        <f t="shared" si="3"/>
        <v>Residencial baixa renda – faixa 01</v>
      </c>
      <c r="AU26" s="9" t="str">
        <f t="shared" si="4"/>
        <v>Não se aplica</v>
      </c>
      <c r="AV26" s="9">
        <f t="shared" si="5"/>
        <v>1</v>
      </c>
      <c r="AW26" s="9">
        <f ca="1">TarifaMedia!$G$20</f>
        <v>1</v>
      </c>
      <c r="AX26" s="15">
        <f ca="1">'TUSD BE'!$AM26+'TUSD BF'!$AM26+'TUSD CVA'!$AM26</f>
        <v>369.24324797224244</v>
      </c>
      <c r="AY26" s="9">
        <v>187.78</v>
      </c>
      <c r="AZ26" s="9">
        <f t="shared" ca="1" si="6"/>
        <v>-181.46324797224244</v>
      </c>
      <c r="BC26" s="81" t="s">
        <v>767</v>
      </c>
    </row>
    <row r="27" spans="1:55" ht="11.25" customHeight="1" x14ac:dyDescent="0.25">
      <c r="A27" s="139"/>
      <c r="B27" s="139"/>
      <c r="C27" s="139"/>
      <c r="D27" s="17" t="s">
        <v>29</v>
      </c>
      <c r="E27" s="17" t="s">
        <v>25</v>
      </c>
      <c r="F27" s="17" t="s">
        <v>25</v>
      </c>
      <c r="G27" s="18" t="s">
        <v>72</v>
      </c>
      <c r="H27" s="18" t="s">
        <v>68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-4.2283101664990205E-2</v>
      </c>
      <c r="N27" s="13">
        <f ca="1">'TUSD BE'!$N$27*'TUSD BE'!$N$58</f>
        <v>2.3232821881630357E-6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-4.2280778382802045E-2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-2.6343239833413987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-2.6343239833413987</v>
      </c>
      <c r="AC27" s="13">
        <f>'TUSD BE'!$AC$27*'TUSD BE'!$AC$58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0.52138809842257405</v>
      </c>
      <c r="AI27" s="13">
        <f>'TUSD BE'!$AI$27*'TUSD BE'!$AI$58</f>
        <v>0</v>
      </c>
      <c r="AJ27" s="13">
        <f ca="1">'TUSD BE'!$AJ$27*'TUSD BE'!$AJ$58</f>
        <v>4.0935442612293094E-2</v>
      </c>
      <c r="AK27" s="13">
        <f ca="1">'TUSD BE'!$AK$27*'TUSD BE'!$AK$58</f>
        <v>1.9266310760547616E-2</v>
      </c>
      <c r="AL27" s="13">
        <f ca="1">SUM($AH$27:$AK$27)</f>
        <v>0.58158985179541478</v>
      </c>
      <c r="AM27" s="13">
        <f ca="1">SUMIF($L$4:$AL$4,"SUBTOTAL",$L$27:$AL$27)+AZ27</f>
        <v>-183.55826288217122</v>
      </c>
      <c r="AO27" s="20">
        <f ca="1">+'TUSD BE'!$T$27+'TUSD BE'!$AB$27+'TUSD BE'!$AD$27+'TUSD BE'!$AL$27</f>
        <v>371.55758363074114</v>
      </c>
      <c r="AP27" s="20">
        <f ca="1">+'TUSD BE'!$T$27+'TUSD BE'!$AB$27+'TUSD BE'!$AD$27+'TUSD BE'!$AL$27</f>
        <v>371.55758363074114</v>
      </c>
      <c r="AQ27" s="9" t="str">
        <f t="shared" si="0"/>
        <v>B1</v>
      </c>
      <c r="AR27" s="9" t="str">
        <f t="shared" si="1"/>
        <v>Convencional pré-pagamento</v>
      </c>
      <c r="AS27" s="9" t="str">
        <f t="shared" si="2"/>
        <v>Residencial</v>
      </c>
      <c r="AT27" s="9" t="str">
        <f t="shared" si="3"/>
        <v>Residencial baixa renda – faixa 02</v>
      </c>
      <c r="AU27" s="9" t="str">
        <f t="shared" si="4"/>
        <v>Não se aplica</v>
      </c>
      <c r="AV27" s="9">
        <f t="shared" si="5"/>
        <v>1</v>
      </c>
      <c r="AW27" s="9">
        <f ca="1">TarifaMedia!$G$20</f>
        <v>1</v>
      </c>
      <c r="AX27" s="15">
        <f ca="1">'TUSD BE'!$AM27+'TUSD BF'!$AM27+'TUSD CVA'!$AM27</f>
        <v>369.24324797224244</v>
      </c>
      <c r="AY27" s="9">
        <v>187.78</v>
      </c>
      <c r="AZ27" s="9">
        <f t="shared" ca="1" si="6"/>
        <v>-181.46324797224244</v>
      </c>
      <c r="BC27" s="81" t="s">
        <v>767</v>
      </c>
    </row>
    <row r="28" spans="1:55" ht="11.25" customHeight="1" x14ac:dyDescent="0.25">
      <c r="A28" s="139"/>
      <c r="B28" s="139"/>
      <c r="C28" s="139"/>
      <c r="D28" s="17" t="s">
        <v>30</v>
      </c>
      <c r="E28" s="17" t="s">
        <v>25</v>
      </c>
      <c r="F28" s="17" t="s">
        <v>25</v>
      </c>
      <c r="G28" s="18" t="s">
        <v>72</v>
      </c>
      <c r="H28" s="18" t="s">
        <v>68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-4.2283101664990205E-2</v>
      </c>
      <c r="N28" s="13">
        <f ca="1">'TUSD BE'!$N$28*'TUSD BE'!$N$58</f>
        <v>2.3232821881630357E-6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-4.2280778382802045E-2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-2.6343239833413987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-2.6343239833413987</v>
      </c>
      <c r="AC28" s="13">
        <f>'TUSD BE'!$AC$28*'TUSD BE'!$AC$58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0.52138809842257405</v>
      </c>
      <c r="AI28" s="13">
        <f>'TUSD BE'!$AI$28*'TUSD BE'!$AI$58</f>
        <v>0</v>
      </c>
      <c r="AJ28" s="13">
        <f ca="1">'TUSD BE'!$AJ$28*'TUSD BE'!$AJ$58</f>
        <v>4.0935442612293094E-2</v>
      </c>
      <c r="AK28" s="13">
        <f ca="1">'TUSD BE'!$AK$28*'TUSD BE'!$AK$58</f>
        <v>1.9266310760547616E-2</v>
      </c>
      <c r="AL28" s="13">
        <f ca="1">SUM($AH$28:$AK$28)</f>
        <v>0.58158985179541478</v>
      </c>
      <c r="AM28" s="13">
        <f ca="1">SUMIF($L$4:$AL$4,"SUBTOTAL",$L$28:$AL$28)+AZ28</f>
        <v>-183.55826288217122</v>
      </c>
      <c r="AO28" s="20">
        <f ca="1">+'TUSD BE'!$T$28+'TUSD BE'!$AB$28+'TUSD BE'!$AD$28+'TUSD BE'!$AL$28</f>
        <v>371.55758363074114</v>
      </c>
      <c r="AP28" s="20">
        <f ca="1">+'TUSD BE'!$T$28+'TUSD BE'!$AB$28+'TUSD BE'!$AD$28+'TUSD BE'!$AL$28</f>
        <v>371.55758363074114</v>
      </c>
      <c r="AQ28" s="9" t="str">
        <f t="shared" si="0"/>
        <v>B1</v>
      </c>
      <c r="AR28" s="9" t="str">
        <f t="shared" si="1"/>
        <v>Convencional pré-pagamento</v>
      </c>
      <c r="AS28" s="9" t="str">
        <f t="shared" si="2"/>
        <v>Residencial</v>
      </c>
      <c r="AT28" s="9" t="str">
        <f t="shared" si="3"/>
        <v>Residencial baixa renda – faixa 03</v>
      </c>
      <c r="AU28" s="9" t="str">
        <f t="shared" si="4"/>
        <v>Não se aplica</v>
      </c>
      <c r="AV28" s="9">
        <f t="shared" si="5"/>
        <v>1</v>
      </c>
      <c r="AW28" s="9">
        <f ca="1">TarifaMedia!$G$20</f>
        <v>1</v>
      </c>
      <c r="AX28" s="15">
        <f ca="1">'TUSD BE'!$AM28+'TUSD BF'!$AM28+'TUSD CVA'!$AM28</f>
        <v>369.24324797224244</v>
      </c>
      <c r="AY28" s="9">
        <v>187.78</v>
      </c>
      <c r="AZ28" s="9">
        <f t="shared" ca="1" si="6"/>
        <v>-181.46324797224244</v>
      </c>
      <c r="BC28" s="81" t="s">
        <v>767</v>
      </c>
    </row>
    <row r="29" spans="1:55" ht="11.25" customHeight="1" x14ac:dyDescent="0.25">
      <c r="A29" s="139"/>
      <c r="B29" s="139"/>
      <c r="C29" s="139"/>
      <c r="D29" s="17" t="s">
        <v>31</v>
      </c>
      <c r="E29" s="17" t="s">
        <v>25</v>
      </c>
      <c r="F29" s="17" t="s">
        <v>25</v>
      </c>
      <c r="G29" s="18" t="s">
        <v>72</v>
      </c>
      <c r="H29" s="18" t="s">
        <v>68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-4.2283101664990205E-2</v>
      </c>
      <c r="N29" s="13">
        <f ca="1">'TUSD BE'!$N$29*'TUSD BE'!$N$58</f>
        <v>2.3232821881630357E-6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-4.2280778382802045E-2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-2.6343239833413987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-2.6343239833413987</v>
      </c>
      <c r="AC29" s="13">
        <f>'TUSD BE'!$AC$29*'TUSD BE'!$AC$58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0.52138809842257405</v>
      </c>
      <c r="AI29" s="13">
        <f>'TUSD BE'!$AI$29*'TUSD BE'!$AI$58</f>
        <v>0</v>
      </c>
      <c r="AJ29" s="13">
        <f ca="1">'TUSD BE'!$AJ$29*'TUSD BE'!$AJ$58</f>
        <v>4.0935442612293094E-2</v>
      </c>
      <c r="AK29" s="13">
        <f ca="1">'TUSD BE'!$AK$29*'TUSD BE'!$AK$58</f>
        <v>1.9266310760547616E-2</v>
      </c>
      <c r="AL29" s="13">
        <f ca="1">SUM($AH$29:$AK$29)</f>
        <v>0.58158985179541478</v>
      </c>
      <c r="AM29" s="13">
        <f ca="1">SUMIF($L$4:$AL$4,"SUBTOTAL",$L$29:$AL$29)+AZ29</f>
        <v>-183.55826288217122</v>
      </c>
      <c r="AO29" s="20">
        <f ca="1">+'TUSD BE'!$T$29+'TUSD BE'!$AB$29+'TUSD BE'!$AD$29+'TUSD BE'!$AL$29</f>
        <v>371.55758363074114</v>
      </c>
      <c r="AP29" s="20">
        <f ca="1">+'TUSD BE'!$T$29+'TUSD BE'!$AB$29+'TUSD BE'!$AD$29+'TUSD BE'!$AL$29</f>
        <v>371.55758363074114</v>
      </c>
      <c r="AQ29" s="9" t="str">
        <f t="shared" si="0"/>
        <v>B1</v>
      </c>
      <c r="AR29" s="9" t="str">
        <f t="shared" si="1"/>
        <v>Convencional pré-pagamento</v>
      </c>
      <c r="AS29" s="9" t="str">
        <f t="shared" si="2"/>
        <v>Residencial</v>
      </c>
      <c r="AT29" s="9" t="str">
        <f t="shared" si="3"/>
        <v>Residencial baixa renda – faixa 04</v>
      </c>
      <c r="AU29" s="9" t="str">
        <f t="shared" si="4"/>
        <v>Não se aplica</v>
      </c>
      <c r="AV29" s="9">
        <f t="shared" si="5"/>
        <v>1</v>
      </c>
      <c r="AW29" s="9">
        <f ca="1">TarifaMedia!$G$20</f>
        <v>1</v>
      </c>
      <c r="AX29" s="15">
        <f ca="1">'TUSD BE'!$AM29+'TUSD BF'!$AM29+'TUSD CVA'!$AM29</f>
        <v>369.24324797224244</v>
      </c>
      <c r="AY29" s="9">
        <v>187.78</v>
      </c>
      <c r="AZ29" s="9">
        <f t="shared" ca="1" si="6"/>
        <v>-181.46324797224244</v>
      </c>
      <c r="BC29" s="81" t="s">
        <v>767</v>
      </c>
    </row>
    <row r="30" spans="1:55" ht="11.25" customHeight="1" x14ac:dyDescent="0.25">
      <c r="A30" s="139" t="s">
        <v>41</v>
      </c>
      <c r="B30" s="139" t="s">
        <v>38</v>
      </c>
      <c r="C30" s="139" t="s">
        <v>42</v>
      </c>
      <c r="D30" s="139" t="s">
        <v>25</v>
      </c>
      <c r="E30" s="139" t="s">
        <v>25</v>
      </c>
      <c r="F30" s="139" t="s">
        <v>25</v>
      </c>
      <c r="G30" s="18" t="s">
        <v>69</v>
      </c>
      <c r="H30" s="18" t="s">
        <v>68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-4.2283101664990205E-2</v>
      </c>
      <c r="N30" s="13">
        <f ca="1">'TUSD BE'!$N$30*'TUSD BE'!$N$58</f>
        <v>2.8976872179012377E-7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-2.5889577452651773</v>
      </c>
      <c r="R30" s="13">
        <f>'TUSD BE'!$R$30*'TUSD BE'!$R$58</f>
        <v>-0.42769576103318119</v>
      </c>
      <c r="S30" s="13">
        <f>'TUSD BE'!$R$30*'TUSD BE'!$S$58</f>
        <v>0</v>
      </c>
      <c r="T30" s="13">
        <f ca="1">SUM($L$30:$S$30)</f>
        <v>-3.0589363181946272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0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0</v>
      </c>
      <c r="AC30" s="13">
        <f>'TUSD BE'!$AC$30*'TUSD BE'!$AC$58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0.52138809842257405</v>
      </c>
      <c r="AI30" s="13">
        <f>'TUSD BE'!$AI$30*'TUSD BE'!$AI$58</f>
        <v>0</v>
      </c>
      <c r="AJ30" s="13">
        <f ca="1">'TUSD BE'!$AJ$30*'TUSD BE'!$AJ$58</f>
        <v>4.0935442612293094E-2</v>
      </c>
      <c r="AK30" s="13">
        <f ca="1">'TUSD BE'!$AK$30*'TUSD BE'!$AK$58</f>
        <v>1.9266310760547616E-2</v>
      </c>
      <c r="AL30" s="13">
        <f ca="1">SUM($AH$30:$AK$30)</f>
        <v>0.58158985179541478</v>
      </c>
      <c r="AM30" s="13">
        <f ca="1">SUMIF($L$4:$AL$4,"SUBTOTAL",$L$30:$AL$30)+AZ30</f>
        <v>460.57183542689563</v>
      </c>
      <c r="AO30" s="20">
        <f ca="1">+'TUSD BE'!$T$30+'TUSD BE'!$AB$30+'TUSD BE'!$AD$30+'TUSD BE'!$AL$30</f>
        <v>126.20951403383353</v>
      </c>
      <c r="AP30" s="20">
        <f ca="1">+'TUSD BE'!$T$30+'TUSD BE'!$AB$30+'TUSD BE'!$AD$30+'TUSD BE'!$AL$30</f>
        <v>126.20951403383353</v>
      </c>
      <c r="AQ30" s="9" t="str">
        <f t="shared" si="0"/>
        <v>B2</v>
      </c>
      <c r="AR30" s="9" t="str">
        <f t="shared" si="1"/>
        <v>Branca</v>
      </c>
      <c r="AS30" s="9" t="str">
        <f t="shared" si="2"/>
        <v>Rural</v>
      </c>
      <c r="AT30" s="9" t="str">
        <f t="shared" si="3"/>
        <v>Não se aplica</v>
      </c>
      <c r="AU30" s="9" t="str">
        <f t="shared" si="4"/>
        <v>Não se aplica</v>
      </c>
      <c r="AV30" s="9">
        <f t="shared" si="5"/>
        <v>1</v>
      </c>
      <c r="AW30" s="9">
        <f ca="1">TarifaMedia!$G$20</f>
        <v>1</v>
      </c>
      <c r="AX30" s="15">
        <f ca="1">'TUSD BE'!$AM30+'TUSD BF'!$AM30+'TUSD CVA'!$AM30</f>
        <v>146.94081810670517</v>
      </c>
      <c r="AY30" s="9">
        <f>ROUND(573.39/(1-CUSTOS!$M$38),2)</f>
        <v>609.99</v>
      </c>
      <c r="AZ30" s="9">
        <f t="shared" ca="1" si="6"/>
        <v>463.04918189329487</v>
      </c>
      <c r="BC30" s="81" t="s">
        <v>768</v>
      </c>
    </row>
    <row r="31" spans="1:55" ht="11.25" customHeight="1" x14ac:dyDescent="0.25">
      <c r="A31" s="139"/>
      <c r="B31" s="139"/>
      <c r="C31" s="139"/>
      <c r="D31" s="139"/>
      <c r="E31" s="139"/>
      <c r="F31" s="139"/>
      <c r="G31" s="18" t="s">
        <v>82</v>
      </c>
      <c r="H31" s="18" t="s">
        <v>68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-4.2283101664990205E-2</v>
      </c>
      <c r="N31" s="13">
        <f ca="1">'TUSD BE'!$N$31*'TUSD BE'!$N$58</f>
        <v>2.8976872179012377E-7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-2.5889577452651773</v>
      </c>
      <c r="R31" s="13">
        <f>'TUSD BE'!$R$31*'TUSD BE'!$R$58</f>
        <v>-0.42769576103318119</v>
      </c>
      <c r="S31" s="13">
        <f>'TUSD BE'!$R$31*'TUSD BE'!$S$58</f>
        <v>0</v>
      </c>
      <c r="T31" s="13">
        <f ca="1">SUM($L$31:$S$31)</f>
        <v>-3.0589363181946272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0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0</v>
      </c>
      <c r="AC31" s="13">
        <f>'TUSD BE'!$AC$31*'TUSD BE'!$AC$58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0.52138809842257405</v>
      </c>
      <c r="AI31" s="13">
        <f>'TUSD BE'!$AI$31*'TUSD BE'!$AI$58</f>
        <v>0</v>
      </c>
      <c r="AJ31" s="13">
        <f ca="1">'TUSD BE'!$AJ$31*'TUSD BE'!$AJ$58</f>
        <v>4.0935442612293094E-2</v>
      </c>
      <c r="AK31" s="13">
        <f ca="1">'TUSD BE'!$AK$31*'TUSD BE'!$AK$58</f>
        <v>1.9266310760547616E-2</v>
      </c>
      <c r="AL31" s="13">
        <f ca="1">SUM($AH$31:$AK$31)</f>
        <v>0.58158985179541478</v>
      </c>
      <c r="AM31" s="13">
        <f ca="1">SUMIF($L$4:$AL$4,"SUBTOTAL",$L$31:$AL$31)+AZ31</f>
        <v>279.34183542689561</v>
      </c>
      <c r="AO31" s="20">
        <f ca="1">+'TUSD BE'!$T$31+'TUSD BE'!$AB$31+'TUSD BE'!$AD$31+'TUSD BE'!$AL$31</f>
        <v>126.20951403383353</v>
      </c>
      <c r="AP31" s="20">
        <f ca="1">+'TUSD BE'!$T$31+'TUSD BE'!$AB$31+'TUSD BE'!$AD$31+'TUSD BE'!$AL$31</f>
        <v>126.20951403383353</v>
      </c>
      <c r="AQ31" s="9" t="str">
        <f t="shared" si="0"/>
        <v>B2</v>
      </c>
      <c r="AR31" s="9" t="str">
        <f t="shared" si="1"/>
        <v>Branca</v>
      </c>
      <c r="AS31" s="9" t="str">
        <f t="shared" si="2"/>
        <v>Rural</v>
      </c>
      <c r="AT31" s="9" t="str">
        <f t="shared" si="3"/>
        <v>Não se aplica</v>
      </c>
      <c r="AU31" s="9" t="str">
        <f t="shared" si="4"/>
        <v>Não se aplica</v>
      </c>
      <c r="AV31" s="9">
        <f t="shared" si="5"/>
        <v>1</v>
      </c>
      <c r="AW31" s="9">
        <f ca="1">TarifaMedia!$G$20</f>
        <v>1</v>
      </c>
      <c r="AX31" s="15">
        <f ca="1">'TUSD BE'!$AM31+'TUSD BF'!$AM31+'TUSD CVA'!$AM31</f>
        <v>146.94081810670517</v>
      </c>
      <c r="AY31" s="9">
        <f>ROUND(403.03/(1-CUSTOS!$M$38),2)</f>
        <v>428.76</v>
      </c>
      <c r="AZ31" s="9">
        <f t="shared" ca="1" si="6"/>
        <v>281.81918189329485</v>
      </c>
      <c r="BC31" s="81" t="s">
        <v>769</v>
      </c>
    </row>
    <row r="32" spans="1:55" ht="11.25" customHeight="1" x14ac:dyDescent="0.25">
      <c r="A32" s="139"/>
      <c r="B32" s="139"/>
      <c r="C32" s="139"/>
      <c r="D32" s="139"/>
      <c r="E32" s="139"/>
      <c r="F32" s="139"/>
      <c r="G32" s="18" t="s">
        <v>70</v>
      </c>
      <c r="H32" s="18" t="s">
        <v>68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-4.2283101664990205E-2</v>
      </c>
      <c r="N32" s="13">
        <f ca="1">'TUSD BE'!$N$32*'TUSD BE'!$N$58</f>
        <v>2.8976872179012377E-7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-2.5889577452651773</v>
      </c>
      <c r="R32" s="13">
        <f>'TUSD BE'!$R$32*'TUSD BE'!$R$58</f>
        <v>-0.42769576103318119</v>
      </c>
      <c r="S32" s="13">
        <f>'TUSD BE'!$R$32*'TUSD BE'!$S$58</f>
        <v>0</v>
      </c>
      <c r="T32" s="13">
        <f ca="1">SUM($L$32:$S$32)</f>
        <v>-3.0589363181946272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0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0</v>
      </c>
      <c r="AC32" s="13">
        <f>'TUSD BE'!$AC$32*'TUSD BE'!$AC$58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0.52138809842257405</v>
      </c>
      <c r="AI32" s="13">
        <f>'TUSD BE'!$AI$32*'TUSD BE'!$AI$58</f>
        <v>0</v>
      </c>
      <c r="AJ32" s="13">
        <f ca="1">'TUSD BE'!$AJ$32*'TUSD BE'!$AJ$58</f>
        <v>4.0935442612293094E-2</v>
      </c>
      <c r="AK32" s="13">
        <f ca="1">'TUSD BE'!$AK$32*'TUSD BE'!$AK$58</f>
        <v>1.9266310760547616E-2</v>
      </c>
      <c r="AL32" s="13">
        <f ca="1">SUM($AH$32:$AK$32)</f>
        <v>0.58158985179541478</v>
      </c>
      <c r="AM32" s="13">
        <f ca="1">SUMIF($L$4:$AL$4,"SUBTOTAL",$L$32:$AL$32)+AZ32</f>
        <v>98.091835426895614</v>
      </c>
      <c r="AO32" s="20">
        <f ca="1">+'TUSD BE'!$T$32+'TUSD BE'!$AB$32+'TUSD BE'!$AD$32+'TUSD BE'!$AL$32</f>
        <v>126.20951403383353</v>
      </c>
      <c r="AP32" s="20">
        <f ca="1">+'TUSD BE'!$T$32+'TUSD BE'!$AB$32+'TUSD BE'!$AD$32+'TUSD BE'!$AL$32</f>
        <v>126.20951403383353</v>
      </c>
      <c r="AQ32" s="9" t="str">
        <f t="shared" si="0"/>
        <v>B2</v>
      </c>
      <c r="AR32" s="9" t="str">
        <f t="shared" si="1"/>
        <v>Branca</v>
      </c>
      <c r="AS32" s="9" t="str">
        <f t="shared" si="2"/>
        <v>Rural</v>
      </c>
      <c r="AT32" s="9" t="str">
        <f t="shared" si="3"/>
        <v>Não se aplica</v>
      </c>
      <c r="AU32" s="9" t="str">
        <f t="shared" si="4"/>
        <v>Não se aplica</v>
      </c>
      <c r="AV32" s="9">
        <f t="shared" si="5"/>
        <v>1</v>
      </c>
      <c r="AW32" s="9">
        <f ca="1">TarifaMedia!$G$20</f>
        <v>1</v>
      </c>
      <c r="AX32" s="15">
        <f ca="1">'TUSD BE'!$AM32+'TUSD BF'!$AM32+'TUSD CVA'!$AM32</f>
        <v>146.94081810670517</v>
      </c>
      <c r="AY32" s="9">
        <f>ROUND(232.66/(1-CUSTOS!$M$38),2)</f>
        <v>247.51</v>
      </c>
      <c r="AZ32" s="9">
        <f t="shared" ca="1" si="6"/>
        <v>100.56918189329483</v>
      </c>
      <c r="BC32" s="81" t="s">
        <v>770</v>
      </c>
    </row>
    <row r="33" spans="1:55" ht="11.25" customHeight="1" x14ac:dyDescent="0.25">
      <c r="A33" s="139"/>
      <c r="B33" s="17" t="s">
        <v>23</v>
      </c>
      <c r="C33" s="17" t="s">
        <v>42</v>
      </c>
      <c r="D33" s="17" t="s">
        <v>25</v>
      </c>
      <c r="E33" s="17" t="s">
        <v>25</v>
      </c>
      <c r="F33" s="17" t="s">
        <v>25</v>
      </c>
      <c r="G33" s="18" t="s">
        <v>72</v>
      </c>
      <c r="H33" s="18" t="s">
        <v>68</v>
      </c>
      <c r="I33" s="18">
        <f>'MERCADO TUSD'!$U$30</f>
        <v>11.840000000000002</v>
      </c>
      <c r="J33" s="15"/>
      <c r="L33" s="13">
        <f>'TUSD BE'!$L$33*'TUSD BE'!$L$58</f>
        <v>0</v>
      </c>
      <c r="M33" s="13">
        <f>'TUSD BE'!$M$33*'TUSD BE'!$M$58</f>
        <v>-4.2283101664990205E-2</v>
      </c>
      <c r="N33" s="13">
        <f ca="1">'TUSD BE'!$N$33*'TUSD BE'!$N$58</f>
        <v>2.3300236724877309E-6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-2.5889577452651773</v>
      </c>
      <c r="R33" s="13">
        <f>'TUSD BE'!$R$33*'TUSD BE'!$R$58</f>
        <v>-0.42769576103318119</v>
      </c>
      <c r="S33" s="13">
        <f>'TUSD BE'!$R$33*'TUSD BE'!$S$58</f>
        <v>0</v>
      </c>
      <c r="T33" s="13">
        <f ca="1">SUM($L$33:$S$33)</f>
        <v>-3.0589342779396764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-2.6343239833413987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-2.6343239833413987</v>
      </c>
      <c r="AC33" s="13">
        <f>'TUSD BE'!$AC$33*'TUSD BE'!$AC$58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0.52138809842257405</v>
      </c>
      <c r="AI33" s="13">
        <f>'TUSD BE'!$AI$33*'TUSD BE'!$AI$58</f>
        <v>0</v>
      </c>
      <c r="AJ33" s="13">
        <f ca="1">'TUSD BE'!$AJ$33*'TUSD BE'!$AJ$58</f>
        <v>4.0935442612293094E-2</v>
      </c>
      <c r="AK33" s="13">
        <f ca="1">'TUSD BE'!$AK$33*'TUSD BE'!$AK$58</f>
        <v>1.9266310760547616E-2</v>
      </c>
      <c r="AL33" s="13">
        <f ca="1">SUM($AH$33:$AK$33)</f>
        <v>0.58158985179541478</v>
      </c>
      <c r="AM33" s="13">
        <f ca="1">SUMIF($L$4:$AL$4,"SUBTOTAL",$L$33:$AL$33)+AZ33</f>
        <v>-187.72237613918071</v>
      </c>
      <c r="AO33" s="20">
        <f ca="1">+'TUSD BE'!$T$33+'TUSD BE'!$AB$33+'TUSD BE'!$AD$33+'TUSD BE'!$AL$33</f>
        <v>475.00372559990984</v>
      </c>
      <c r="AP33" s="20">
        <f ca="1">+'TUSD BE'!$T$33+'TUSD BE'!$AB$33+'TUSD BE'!$AD$33+'TUSD BE'!$AL$33</f>
        <v>475.00372559990984</v>
      </c>
      <c r="AQ33" s="9" t="str">
        <f t="shared" si="0"/>
        <v>B2</v>
      </c>
      <c r="AR33" s="9" t="str">
        <f t="shared" si="1"/>
        <v>Convencional</v>
      </c>
      <c r="AS33" s="9" t="str">
        <f t="shared" si="2"/>
        <v>Rural</v>
      </c>
      <c r="AT33" s="9" t="str">
        <f t="shared" si="3"/>
        <v>Não se aplica</v>
      </c>
      <c r="AU33" s="9" t="str">
        <f t="shared" si="4"/>
        <v>Não se aplica</v>
      </c>
      <c r="AV33" s="9">
        <f t="shared" si="5"/>
        <v>1</v>
      </c>
      <c r="AW33" s="9">
        <f ca="1">TarifaMedia!$G$20</f>
        <v>1</v>
      </c>
      <c r="AX33" s="15">
        <f ca="1">'TUSD BE'!$AM33+'TUSD BF'!$AM33+'TUSD CVA'!$AM33</f>
        <v>493.10070772969505</v>
      </c>
      <c r="AY33" s="9">
        <v>310.49</v>
      </c>
      <c r="AZ33" s="9">
        <f t="shared" ca="1" si="6"/>
        <v>-182.61070772969504</v>
      </c>
      <c r="BC33" s="81" t="s">
        <v>764</v>
      </c>
    </row>
    <row r="34" spans="1:55" ht="11.25" customHeight="1" x14ac:dyDescent="0.25">
      <c r="A34" s="139"/>
      <c r="B34" s="139" t="s">
        <v>38</v>
      </c>
      <c r="C34" s="139" t="s">
        <v>42</v>
      </c>
      <c r="D34" s="139" t="s">
        <v>85</v>
      </c>
      <c r="E34" s="139" t="s">
        <v>25</v>
      </c>
      <c r="F34" s="139" t="s">
        <v>25</v>
      </c>
      <c r="G34" s="18" t="s">
        <v>69</v>
      </c>
      <c r="H34" s="18" t="s">
        <v>68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-4.2283101664990205E-2</v>
      </c>
      <c r="N34" s="13">
        <f ca="1">'TUSD BE'!$N$34*'TUSD BE'!$N$58</f>
        <v>2.8976872179012377E-7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-2.5889577452651773</v>
      </c>
      <c r="R34" s="13">
        <f>'TUSD BE'!$R$34*'TUSD BE'!$R$58</f>
        <v>-0.42769576103318119</v>
      </c>
      <c r="S34" s="13">
        <f>'TUSD BE'!$R$34*'TUSD BE'!$S$58</f>
        <v>0</v>
      </c>
      <c r="T34" s="13">
        <f ca="1">SUM($L$34:$S$34)</f>
        <v>-3.0589363181946272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0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0</v>
      </c>
      <c r="AC34" s="13">
        <f>'TUSD BE'!$AC$34*'TUSD BE'!$AC$58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0.52138809842257405</v>
      </c>
      <c r="AI34" s="13">
        <f>'TUSD BE'!$AI$34*'TUSD BE'!$AI$58</f>
        <v>0</v>
      </c>
      <c r="AJ34" s="13">
        <f ca="1">'TUSD BE'!$AJ$34*'TUSD BE'!$AJ$58</f>
        <v>4.0935442612293094E-2</v>
      </c>
      <c r="AK34" s="13">
        <f ca="1">'TUSD BE'!$AK$34*'TUSD BE'!$AK$58</f>
        <v>1.9266310760547616E-2</v>
      </c>
      <c r="AL34" s="13">
        <f ca="1">SUM($AH$34:$AK$34)</f>
        <v>0.58158985179541478</v>
      </c>
      <c r="AM34" s="13">
        <f ca="1">SUMIF($L$4:$AL$4,"SUBTOTAL",$L$34:$AL$34)+AZ34</f>
        <v>460.57183542689563</v>
      </c>
      <c r="AO34" s="20">
        <f ca="1">+'TUSD BE'!$T$34+'TUSD BE'!$AB$34+'TUSD BE'!$AD$34+'TUSD BE'!$AL$34</f>
        <v>126.20951403383353</v>
      </c>
      <c r="AP34" s="20">
        <f ca="1">+'TUSD BE'!$T$34+'TUSD BE'!$AB$34+'TUSD BE'!$AD$34+'TUSD BE'!$AL$34</f>
        <v>126.20951403383353</v>
      </c>
      <c r="AQ34" s="9" t="str">
        <f t="shared" si="0"/>
        <v>B2</v>
      </c>
      <c r="AR34" s="9" t="str">
        <f t="shared" si="1"/>
        <v>Branca</v>
      </c>
      <c r="AS34" s="9" t="str">
        <f t="shared" si="2"/>
        <v>Rural</v>
      </c>
      <c r="AT34" s="9" t="str">
        <f t="shared" si="3"/>
        <v>Cooperativa de eletrificação rural</v>
      </c>
      <c r="AU34" s="9" t="str">
        <f t="shared" si="4"/>
        <v>Não se aplica</v>
      </c>
      <c r="AV34" s="9">
        <f t="shared" si="5"/>
        <v>1</v>
      </c>
      <c r="AW34" s="9">
        <f ca="1">TarifaMedia!$G$20</f>
        <v>1</v>
      </c>
      <c r="AX34" s="15">
        <f ca="1">'TUSD BE'!$AM34+'TUSD BF'!$AM34+'TUSD CVA'!$AM34</f>
        <v>146.94081810670517</v>
      </c>
      <c r="AY34" s="9">
        <f>ROUND(573.39/(1-CUSTOS!$M$38),2)</f>
        <v>609.99</v>
      </c>
      <c r="AZ34" s="9">
        <f t="shared" ca="1" si="6"/>
        <v>463.04918189329487</v>
      </c>
      <c r="BC34" s="81" t="s">
        <v>768</v>
      </c>
    </row>
    <row r="35" spans="1:55" ht="11.25" customHeight="1" x14ac:dyDescent="0.25">
      <c r="A35" s="139"/>
      <c r="B35" s="139"/>
      <c r="C35" s="139"/>
      <c r="D35" s="139"/>
      <c r="E35" s="139"/>
      <c r="F35" s="139"/>
      <c r="G35" s="18" t="s">
        <v>82</v>
      </c>
      <c r="H35" s="18" t="s">
        <v>68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-4.2283101664990205E-2</v>
      </c>
      <c r="N35" s="13">
        <f ca="1">'TUSD BE'!$N$35*'TUSD BE'!$N$58</f>
        <v>2.8976872179012377E-7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-2.5889577452651773</v>
      </c>
      <c r="R35" s="13">
        <f>'TUSD BE'!$R$35*'TUSD BE'!$R$58</f>
        <v>-0.42769576103318119</v>
      </c>
      <c r="S35" s="13">
        <f>'TUSD BE'!$R$35*'TUSD BE'!$S$58</f>
        <v>0</v>
      </c>
      <c r="T35" s="13">
        <f ca="1">SUM($L$35:$S$35)</f>
        <v>-3.0589363181946272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0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0</v>
      </c>
      <c r="AC35" s="13">
        <f>'TUSD BE'!$AC$35*'TUSD BE'!$AC$58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0.52138809842257405</v>
      </c>
      <c r="AI35" s="13">
        <f>'TUSD BE'!$AI$35*'TUSD BE'!$AI$58</f>
        <v>0</v>
      </c>
      <c r="AJ35" s="13">
        <f ca="1">'TUSD BE'!$AJ$35*'TUSD BE'!$AJ$58</f>
        <v>4.0935442612293094E-2</v>
      </c>
      <c r="AK35" s="13">
        <f ca="1">'TUSD BE'!$AK$35*'TUSD BE'!$AK$58</f>
        <v>1.9266310760547616E-2</v>
      </c>
      <c r="AL35" s="13">
        <f ca="1">SUM($AH$35:$AK$35)</f>
        <v>0.58158985179541478</v>
      </c>
      <c r="AM35" s="13">
        <f ca="1">SUMIF($L$4:$AL$4,"SUBTOTAL",$L$35:$AL$35)+AZ35</f>
        <v>279.34183542689561</v>
      </c>
      <c r="AO35" s="20">
        <f ca="1">+'TUSD BE'!$T$35+'TUSD BE'!$AB$35+'TUSD BE'!$AD$35+'TUSD BE'!$AL$35</f>
        <v>126.20951403383353</v>
      </c>
      <c r="AP35" s="20">
        <f ca="1">+'TUSD BE'!$T$35+'TUSD BE'!$AB$35+'TUSD BE'!$AD$35+'TUSD BE'!$AL$35</f>
        <v>126.20951403383353</v>
      </c>
      <c r="AQ35" s="9" t="str">
        <f t="shared" si="0"/>
        <v>B2</v>
      </c>
      <c r="AR35" s="9" t="str">
        <f t="shared" si="1"/>
        <v>Branca</v>
      </c>
      <c r="AS35" s="9" t="str">
        <f t="shared" si="2"/>
        <v>Rural</v>
      </c>
      <c r="AT35" s="9" t="str">
        <f t="shared" si="3"/>
        <v>Cooperativa de eletrificação rural</v>
      </c>
      <c r="AU35" s="9" t="str">
        <f t="shared" si="4"/>
        <v>Não se aplica</v>
      </c>
      <c r="AV35" s="9">
        <f t="shared" si="5"/>
        <v>1</v>
      </c>
      <c r="AW35" s="9">
        <f ca="1">TarifaMedia!$G$20</f>
        <v>1</v>
      </c>
      <c r="AX35" s="15">
        <f ca="1">'TUSD BE'!$AM35+'TUSD BF'!$AM35+'TUSD CVA'!$AM35</f>
        <v>146.94081810670517</v>
      </c>
      <c r="AY35" s="9">
        <f>ROUND(403.03/(1-CUSTOS!$M$38),2)</f>
        <v>428.76</v>
      </c>
      <c r="AZ35" s="9">
        <f t="shared" ca="1" si="6"/>
        <v>281.81918189329485</v>
      </c>
      <c r="BC35" s="81" t="s">
        <v>769</v>
      </c>
    </row>
    <row r="36" spans="1:55" ht="11.25" customHeight="1" x14ac:dyDescent="0.25">
      <c r="A36" s="139"/>
      <c r="B36" s="139"/>
      <c r="C36" s="139"/>
      <c r="D36" s="139"/>
      <c r="E36" s="139"/>
      <c r="F36" s="139"/>
      <c r="G36" s="18" t="s">
        <v>70</v>
      </c>
      <c r="H36" s="18" t="s">
        <v>68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-4.2283101664990205E-2</v>
      </c>
      <c r="N36" s="13">
        <f ca="1">'TUSD BE'!$N$36*'TUSD BE'!$N$58</f>
        <v>2.8976872179012377E-7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-2.5889577452651773</v>
      </c>
      <c r="R36" s="13">
        <f>'TUSD BE'!$R$36*'TUSD BE'!$R$58</f>
        <v>-0.42769576103318119</v>
      </c>
      <c r="S36" s="13">
        <f>'TUSD BE'!$R$36*'TUSD BE'!$S$58</f>
        <v>0</v>
      </c>
      <c r="T36" s="13">
        <f ca="1">SUM($L$36:$S$36)</f>
        <v>-3.0589363181946272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0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0</v>
      </c>
      <c r="AC36" s="13">
        <f>'TUSD BE'!$AC$36*'TUSD BE'!$AC$58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0.52138809842257405</v>
      </c>
      <c r="AI36" s="13">
        <f>'TUSD BE'!$AI$36*'TUSD BE'!$AI$58</f>
        <v>0</v>
      </c>
      <c r="AJ36" s="13">
        <f ca="1">'TUSD BE'!$AJ$36*'TUSD BE'!$AJ$58</f>
        <v>4.0935442612293094E-2</v>
      </c>
      <c r="AK36" s="13">
        <f ca="1">'TUSD BE'!$AK$36*'TUSD BE'!$AK$58</f>
        <v>1.9266310760547616E-2</v>
      </c>
      <c r="AL36" s="13">
        <f ca="1">SUM($AH$36:$AK$36)</f>
        <v>0.58158985179541478</v>
      </c>
      <c r="AM36" s="13">
        <f ca="1">SUMIF($L$4:$AL$4,"SUBTOTAL",$L$36:$AL$36)+AZ36</f>
        <v>98.091835426895614</v>
      </c>
      <c r="AO36" s="20">
        <f ca="1">+'TUSD BE'!$T$36+'TUSD BE'!$AB$36+'TUSD BE'!$AD$36+'TUSD BE'!$AL$36</f>
        <v>126.20951403383353</v>
      </c>
      <c r="AP36" s="20">
        <f ca="1">+'TUSD BE'!$T$36+'TUSD BE'!$AB$36+'TUSD BE'!$AD$36+'TUSD BE'!$AL$36</f>
        <v>126.20951403383353</v>
      </c>
      <c r="AQ36" s="9" t="str">
        <f t="shared" si="0"/>
        <v>B2</v>
      </c>
      <c r="AR36" s="9" t="str">
        <f t="shared" si="1"/>
        <v>Branca</v>
      </c>
      <c r="AS36" s="9" t="str">
        <f t="shared" si="2"/>
        <v>Rural</v>
      </c>
      <c r="AT36" s="9" t="str">
        <f t="shared" si="3"/>
        <v>Cooperativa de eletrificação rural</v>
      </c>
      <c r="AU36" s="9" t="str">
        <f t="shared" si="4"/>
        <v>Não se aplica</v>
      </c>
      <c r="AV36" s="9">
        <f t="shared" si="5"/>
        <v>1</v>
      </c>
      <c r="AW36" s="9">
        <f ca="1">TarifaMedia!$G$20</f>
        <v>1</v>
      </c>
      <c r="AX36" s="15">
        <f ca="1">'TUSD BE'!$AM36+'TUSD BF'!$AM36+'TUSD CVA'!$AM36</f>
        <v>146.94081810670517</v>
      </c>
      <c r="AY36" s="9">
        <f>ROUND(232.66/(1-CUSTOS!$M$38),2)</f>
        <v>247.51</v>
      </c>
      <c r="AZ36" s="9">
        <f t="shared" ca="1" si="6"/>
        <v>100.56918189329483</v>
      </c>
      <c r="BC36" s="81" t="s">
        <v>770</v>
      </c>
    </row>
    <row r="37" spans="1:55" ht="11.25" customHeight="1" x14ac:dyDescent="0.25">
      <c r="A37" s="139"/>
      <c r="B37" s="17" t="s">
        <v>23</v>
      </c>
      <c r="C37" s="17" t="s">
        <v>42</v>
      </c>
      <c r="D37" s="17" t="s">
        <v>85</v>
      </c>
      <c r="E37" s="17" t="s">
        <v>25</v>
      </c>
      <c r="F37" s="17" t="s">
        <v>25</v>
      </c>
      <c r="G37" s="18" t="s">
        <v>72</v>
      </c>
      <c r="H37" s="18" t="s">
        <v>68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-4.2283101664990205E-2</v>
      </c>
      <c r="N37" s="13">
        <f ca="1">'TUSD BE'!$N$37*'TUSD BE'!$N$58</f>
        <v>2.3300236724877309E-6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-2.5889577452651773</v>
      </c>
      <c r="R37" s="13">
        <f>'TUSD BE'!$R$37*'TUSD BE'!$R$58</f>
        <v>-0.42769576103318119</v>
      </c>
      <c r="S37" s="13">
        <f>'TUSD BE'!$R$37*'TUSD BE'!$S$58</f>
        <v>0</v>
      </c>
      <c r="T37" s="13">
        <f ca="1">SUM($L$37:$S$37)</f>
        <v>-3.0589342779396764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-2.6343239833413987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-2.6343239833413987</v>
      </c>
      <c r="AC37" s="13">
        <f>'TUSD BE'!$AC$37*'TUSD BE'!$AC$58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0.52138809842257405</v>
      </c>
      <c r="AI37" s="13">
        <f>'TUSD BE'!$AI$37*'TUSD BE'!$AI$58</f>
        <v>0</v>
      </c>
      <c r="AJ37" s="13">
        <f ca="1">'TUSD BE'!$AJ$37*'TUSD BE'!$AJ$58</f>
        <v>4.0935442612293094E-2</v>
      </c>
      <c r="AK37" s="13">
        <f ca="1">'TUSD BE'!$AK$37*'TUSD BE'!$AK$58</f>
        <v>1.9266310760547616E-2</v>
      </c>
      <c r="AL37" s="13">
        <f ca="1">SUM($AH$37:$AK$37)</f>
        <v>0.58158985179541478</v>
      </c>
      <c r="AM37" s="13">
        <f ca="1">SUMIF($L$4:$AL$4,"SUBTOTAL",$L$37:$AL$37)+AZ37</f>
        <v>-187.72237613918071</v>
      </c>
      <c r="AO37" s="20">
        <f ca="1">+'TUSD BE'!$T$37+'TUSD BE'!$AB$37+'TUSD BE'!$AD$37+'TUSD BE'!$AL$37</f>
        <v>475.00372559990984</v>
      </c>
      <c r="AP37" s="20">
        <f ca="1">+'TUSD BE'!$T$37+'TUSD BE'!$AB$37+'TUSD BE'!$AD$37+'TUSD BE'!$AL$37</f>
        <v>475.00372559990984</v>
      </c>
      <c r="AQ37" s="9" t="str">
        <f t="shared" si="0"/>
        <v>B2</v>
      </c>
      <c r="AR37" s="9" t="str">
        <f t="shared" si="1"/>
        <v>Convencional</v>
      </c>
      <c r="AS37" s="9" t="str">
        <f t="shared" si="2"/>
        <v>Rural</v>
      </c>
      <c r="AT37" s="9" t="str">
        <f t="shared" si="3"/>
        <v>Cooperativa de eletrificação rural</v>
      </c>
      <c r="AU37" s="9" t="str">
        <f t="shared" si="4"/>
        <v>Não se aplica</v>
      </c>
      <c r="AV37" s="9">
        <f t="shared" si="5"/>
        <v>1</v>
      </c>
      <c r="AW37" s="9">
        <f ca="1">TarifaMedia!$G$20</f>
        <v>1</v>
      </c>
      <c r="AX37" s="15">
        <f ca="1">'TUSD BE'!$AM37+'TUSD BF'!$AM37+'TUSD CVA'!$AM37</f>
        <v>493.10070772969505</v>
      </c>
      <c r="AY37" s="9">
        <v>310.49</v>
      </c>
      <c r="AZ37" s="9">
        <f t="shared" ca="1" si="6"/>
        <v>-182.61070772969504</v>
      </c>
      <c r="BC37" s="81" t="s">
        <v>764</v>
      </c>
    </row>
    <row r="38" spans="1:55" ht="11.25" customHeight="1" x14ac:dyDescent="0.25">
      <c r="A38" s="139"/>
      <c r="B38" s="139" t="s">
        <v>38</v>
      </c>
      <c r="C38" s="139" t="s">
        <v>42</v>
      </c>
      <c r="D38" s="139" t="s">
        <v>86</v>
      </c>
      <c r="E38" s="139" t="s">
        <v>25</v>
      </c>
      <c r="F38" s="139" t="s">
        <v>25</v>
      </c>
      <c r="G38" s="18" t="s">
        <v>69</v>
      </c>
      <c r="H38" s="18" t="s">
        <v>68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-4.2283101664990205E-2</v>
      </c>
      <c r="N38" s="13">
        <f ca="1">'TUSD BE'!$N$38*'TUSD BE'!$N$58</f>
        <v>2.8976872179012377E-7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-2.5889577452651773</v>
      </c>
      <c r="R38" s="13">
        <f>'TUSD BE'!$R$38*'TUSD BE'!$R$58</f>
        <v>-0.42769576103318119</v>
      </c>
      <c r="S38" s="13">
        <f>'TUSD BE'!$R$38*'TUSD BE'!$S$58</f>
        <v>0</v>
      </c>
      <c r="T38" s="13">
        <f ca="1">SUM($L$38:$S$38)</f>
        <v>-3.0589363181946272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0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0</v>
      </c>
      <c r="AC38" s="13">
        <f>'TUSD BE'!$AC$38*'TUSD BE'!$AC$58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0.52138809842257405</v>
      </c>
      <c r="AI38" s="13">
        <f>'TUSD BE'!$AI$38*'TUSD BE'!$AI$58</f>
        <v>0</v>
      </c>
      <c r="AJ38" s="13">
        <f ca="1">'TUSD BE'!$AJ$38*'TUSD BE'!$AJ$58</f>
        <v>4.0935442612293094E-2</v>
      </c>
      <c r="AK38" s="13">
        <f ca="1">'TUSD BE'!$AK$38*'TUSD BE'!$AK$58</f>
        <v>1.9266310760547616E-2</v>
      </c>
      <c r="AL38" s="13">
        <f ca="1">SUM($AH$38:$AK$38)</f>
        <v>0.58158985179541478</v>
      </c>
      <c r="AM38" s="13">
        <f ca="1">SUMIF($L$4:$AL$4,"SUBTOTAL",$L$38:$AL$38)+AZ38</f>
        <v>460.57183542689563</v>
      </c>
      <c r="AO38" s="20">
        <f ca="1">+'TUSD BE'!$T$38+'TUSD BE'!$AB$38+'TUSD BE'!$AD$38+'TUSD BE'!$AL$38</f>
        <v>126.20951403383353</v>
      </c>
      <c r="AP38" s="20">
        <f ca="1">+'TUSD BE'!$T$38+'TUSD BE'!$AB$38+'TUSD BE'!$AD$38+'TUSD BE'!$AL$38</f>
        <v>126.20951403383353</v>
      </c>
      <c r="AQ38" s="9" t="str">
        <f t="shared" si="0"/>
        <v>B2</v>
      </c>
      <c r="AR38" s="9" t="str">
        <f t="shared" si="1"/>
        <v>Branca</v>
      </c>
      <c r="AS38" s="9" t="str">
        <f t="shared" si="2"/>
        <v>Rural</v>
      </c>
      <c r="AT38" s="9" t="str">
        <f t="shared" si="3"/>
        <v>Serviço público de irrigação rural</v>
      </c>
      <c r="AU38" s="9" t="str">
        <f t="shared" si="4"/>
        <v>Não se aplica</v>
      </c>
      <c r="AV38" s="9">
        <f t="shared" si="5"/>
        <v>1</v>
      </c>
      <c r="AW38" s="9">
        <f ca="1">TarifaMedia!$G$20</f>
        <v>1</v>
      </c>
      <c r="AX38" s="15">
        <f ca="1">'TUSD BE'!$AM38+'TUSD BF'!$AM38+'TUSD CVA'!$AM38</f>
        <v>146.94081810670517</v>
      </c>
      <c r="AY38" s="9">
        <f>ROUND(573.39/(1-CUSTOS!$M$38),2)</f>
        <v>609.99</v>
      </c>
      <c r="AZ38" s="9">
        <f t="shared" ca="1" si="6"/>
        <v>463.04918189329487</v>
      </c>
      <c r="BC38" s="81" t="s">
        <v>768</v>
      </c>
    </row>
    <row r="39" spans="1:55" ht="11.25" customHeight="1" x14ac:dyDescent="0.25">
      <c r="A39" s="139"/>
      <c r="B39" s="139"/>
      <c r="C39" s="139"/>
      <c r="D39" s="139"/>
      <c r="E39" s="139"/>
      <c r="F39" s="139"/>
      <c r="G39" s="18" t="s">
        <v>82</v>
      </c>
      <c r="H39" s="18" t="s">
        <v>68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-4.2283101664990205E-2</v>
      </c>
      <c r="N39" s="13">
        <f ca="1">'TUSD BE'!$N$39*'TUSD BE'!$N$58</f>
        <v>2.8976872179012377E-7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-2.5889577452651773</v>
      </c>
      <c r="R39" s="13">
        <f>'TUSD BE'!$R$39*'TUSD BE'!$R$58</f>
        <v>-0.42769576103318119</v>
      </c>
      <c r="S39" s="13">
        <f>'TUSD BE'!$R$39*'TUSD BE'!$S$58</f>
        <v>0</v>
      </c>
      <c r="T39" s="13">
        <f ca="1">SUM($L$39:$S$39)</f>
        <v>-3.0589363181946272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0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0</v>
      </c>
      <c r="AC39" s="13">
        <f>'TUSD BE'!$AC$39*'TUSD BE'!$AC$58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0.52138809842257405</v>
      </c>
      <c r="AI39" s="13">
        <f>'TUSD BE'!$AI$39*'TUSD BE'!$AI$58</f>
        <v>0</v>
      </c>
      <c r="AJ39" s="13">
        <f ca="1">'TUSD BE'!$AJ$39*'TUSD BE'!$AJ$58</f>
        <v>4.0935442612293094E-2</v>
      </c>
      <c r="AK39" s="13">
        <f ca="1">'TUSD BE'!$AK$39*'TUSD BE'!$AK$58</f>
        <v>1.9266310760547616E-2</v>
      </c>
      <c r="AL39" s="13">
        <f ca="1">SUM($AH$39:$AK$39)</f>
        <v>0.58158985179541478</v>
      </c>
      <c r="AM39" s="13">
        <f ca="1">SUMIF($L$4:$AL$4,"SUBTOTAL",$L$39:$AL$39)+AZ39</f>
        <v>279.34183542689561</v>
      </c>
      <c r="AO39" s="20">
        <f ca="1">+'TUSD BE'!$T$39+'TUSD BE'!$AB$39+'TUSD BE'!$AD$39+'TUSD BE'!$AL$39</f>
        <v>126.20951403383353</v>
      </c>
      <c r="AP39" s="20">
        <f ca="1">+'TUSD BE'!$T$39+'TUSD BE'!$AB$39+'TUSD BE'!$AD$39+'TUSD BE'!$AL$39</f>
        <v>126.20951403383353</v>
      </c>
      <c r="AQ39" s="9" t="str">
        <f t="shared" si="0"/>
        <v>B2</v>
      </c>
      <c r="AR39" s="9" t="str">
        <f t="shared" si="1"/>
        <v>Branca</v>
      </c>
      <c r="AS39" s="9" t="str">
        <f t="shared" si="2"/>
        <v>Rural</v>
      </c>
      <c r="AT39" s="9" t="str">
        <f t="shared" si="3"/>
        <v>Serviço público de irrigação rural</v>
      </c>
      <c r="AU39" s="9" t="str">
        <f t="shared" si="4"/>
        <v>Não se aplica</v>
      </c>
      <c r="AV39" s="9">
        <f t="shared" si="5"/>
        <v>1</v>
      </c>
      <c r="AW39" s="9">
        <f ca="1">TarifaMedia!$G$20</f>
        <v>1</v>
      </c>
      <c r="AX39" s="15">
        <f ca="1">'TUSD BE'!$AM39+'TUSD BF'!$AM39+'TUSD CVA'!$AM39</f>
        <v>146.94081810670517</v>
      </c>
      <c r="AY39" s="9">
        <f>ROUND(403.03/(1-CUSTOS!$M$38),2)</f>
        <v>428.76</v>
      </c>
      <c r="AZ39" s="9">
        <f t="shared" ca="1" si="6"/>
        <v>281.81918189329485</v>
      </c>
      <c r="BC39" s="81" t="s">
        <v>769</v>
      </c>
    </row>
    <row r="40" spans="1:55" ht="11.25" customHeight="1" x14ac:dyDescent="0.25">
      <c r="A40" s="139"/>
      <c r="B40" s="139"/>
      <c r="C40" s="139"/>
      <c r="D40" s="139"/>
      <c r="E40" s="139"/>
      <c r="F40" s="139"/>
      <c r="G40" s="18" t="s">
        <v>70</v>
      </c>
      <c r="H40" s="18" t="s">
        <v>68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-4.2283101664990205E-2</v>
      </c>
      <c r="N40" s="13">
        <f ca="1">'TUSD BE'!$N$40*'TUSD BE'!$N$58</f>
        <v>2.8976872179012377E-7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-2.5889577452651773</v>
      </c>
      <c r="R40" s="13">
        <f>'TUSD BE'!$R$40*'TUSD BE'!$R$58</f>
        <v>-0.42769576103318119</v>
      </c>
      <c r="S40" s="13">
        <f>'TUSD BE'!$R$40*'TUSD BE'!$S$58</f>
        <v>0</v>
      </c>
      <c r="T40" s="13">
        <f ca="1">SUM($L$40:$S$40)</f>
        <v>-3.0589363181946272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0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0</v>
      </c>
      <c r="AC40" s="13">
        <f>'TUSD BE'!$AC$40*'TUSD BE'!$AC$58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0.52138809842257405</v>
      </c>
      <c r="AI40" s="13">
        <f>'TUSD BE'!$AI$40*'TUSD BE'!$AI$58</f>
        <v>0</v>
      </c>
      <c r="AJ40" s="13">
        <f ca="1">'TUSD BE'!$AJ$40*'TUSD BE'!$AJ$58</f>
        <v>4.0935442612293094E-2</v>
      </c>
      <c r="AK40" s="13">
        <f ca="1">'TUSD BE'!$AK$40*'TUSD BE'!$AK$58</f>
        <v>1.9266310760547616E-2</v>
      </c>
      <c r="AL40" s="13">
        <f ca="1">SUM($AH$40:$AK$40)</f>
        <v>0.58158985179541478</v>
      </c>
      <c r="AM40" s="13">
        <f ca="1">SUMIF($L$4:$AL$4,"SUBTOTAL",$L$40:$AL$40)+AZ40</f>
        <v>98.091835426895614</v>
      </c>
      <c r="AO40" s="20">
        <f ca="1">+'TUSD BE'!$T$40+'TUSD BE'!$AB$40+'TUSD BE'!$AD$40+'TUSD BE'!$AL$40</f>
        <v>126.20951403383353</v>
      </c>
      <c r="AP40" s="20">
        <f ca="1">+'TUSD BE'!$T$40+'TUSD BE'!$AB$40+'TUSD BE'!$AD$40+'TUSD BE'!$AL$40</f>
        <v>126.20951403383353</v>
      </c>
      <c r="AQ40" s="9" t="str">
        <f t="shared" si="0"/>
        <v>B2</v>
      </c>
      <c r="AR40" s="9" t="str">
        <f t="shared" si="1"/>
        <v>Branca</v>
      </c>
      <c r="AS40" s="9" t="str">
        <f t="shared" si="2"/>
        <v>Rural</v>
      </c>
      <c r="AT40" s="9" t="str">
        <f t="shared" si="3"/>
        <v>Serviço público de irrigação rural</v>
      </c>
      <c r="AU40" s="9" t="str">
        <f t="shared" si="4"/>
        <v>Não se aplica</v>
      </c>
      <c r="AV40" s="9">
        <f t="shared" si="5"/>
        <v>1</v>
      </c>
      <c r="AW40" s="9">
        <f ca="1">TarifaMedia!$G$20</f>
        <v>1</v>
      </c>
      <c r="AX40" s="15">
        <f ca="1">'TUSD BE'!$AM40+'TUSD BF'!$AM40+'TUSD CVA'!$AM40</f>
        <v>146.94081810670517</v>
      </c>
      <c r="AY40" s="9">
        <f>ROUND(232.66/(1-CUSTOS!$M$38),2)</f>
        <v>247.51</v>
      </c>
      <c r="AZ40" s="9">
        <f t="shared" ca="1" si="6"/>
        <v>100.56918189329483</v>
      </c>
      <c r="BC40" s="81" t="s">
        <v>770</v>
      </c>
    </row>
    <row r="41" spans="1:55" ht="11.25" customHeight="1" x14ac:dyDescent="0.25">
      <c r="A41" s="139"/>
      <c r="B41" s="17" t="s">
        <v>23</v>
      </c>
      <c r="C41" s="17" t="s">
        <v>42</v>
      </c>
      <c r="D41" s="17" t="s">
        <v>86</v>
      </c>
      <c r="E41" s="17" t="s">
        <v>25</v>
      </c>
      <c r="F41" s="17" t="s">
        <v>25</v>
      </c>
      <c r="G41" s="18" t="s">
        <v>72</v>
      </c>
      <c r="H41" s="18" t="s">
        <v>68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-4.2283101664990205E-2</v>
      </c>
      <c r="N41" s="13">
        <f ca="1">'TUSD BE'!$N$41*'TUSD BE'!$N$58</f>
        <v>2.3300236724877309E-6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-2.5889577452651773</v>
      </c>
      <c r="R41" s="13">
        <f>'TUSD BE'!$R$41*'TUSD BE'!$R$58</f>
        <v>-0.42769576103318119</v>
      </c>
      <c r="S41" s="13">
        <f>'TUSD BE'!$R$41*'TUSD BE'!$S$58</f>
        <v>0</v>
      </c>
      <c r="T41" s="13">
        <f ca="1">SUM($L$41:$S$41)</f>
        <v>-3.0589342779396764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-2.6343239833413987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-2.6343239833413987</v>
      </c>
      <c r="AC41" s="13">
        <f>'TUSD BE'!$AC$41*'TUSD BE'!$AC$58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0.52138809842257405</v>
      </c>
      <c r="AI41" s="13">
        <f>'TUSD BE'!$AI$41*'TUSD BE'!$AI$58</f>
        <v>0</v>
      </c>
      <c r="AJ41" s="13">
        <f ca="1">'TUSD BE'!$AJ$41*'TUSD BE'!$AJ$58</f>
        <v>4.0935442612293094E-2</v>
      </c>
      <c r="AK41" s="13">
        <f ca="1">'TUSD BE'!$AK$41*'TUSD BE'!$AK$58</f>
        <v>1.9266310760547616E-2</v>
      </c>
      <c r="AL41" s="13">
        <f ca="1">SUM($AH$41:$AK$41)</f>
        <v>0.58158985179541478</v>
      </c>
      <c r="AM41" s="13">
        <f ca="1">SUMIF($L$4:$AL$4,"SUBTOTAL",$L$41:$AL$41)+AZ41</f>
        <v>-187.72237613918071</v>
      </c>
      <c r="AO41" s="20">
        <f ca="1">+'TUSD BE'!$T$41+'TUSD BE'!$AB$41+'TUSD BE'!$AD$41+'TUSD BE'!$AL$41</f>
        <v>475.00372559990984</v>
      </c>
      <c r="AP41" s="20">
        <f ca="1">+'TUSD BE'!$T$41+'TUSD BE'!$AB$41+'TUSD BE'!$AD$41+'TUSD BE'!$AL$41</f>
        <v>475.00372559990984</v>
      </c>
      <c r="AQ41" s="9" t="str">
        <f t="shared" si="0"/>
        <v>B2</v>
      </c>
      <c r="AR41" s="9" t="str">
        <f t="shared" si="1"/>
        <v>Convencional</v>
      </c>
      <c r="AS41" s="9" t="str">
        <f t="shared" si="2"/>
        <v>Rural</v>
      </c>
      <c r="AT41" s="9" t="str">
        <f t="shared" si="3"/>
        <v>Serviço público de irrigação rural</v>
      </c>
      <c r="AU41" s="9" t="str">
        <f t="shared" si="4"/>
        <v>Não se aplica</v>
      </c>
      <c r="AV41" s="9">
        <f t="shared" si="5"/>
        <v>1</v>
      </c>
      <c r="AW41" s="9">
        <f ca="1">TarifaMedia!$G$20</f>
        <v>1</v>
      </c>
      <c r="AX41" s="15">
        <f ca="1">'TUSD BE'!$AM41+'TUSD BF'!$AM41+'TUSD CVA'!$AM41</f>
        <v>493.10070772969505</v>
      </c>
      <c r="AY41" s="9">
        <v>310.49</v>
      </c>
      <c r="AZ41" s="9">
        <f t="shared" ca="1" si="6"/>
        <v>-182.61070772969504</v>
      </c>
      <c r="BC41" s="81" t="s">
        <v>764</v>
      </c>
    </row>
    <row r="42" spans="1:55" ht="11.25" customHeight="1" x14ac:dyDescent="0.25">
      <c r="A42" s="139"/>
      <c r="B42" s="139" t="s">
        <v>84</v>
      </c>
      <c r="C42" s="139" t="s">
        <v>42</v>
      </c>
      <c r="D42" s="17" t="s">
        <v>25</v>
      </c>
      <c r="E42" s="17" t="s">
        <v>25</v>
      </c>
      <c r="F42" s="17" t="s">
        <v>25</v>
      </c>
      <c r="G42" s="18" t="s">
        <v>72</v>
      </c>
      <c r="H42" s="18" t="s">
        <v>68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-4.2283101664990205E-2</v>
      </c>
      <c r="N42" s="13">
        <f ca="1">'TUSD BE'!$N$42*'TUSD BE'!$N$58</f>
        <v>2.3300236724877309E-6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-2.5889577452651773</v>
      </c>
      <c r="R42" s="13">
        <f>'TUSD BE'!$R$42*'TUSD BE'!$R$58</f>
        <v>-0.42769576103318119</v>
      </c>
      <c r="S42" s="13">
        <f>'TUSD BE'!$R$42*'TUSD BE'!$S$58</f>
        <v>0</v>
      </c>
      <c r="T42" s="13">
        <f ca="1">SUM($L$42:$S$42)</f>
        <v>-3.0589342779396764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-2.6343239833413987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-2.6343239833413987</v>
      </c>
      <c r="AC42" s="13">
        <f>'TUSD BE'!$AC$42*'TUSD BE'!$AC$58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0.52138809842257405</v>
      </c>
      <c r="AI42" s="13">
        <f>'TUSD BE'!$AI$42*'TUSD BE'!$AI$58</f>
        <v>0</v>
      </c>
      <c r="AJ42" s="13">
        <f ca="1">'TUSD BE'!$AJ$42*'TUSD BE'!$AJ$58</f>
        <v>4.0935442612293094E-2</v>
      </c>
      <c r="AK42" s="13">
        <f ca="1">'TUSD BE'!$AK$42*'TUSD BE'!$AK$58</f>
        <v>1.9266310760547616E-2</v>
      </c>
      <c r="AL42" s="13">
        <f ca="1">SUM($AH$42:$AK$42)</f>
        <v>0.58158985179541478</v>
      </c>
      <c r="AM42" s="13">
        <f ca="1">SUMIF($L$4:$AL$4,"SUBTOTAL",$L$42:$AL$42)+AZ42</f>
        <v>-187.72237613918071</v>
      </c>
      <c r="AO42" s="20">
        <f ca="1">+'TUSD BE'!$T$42+'TUSD BE'!$AB$42+'TUSD BE'!$AD$42+'TUSD BE'!$AL$42</f>
        <v>475.00372559990984</v>
      </c>
      <c r="AP42" s="20">
        <f ca="1">+'TUSD BE'!$T$42+'TUSD BE'!$AB$42+'TUSD BE'!$AD$42+'TUSD BE'!$AL$42</f>
        <v>475.00372559990984</v>
      </c>
      <c r="AQ42" s="9" t="str">
        <f t="shared" si="0"/>
        <v>B2</v>
      </c>
      <c r="AR42" s="9" t="str">
        <f t="shared" si="1"/>
        <v>Convencional pré-pagamento</v>
      </c>
      <c r="AS42" s="9" t="str">
        <f t="shared" si="2"/>
        <v>Rural</v>
      </c>
      <c r="AT42" s="9" t="str">
        <f t="shared" si="3"/>
        <v>Não se aplica</v>
      </c>
      <c r="AU42" s="9" t="str">
        <f t="shared" si="4"/>
        <v>Não se aplica</v>
      </c>
      <c r="AV42" s="9">
        <f t="shared" si="5"/>
        <v>1</v>
      </c>
      <c r="AW42" s="9">
        <f ca="1">TarifaMedia!$G$20</f>
        <v>1</v>
      </c>
      <c r="AX42" s="15">
        <f ca="1">'TUSD BE'!$AM42+'TUSD BF'!$AM42+'TUSD CVA'!$AM42</f>
        <v>493.10070772969505</v>
      </c>
      <c r="AY42" s="9">
        <v>310.49</v>
      </c>
      <c r="AZ42" s="9">
        <f t="shared" ca="1" si="6"/>
        <v>-182.61070772969504</v>
      </c>
      <c r="BC42" s="81" t="s">
        <v>764</v>
      </c>
    </row>
    <row r="43" spans="1:55" ht="11.25" customHeight="1" x14ac:dyDescent="0.25">
      <c r="A43" s="139"/>
      <c r="B43" s="139"/>
      <c r="C43" s="139"/>
      <c r="D43" s="17" t="s">
        <v>85</v>
      </c>
      <c r="E43" s="17" t="s">
        <v>25</v>
      </c>
      <c r="F43" s="17" t="s">
        <v>25</v>
      </c>
      <c r="G43" s="18" t="s">
        <v>72</v>
      </c>
      <c r="H43" s="18" t="s">
        <v>68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-4.2283101664990205E-2</v>
      </c>
      <c r="N43" s="13">
        <f ca="1">'TUSD BE'!$N$43*'TUSD BE'!$N$58</f>
        <v>2.3300236724877309E-6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-2.5889577452651773</v>
      </c>
      <c r="R43" s="13">
        <f>'TUSD BE'!$R$43*'TUSD BE'!$R$58</f>
        <v>-0.42769576103318119</v>
      </c>
      <c r="S43" s="13">
        <f>'TUSD BE'!$R$43*'TUSD BE'!$S$58</f>
        <v>0</v>
      </c>
      <c r="T43" s="13">
        <f ca="1">SUM($L$43:$S$43)</f>
        <v>-3.0589342779396764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-2.6343239833413987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-2.6343239833413987</v>
      </c>
      <c r="AC43" s="13">
        <f>'TUSD BE'!$AC$43*'TUSD BE'!$AC$58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0.52138809842257405</v>
      </c>
      <c r="AI43" s="13">
        <f>'TUSD BE'!$AI$43*'TUSD BE'!$AI$58</f>
        <v>0</v>
      </c>
      <c r="AJ43" s="13">
        <f ca="1">'TUSD BE'!$AJ$43*'TUSD BE'!$AJ$58</f>
        <v>4.0935442612293094E-2</v>
      </c>
      <c r="AK43" s="13">
        <f ca="1">'TUSD BE'!$AK$43*'TUSD BE'!$AK$58</f>
        <v>1.9266310760547616E-2</v>
      </c>
      <c r="AL43" s="13">
        <f ca="1">SUM($AH$43:$AK$43)</f>
        <v>0.58158985179541478</v>
      </c>
      <c r="AM43" s="13">
        <f ca="1">SUMIF($L$4:$AL$4,"SUBTOTAL",$L$43:$AL$43)+AZ43</f>
        <v>-187.72237613918071</v>
      </c>
      <c r="AO43" s="20">
        <f ca="1">+'TUSD BE'!$T$43+'TUSD BE'!$AB$43+'TUSD BE'!$AD$43+'TUSD BE'!$AL$43</f>
        <v>475.00372559990984</v>
      </c>
      <c r="AP43" s="20">
        <f ca="1">+'TUSD BE'!$T$43+'TUSD BE'!$AB$43+'TUSD BE'!$AD$43+'TUSD BE'!$AL$43</f>
        <v>475.00372559990984</v>
      </c>
      <c r="AQ43" s="9" t="str">
        <f t="shared" si="0"/>
        <v>B2</v>
      </c>
      <c r="AR43" s="9" t="str">
        <f t="shared" si="1"/>
        <v>Convencional pré-pagamento</v>
      </c>
      <c r="AS43" s="9" t="str">
        <f t="shared" si="2"/>
        <v>Rural</v>
      </c>
      <c r="AT43" s="9" t="str">
        <f t="shared" si="3"/>
        <v>Cooperativa de eletrificação rural</v>
      </c>
      <c r="AU43" s="9" t="str">
        <f t="shared" si="4"/>
        <v>Não se aplica</v>
      </c>
      <c r="AV43" s="9">
        <f t="shared" si="5"/>
        <v>1</v>
      </c>
      <c r="AW43" s="9">
        <f ca="1">TarifaMedia!$G$20</f>
        <v>1</v>
      </c>
      <c r="AX43" s="15">
        <f ca="1">'TUSD BE'!$AM43+'TUSD BF'!$AM43+'TUSD CVA'!$AM43</f>
        <v>493.10070772969505</v>
      </c>
      <c r="AY43" s="9">
        <v>310.49</v>
      </c>
      <c r="AZ43" s="9">
        <f t="shared" ca="1" si="6"/>
        <v>-182.61070772969504</v>
      </c>
      <c r="BC43" s="81" t="s">
        <v>764</v>
      </c>
    </row>
    <row r="44" spans="1:55" ht="11.25" customHeight="1" x14ac:dyDescent="0.25">
      <c r="A44" s="139"/>
      <c r="B44" s="139"/>
      <c r="C44" s="139"/>
      <c r="D44" s="17" t="s">
        <v>86</v>
      </c>
      <c r="E44" s="17" t="s">
        <v>25</v>
      </c>
      <c r="F44" s="17" t="s">
        <v>25</v>
      </c>
      <c r="G44" s="18" t="s">
        <v>72</v>
      </c>
      <c r="H44" s="18" t="s">
        <v>68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-4.2283101664990205E-2</v>
      </c>
      <c r="N44" s="13">
        <f ca="1">'TUSD BE'!$N$44*'TUSD BE'!$N$58</f>
        <v>2.3300236724877309E-6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-2.5889577452651773</v>
      </c>
      <c r="R44" s="13">
        <f>'TUSD BE'!$R$44*'TUSD BE'!$R$58</f>
        <v>-0.42769576103318119</v>
      </c>
      <c r="S44" s="13">
        <f>'TUSD BE'!$R$44*'TUSD BE'!$S$58</f>
        <v>0</v>
      </c>
      <c r="T44" s="13">
        <f ca="1">SUM($L$44:$S$44)</f>
        <v>-3.0589342779396764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-2.6343239833413987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-2.6343239833413987</v>
      </c>
      <c r="AC44" s="13">
        <f>'TUSD BE'!$AC$44*'TUSD BE'!$AC$58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0.52138809842257405</v>
      </c>
      <c r="AI44" s="13">
        <f>'TUSD BE'!$AI$44*'TUSD BE'!$AI$58</f>
        <v>0</v>
      </c>
      <c r="AJ44" s="13">
        <f ca="1">'TUSD BE'!$AJ$44*'TUSD BE'!$AJ$58</f>
        <v>4.0935442612293094E-2</v>
      </c>
      <c r="AK44" s="13">
        <f ca="1">'TUSD BE'!$AK$44*'TUSD BE'!$AK$58</f>
        <v>1.9266310760547616E-2</v>
      </c>
      <c r="AL44" s="13">
        <f ca="1">SUM($AH$44:$AK$44)</f>
        <v>0.58158985179541478</v>
      </c>
      <c r="AM44" s="13">
        <f ca="1">SUMIF($L$4:$AL$4,"SUBTOTAL",$L$44:$AL$44)+AZ44</f>
        <v>-187.72237613918071</v>
      </c>
      <c r="AO44" s="20">
        <f ca="1">+'TUSD BE'!$T$44+'TUSD BE'!$AB$44+'TUSD BE'!$AD$44+'TUSD BE'!$AL$44</f>
        <v>475.00372559990984</v>
      </c>
      <c r="AP44" s="20">
        <f ca="1">+'TUSD BE'!$T$44+'TUSD BE'!$AB$44+'TUSD BE'!$AD$44+'TUSD BE'!$AL$44</f>
        <v>475.00372559990984</v>
      </c>
      <c r="AQ44" s="9" t="str">
        <f t="shared" si="0"/>
        <v>B2</v>
      </c>
      <c r="AR44" s="9" t="str">
        <f t="shared" si="1"/>
        <v>Convencional pré-pagamento</v>
      </c>
      <c r="AS44" s="9" t="str">
        <f t="shared" si="2"/>
        <v>Rural</v>
      </c>
      <c r="AT44" s="9" t="str">
        <f t="shared" si="3"/>
        <v>Serviço público de irrigação rural</v>
      </c>
      <c r="AU44" s="9" t="str">
        <f t="shared" si="4"/>
        <v>Não se aplica</v>
      </c>
      <c r="AV44" s="9">
        <f t="shared" si="5"/>
        <v>1</v>
      </c>
      <c r="AW44" s="9">
        <f ca="1">TarifaMedia!$G$20</f>
        <v>1</v>
      </c>
      <c r="AX44" s="15">
        <f ca="1">'TUSD BE'!$AM44+'TUSD BF'!$AM44+'TUSD CVA'!$AM44</f>
        <v>493.10070772969505</v>
      </c>
      <c r="AY44" s="9">
        <v>310.49</v>
      </c>
      <c r="AZ44" s="9">
        <f t="shared" ca="1" si="6"/>
        <v>-182.61070772969504</v>
      </c>
      <c r="BC44" s="81" t="s">
        <v>764</v>
      </c>
    </row>
    <row r="45" spans="1:55" ht="11.25" customHeight="1" x14ac:dyDescent="0.25">
      <c r="A45" s="139" t="s">
        <v>32</v>
      </c>
      <c r="B45" s="139" t="s">
        <v>38</v>
      </c>
      <c r="C45" s="139" t="s">
        <v>25</v>
      </c>
      <c r="D45" s="139" t="s">
        <v>25</v>
      </c>
      <c r="E45" s="139" t="s">
        <v>25</v>
      </c>
      <c r="F45" s="139" t="s">
        <v>25</v>
      </c>
      <c r="G45" s="18" t="s">
        <v>69</v>
      </c>
      <c r="H45" s="18" t="s">
        <v>68</v>
      </c>
      <c r="I45" s="18">
        <f>'MERCADO TUSD'!$U$42</f>
        <v>8.897000000000002</v>
      </c>
      <c r="J45" s="15"/>
      <c r="L45" s="13">
        <f>'TUSD BE'!$L$45*'TUSD BE'!$L$58</f>
        <v>0</v>
      </c>
      <c r="M45" s="13">
        <f>'TUSD BE'!$M$45*'TUSD BE'!$M$58</f>
        <v>-4.2283101664990205E-2</v>
      </c>
      <c r="N45" s="13">
        <f ca="1">'TUSD BE'!$N$45*'TUSD BE'!$N$58</f>
        <v>7.8387123090306428E-6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-2.5889577452651773</v>
      </c>
      <c r="R45" s="13">
        <f>'TUSD BE'!$R$45*'TUSD BE'!$R$58</f>
        <v>-0.42769576103318119</v>
      </c>
      <c r="S45" s="13">
        <f>'TUSD BE'!$R$45*'TUSD BE'!$S$58</f>
        <v>0</v>
      </c>
      <c r="T45" s="13">
        <f ca="1">SUM($L$45:$S$45)</f>
        <v>-3.0589287692510396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-9.7469973786278707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-9.7469973786278707</v>
      </c>
      <c r="AC45" s="13">
        <f>'TUSD BE'!$AC$45*'TUSD BE'!$AC$58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0.52138809842257405</v>
      </c>
      <c r="AI45" s="13">
        <f>'TUSD BE'!$AI$45*'TUSD BE'!$AI$58</f>
        <v>0</v>
      </c>
      <c r="AJ45" s="13">
        <f ca="1">'TUSD BE'!$AJ$45*'TUSD BE'!$AJ$58</f>
        <v>4.0935442612293094E-2</v>
      </c>
      <c r="AK45" s="13">
        <f ca="1">'TUSD BE'!$AK$45*'TUSD BE'!$AK$58</f>
        <v>1.9266310760547616E-2</v>
      </c>
      <c r="AL45" s="13">
        <f ca="1">SUM($AH$45:$AK$45)</f>
        <v>0.58158985179541478</v>
      </c>
      <c r="AM45" s="13">
        <f ca="1">SUMIF($L$4:$AL$4,"SUBTOTAL",$L$45:$AL$45)+AZ45</f>
        <v>-760.84678404147564</v>
      </c>
      <c r="AO45" s="20">
        <f ca="1">+'TUSD BE'!$T$45+'TUSD BE'!$AB$45+'TUSD BE'!$AD$45+'TUSD BE'!$AL$45</f>
        <v>1416.7481335022048</v>
      </c>
      <c r="AP45" s="20">
        <f ca="1">+'TUSD BE'!$T$45+'TUSD BE'!$AB$45+'TUSD BE'!$AD$45+'TUSD BE'!$AL$45</f>
        <v>1416.7481335022048</v>
      </c>
      <c r="AQ45" s="9" t="str">
        <f t="shared" si="0"/>
        <v>B3</v>
      </c>
      <c r="AR45" s="9" t="str">
        <f t="shared" si="1"/>
        <v>Branca</v>
      </c>
      <c r="AS45" s="9" t="str">
        <f t="shared" si="2"/>
        <v>Não se aplica</v>
      </c>
      <c r="AT45" s="9" t="str">
        <f t="shared" si="3"/>
        <v>Não se aplica</v>
      </c>
      <c r="AU45" s="9" t="str">
        <f t="shared" si="4"/>
        <v>Não se aplica</v>
      </c>
      <c r="AV45" s="9">
        <f t="shared" si="5"/>
        <v>1</v>
      </c>
      <c r="AW45" s="9">
        <f ca="1">TarifaMedia!$G$20</f>
        <v>1</v>
      </c>
      <c r="AX45" s="15">
        <f ca="1">'TUSD BE'!$AM45+'TUSD BF'!$AM45+'TUSD CVA'!$AM45</f>
        <v>1427.7324477453922</v>
      </c>
      <c r="AY45" s="9">
        <v>679.11</v>
      </c>
      <c r="AZ45" s="9">
        <f t="shared" ca="1" si="6"/>
        <v>-748.62244774539215</v>
      </c>
      <c r="BC45" s="81" t="s">
        <v>771</v>
      </c>
    </row>
    <row r="46" spans="1:55" ht="11.25" customHeight="1" x14ac:dyDescent="0.25">
      <c r="A46" s="139"/>
      <c r="B46" s="139"/>
      <c r="C46" s="139"/>
      <c r="D46" s="139"/>
      <c r="E46" s="139"/>
      <c r="F46" s="139"/>
      <c r="G46" s="18" t="s">
        <v>82</v>
      </c>
      <c r="H46" s="18" t="s">
        <v>68</v>
      </c>
      <c r="I46" s="18">
        <f>'MERCADO TUSD'!$U$43</f>
        <v>7.0329999999999995</v>
      </c>
      <c r="J46" s="15"/>
      <c r="L46" s="13">
        <f>'TUSD BE'!$L$46*'TUSD BE'!$L$58</f>
        <v>0</v>
      </c>
      <c r="M46" s="13">
        <f>'TUSD BE'!$M$46*'TUSD BE'!$M$58</f>
        <v>-4.2283101664990205E-2</v>
      </c>
      <c r="N46" s="13">
        <f ca="1">'TUSD BE'!$N$46*'TUSD BE'!$N$58</f>
        <v>4.8191347393047498E-6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-2.5889577452651773</v>
      </c>
      <c r="R46" s="13">
        <f>'TUSD BE'!$R$46*'TUSD BE'!$R$58</f>
        <v>-0.42769576103318119</v>
      </c>
      <c r="S46" s="13">
        <f>'TUSD BE'!$R$46*'TUSD BE'!$S$58</f>
        <v>0</v>
      </c>
      <c r="T46" s="13">
        <f ca="1">SUM($L$46:$S$46)</f>
        <v>-3.0589317888286094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-5.8481977473090714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-5.8481977473090714</v>
      </c>
      <c r="AC46" s="13">
        <f>'TUSD BE'!$AC$46*'TUSD BE'!$AC$58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0.52138809842257405</v>
      </c>
      <c r="AI46" s="13">
        <f>'TUSD BE'!$AI$46*'TUSD BE'!$AI$58</f>
        <v>0</v>
      </c>
      <c r="AJ46" s="13">
        <f ca="1">'TUSD BE'!$AJ$46*'TUSD BE'!$AJ$58</f>
        <v>4.0935442612293094E-2</v>
      </c>
      <c r="AK46" s="13">
        <f ca="1">'TUSD BE'!$AK$46*'TUSD BE'!$AK$58</f>
        <v>1.9266310760547616E-2</v>
      </c>
      <c r="AL46" s="13">
        <f ca="1">SUM($AH$46:$AK$46)</f>
        <v>0.58158985179541478</v>
      </c>
      <c r="AM46" s="13">
        <f ca="1">SUMIF($L$4:$AL$4,"SUBTOTAL",$L$46:$AL$46)+AZ46</f>
        <v>-453.52131041273924</v>
      </c>
      <c r="AO46" s="20">
        <f ca="1">+'TUSD BE'!$T$46+'TUSD BE'!$AB$46+'TUSD BE'!$AD$46+'TUSD BE'!$AL$46</f>
        <v>900.53265987346845</v>
      </c>
      <c r="AP46" s="20">
        <f ca="1">+'TUSD BE'!$T$46+'TUSD BE'!$AB$46+'TUSD BE'!$AD$46+'TUSD BE'!$AL$46</f>
        <v>900.53265987346845</v>
      </c>
      <c r="AQ46" s="9" t="str">
        <f t="shared" si="0"/>
        <v>B3</v>
      </c>
      <c r="AR46" s="9" t="str">
        <f t="shared" si="1"/>
        <v>Branca</v>
      </c>
      <c r="AS46" s="9" t="str">
        <f t="shared" si="2"/>
        <v>Não se aplica</v>
      </c>
      <c r="AT46" s="9" t="str">
        <f t="shared" si="3"/>
        <v>Não se aplica</v>
      </c>
      <c r="AU46" s="9" t="str">
        <f t="shared" si="4"/>
        <v>Não se aplica</v>
      </c>
      <c r="AV46" s="9">
        <f t="shared" si="5"/>
        <v>1</v>
      </c>
      <c r="AW46" s="9">
        <f ca="1">TarifaMedia!$G$20</f>
        <v>1</v>
      </c>
      <c r="AX46" s="15">
        <f ca="1">'TUSD BE'!$AM46+'TUSD BF'!$AM46+'TUSD CVA'!$AM46</f>
        <v>915.41577072839698</v>
      </c>
      <c r="AY46" s="9">
        <v>470.22</v>
      </c>
      <c r="AZ46" s="9">
        <f t="shared" ca="1" si="6"/>
        <v>-445.19577072839695</v>
      </c>
      <c r="BC46" s="81" t="s">
        <v>772</v>
      </c>
    </row>
    <row r="47" spans="1:55" ht="11.25" customHeight="1" x14ac:dyDescent="0.25">
      <c r="A47" s="139"/>
      <c r="B47" s="139"/>
      <c r="C47" s="139"/>
      <c r="D47" s="139"/>
      <c r="E47" s="139"/>
      <c r="F47" s="139"/>
      <c r="G47" s="18" t="s">
        <v>70</v>
      </c>
      <c r="H47" s="18" t="s">
        <v>68</v>
      </c>
      <c r="I47" s="18">
        <f>'MERCADO TUSD'!$U$44</f>
        <v>183.905</v>
      </c>
      <c r="J47" s="15"/>
      <c r="L47" s="13">
        <f>'TUSD BE'!$L$47*'TUSD BE'!$L$58</f>
        <v>0</v>
      </c>
      <c r="M47" s="13">
        <f>'TUSD BE'!$M$47*'TUSD BE'!$M$58</f>
        <v>-4.2283101664990205E-2</v>
      </c>
      <c r="N47" s="13">
        <f ca="1">'TUSD BE'!$N$47*'TUSD BE'!$N$58</f>
        <v>1.7995571695788547E-6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-2.5889577452651773</v>
      </c>
      <c r="R47" s="13">
        <f>'TUSD BE'!$R$47*'TUSD BE'!$R$58</f>
        <v>-0.42769576103318119</v>
      </c>
      <c r="S47" s="13">
        <f>'TUSD BE'!$R$47*'TUSD BE'!$S$58</f>
        <v>0</v>
      </c>
      <c r="T47" s="13">
        <f ca="1">SUM($L$47:$S$47)</f>
        <v>-3.0589348084061792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-1.9493981159902705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-1.9493981159902705</v>
      </c>
      <c r="AC47" s="13">
        <f>'TUSD BE'!$AC$47*'TUSD BE'!$AC$58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0.52138809842257405</v>
      </c>
      <c r="AI47" s="13">
        <f>'TUSD BE'!$AI$47*'TUSD BE'!$AI$58</f>
        <v>0</v>
      </c>
      <c r="AJ47" s="13">
        <f ca="1">'TUSD BE'!$AJ$47*'TUSD BE'!$AJ$58</f>
        <v>4.0935442612293094E-2</v>
      </c>
      <c r="AK47" s="13">
        <f ca="1">'TUSD BE'!$AK$47*'TUSD BE'!$AK$58</f>
        <v>1.9266310760547616E-2</v>
      </c>
      <c r="AL47" s="13">
        <f ca="1">SUM($AH$47:$AK$47)</f>
        <v>0.58158985179541478</v>
      </c>
      <c r="AM47" s="13">
        <f ca="1">SUMIF($L$4:$AL$4,"SUBTOTAL",$L$47:$AL$47)+AZ47</f>
        <v>-146.18583678400256</v>
      </c>
      <c r="AO47" s="20">
        <f ca="1">+'TUSD BE'!$T$47+'TUSD BE'!$AB$47+'TUSD BE'!$AD$47+'TUSD BE'!$AL$47</f>
        <v>384.31718624473166</v>
      </c>
      <c r="AP47" s="20">
        <f ca="1">+'TUSD BE'!$T$47+'TUSD BE'!$AB$47+'TUSD BE'!$AD$47+'TUSD BE'!$AL$47</f>
        <v>384.31718624473166</v>
      </c>
      <c r="AQ47" s="9" t="str">
        <f t="shared" si="0"/>
        <v>B3</v>
      </c>
      <c r="AR47" s="9" t="str">
        <f t="shared" si="1"/>
        <v>Branca</v>
      </c>
      <c r="AS47" s="9" t="str">
        <f t="shared" si="2"/>
        <v>Não se aplica</v>
      </c>
      <c r="AT47" s="9" t="str">
        <f t="shared" si="3"/>
        <v>Não se aplica</v>
      </c>
      <c r="AU47" s="9" t="str">
        <f t="shared" si="4"/>
        <v>Não se aplica</v>
      </c>
      <c r="AV47" s="9">
        <f t="shared" si="5"/>
        <v>1</v>
      </c>
      <c r="AW47" s="9">
        <f ca="1">TarifaMedia!$G$20</f>
        <v>1</v>
      </c>
      <c r="AX47" s="15">
        <f ca="1">'TUSD BE'!$AM47+'TUSD BF'!$AM47+'TUSD CVA'!$AM47</f>
        <v>403.09909371140151</v>
      </c>
      <c r="AY47" s="9">
        <v>261.33999999999997</v>
      </c>
      <c r="AZ47" s="9">
        <f t="shared" ca="1" si="6"/>
        <v>-141.75909371140153</v>
      </c>
      <c r="BC47" s="81" t="s">
        <v>773</v>
      </c>
    </row>
    <row r="48" spans="1:55" ht="11.25" customHeight="1" x14ac:dyDescent="0.25">
      <c r="A48" s="139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72</v>
      </c>
      <c r="H48" s="18" t="s">
        <v>68</v>
      </c>
      <c r="I48" s="18">
        <f>'MERCADO TUSD'!$U$45</f>
        <v>4632.741</v>
      </c>
      <c r="J48" s="15"/>
      <c r="L48" s="13">
        <f>'TUSD BE'!$L$48*'TUSD BE'!$L$58</f>
        <v>0</v>
      </c>
      <c r="M48" s="13">
        <f>'TUSD BE'!$M$48*'TUSD BE'!$M$58</f>
        <v>-4.2283101664990205E-2</v>
      </c>
      <c r="N48" s="13">
        <f ca="1">'TUSD BE'!$N$48*'TUSD BE'!$N$58</f>
        <v>2.3300236724877309E-6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-2.5889577452651773</v>
      </c>
      <c r="R48" s="13">
        <f>'TUSD BE'!$R$48*'TUSD BE'!$R$58</f>
        <v>-0.42769576103318119</v>
      </c>
      <c r="S48" s="13">
        <f>'TUSD BE'!$R$48*'TUSD BE'!$S$58</f>
        <v>0</v>
      </c>
      <c r="T48" s="13">
        <f ca="1">SUM($L$48:$S$48)</f>
        <v>-3.0589342779396764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-2.6343239833413987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-2.6343239833413987</v>
      </c>
      <c r="AC48" s="13">
        <f>'TUSD BE'!$AC$48*'TUSD BE'!$AC$58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0.52138809842257405</v>
      </c>
      <c r="AI48" s="13">
        <f>'TUSD BE'!$AI$48*'TUSD BE'!$AI$58</f>
        <v>0</v>
      </c>
      <c r="AJ48" s="13">
        <f ca="1">'TUSD BE'!$AJ$48*'TUSD BE'!$AJ$58</f>
        <v>4.0935442612293094E-2</v>
      </c>
      <c r="AK48" s="13">
        <f ca="1">'TUSD BE'!$AK$48*'TUSD BE'!$AK$58</f>
        <v>1.9266310760547616E-2</v>
      </c>
      <c r="AL48" s="13">
        <f ca="1">SUM($AH$48:$AK$48)</f>
        <v>0.58158985179541478</v>
      </c>
      <c r="AM48" s="13">
        <f ca="1">SUMIF($L$4:$AL$4,"SUBTOTAL",$L$48:$AL$48)+AZ48</f>
        <v>-187.72237613918071</v>
      </c>
      <c r="AO48" s="20">
        <f ca="1">+'TUSD BE'!$T$48+'TUSD BE'!$AB$48+'TUSD BE'!$AD$48+'TUSD BE'!$AL$48</f>
        <v>475.00372559990984</v>
      </c>
      <c r="AP48" s="20">
        <f ca="1">+'TUSD BE'!$T$48+'TUSD BE'!$AB$48+'TUSD BE'!$AD$48+'TUSD BE'!$AL$48</f>
        <v>475.00372559990984</v>
      </c>
      <c r="AQ48" s="9" t="str">
        <f t="shared" si="0"/>
        <v>B3</v>
      </c>
      <c r="AR48" s="9" t="str">
        <f t="shared" si="1"/>
        <v>Convencional</v>
      </c>
      <c r="AS48" s="9" t="str">
        <f t="shared" si="2"/>
        <v>Não se aplica</v>
      </c>
      <c r="AT48" s="9" t="str">
        <f t="shared" si="3"/>
        <v>Não se aplica</v>
      </c>
      <c r="AU48" s="9" t="str">
        <f t="shared" si="4"/>
        <v>Não se aplica</v>
      </c>
      <c r="AV48" s="9">
        <f t="shared" si="5"/>
        <v>1</v>
      </c>
      <c r="AW48" s="9">
        <f ca="1">TarifaMedia!$G$20</f>
        <v>1</v>
      </c>
      <c r="AX48" s="15">
        <f ca="1">'TUSD BE'!$AM48+'TUSD BF'!$AM48+'TUSD CVA'!$AM48</f>
        <v>493.10070772969505</v>
      </c>
      <c r="AY48" s="9">
        <v>310.49</v>
      </c>
      <c r="AZ48" s="9">
        <f t="shared" ca="1" si="6"/>
        <v>-182.61070772969504</v>
      </c>
      <c r="BC48" s="81" t="s">
        <v>774</v>
      </c>
    </row>
    <row r="49" spans="1:55" ht="11.25" customHeight="1" x14ac:dyDescent="0.25">
      <c r="A49" s="139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72</v>
      </c>
      <c r="H49" s="18" t="s">
        <v>68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-4.2283101664990205E-2</v>
      </c>
      <c r="N49" s="13">
        <f ca="1">'TUSD BE'!$N$49*'TUSD BE'!$N$58</f>
        <v>2.3300236724877309E-6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-2.5889577452651773</v>
      </c>
      <c r="R49" s="13">
        <f>'TUSD BE'!$R$49*'TUSD BE'!$R$58</f>
        <v>-0.42769576103318119</v>
      </c>
      <c r="S49" s="13">
        <f>'TUSD BE'!$R$49*'TUSD BE'!$S$58</f>
        <v>0</v>
      </c>
      <c r="T49" s="13">
        <f ca="1">SUM($L$49:$S$49)</f>
        <v>-3.0589342779396764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-2.6343239833413987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-2.6343239833413987</v>
      </c>
      <c r="AC49" s="13">
        <f>'TUSD BE'!$AC$49*'TUSD BE'!$AC$58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0.52138809842257405</v>
      </c>
      <c r="AI49" s="13">
        <f>'TUSD BE'!$AI$49*'TUSD BE'!$AI$58</f>
        <v>0</v>
      </c>
      <c r="AJ49" s="13">
        <f ca="1">'TUSD BE'!$AJ$49*'TUSD BE'!$AJ$58</f>
        <v>4.0935442612293094E-2</v>
      </c>
      <c r="AK49" s="13">
        <f ca="1">'TUSD BE'!$AK$49*'TUSD BE'!$AK$58</f>
        <v>1.9266310760547616E-2</v>
      </c>
      <c r="AL49" s="13">
        <f ca="1">SUM($AH$49:$AK$49)</f>
        <v>0.58158985179541478</v>
      </c>
      <c r="AM49" s="13">
        <f ca="1">SUMIF($L$4:$AL$4,"SUBTOTAL",$L$49:$AL$49)+AZ49</f>
        <v>-187.72237613918071</v>
      </c>
      <c r="AO49" s="20">
        <f ca="1">+'TUSD BE'!$T$49+'TUSD BE'!$AB$49+'TUSD BE'!$AD$49+'TUSD BE'!$AL$49</f>
        <v>475.00372559990984</v>
      </c>
      <c r="AP49" s="20">
        <f ca="1">+'TUSD BE'!$T$49+'TUSD BE'!$AB$49+'TUSD BE'!$AD$49+'TUSD BE'!$AL$49</f>
        <v>475.00372559990984</v>
      </c>
      <c r="AQ49" s="9" t="str">
        <f t="shared" si="0"/>
        <v>B3</v>
      </c>
      <c r="AR49" s="9" t="str">
        <f t="shared" si="1"/>
        <v>Convencional pré-pagamento</v>
      </c>
      <c r="AS49" s="9" t="str">
        <f t="shared" si="2"/>
        <v>Não se aplica</v>
      </c>
      <c r="AT49" s="9" t="str">
        <f t="shared" si="3"/>
        <v>Não se aplica</v>
      </c>
      <c r="AU49" s="9" t="str">
        <f t="shared" si="4"/>
        <v>Não se aplica</v>
      </c>
      <c r="AV49" s="9">
        <f t="shared" si="5"/>
        <v>1</v>
      </c>
      <c r="AW49" s="9">
        <f ca="1">TarifaMedia!$G$20</f>
        <v>1</v>
      </c>
      <c r="AX49" s="15">
        <f ca="1">'TUSD BE'!$AM49+'TUSD BF'!$AM49+'TUSD CVA'!$AM49</f>
        <v>493.10070772969505</v>
      </c>
      <c r="AY49" s="9">
        <v>310.49</v>
      </c>
      <c r="AZ49" s="9">
        <f t="shared" ca="1" si="6"/>
        <v>-182.61070772969504</v>
      </c>
      <c r="BC49" s="81" t="s">
        <v>775</v>
      </c>
    </row>
    <row r="50" spans="1:55" ht="11.25" customHeight="1" x14ac:dyDescent="0.25">
      <c r="A50" s="139" t="s">
        <v>44</v>
      </c>
      <c r="B50" s="139" t="s">
        <v>23</v>
      </c>
      <c r="C50" s="139" t="s">
        <v>45</v>
      </c>
      <c r="D50" s="17" t="s">
        <v>46</v>
      </c>
      <c r="E50" s="17" t="s">
        <v>25</v>
      </c>
      <c r="F50" s="17" t="s">
        <v>25</v>
      </c>
      <c r="G50" s="18" t="s">
        <v>72</v>
      </c>
      <c r="H50" s="18" t="s">
        <v>68</v>
      </c>
      <c r="I50" s="18">
        <f>'MERCADO TUSD'!$U$47</f>
        <v>356.69600000000003</v>
      </c>
      <c r="J50" s="15"/>
      <c r="L50" s="13">
        <f>'TUSD BE'!$L$50*'TUSD BE'!$L$58</f>
        <v>0</v>
      </c>
      <c r="M50" s="13">
        <f>'TUSD BE'!$M$50*'TUSD BE'!$M$58</f>
        <v>-2.3255705915744617E-2</v>
      </c>
      <c r="N50" s="13">
        <f ca="1">'TUSD BE'!$N$50*'TUSD BE'!$N$58</f>
        <v>1.2815130198682522E-6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-1.4239267598958474</v>
      </c>
      <c r="R50" s="13">
        <f>'TUSD BE'!$R$50*'TUSD BE'!$R$58</f>
        <v>-0.23523266856824968</v>
      </c>
      <c r="S50" s="13">
        <f>'TUSD BE'!$R$50*'TUSD BE'!$S$58</f>
        <v>0</v>
      </c>
      <c r="T50" s="13">
        <f ca="1">SUM($L$50:$S$50)</f>
        <v>-1.682413852866822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-1.4488781908377695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-1.4488781908377695</v>
      </c>
      <c r="AC50" s="13">
        <f>'TUSD BE'!$AC$50*'TUSD BE'!$AC$58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0.28676345413241577</v>
      </c>
      <c r="AI50" s="13">
        <f>'TUSD BE'!$AI$50*'TUSD BE'!$AI$58</f>
        <v>0</v>
      </c>
      <c r="AJ50" s="13">
        <f ca="1">'TUSD BE'!$AJ$50*'TUSD BE'!$AJ$58</f>
        <v>2.2514493436761204E-2</v>
      </c>
      <c r="AK50" s="13">
        <f ca="1">'TUSD BE'!$AK$50*'TUSD BE'!$AK$58</f>
        <v>1.0596470918301189E-2</v>
      </c>
      <c r="AL50" s="13">
        <f ca="1">SUM($AH$50:$AK$50)</f>
        <v>0.31987441848747816</v>
      </c>
      <c r="AM50" s="13">
        <f ca="1">SUMIF($L$4:$AL$4,"SUBTOTAL",$L$50:$AL$50)+AZ50</f>
        <v>-103.2468068765494</v>
      </c>
      <c r="AO50" s="20">
        <f ca="1">+'TUSD BE'!$T$50+'TUSD BE'!$AB$50+'TUSD BE'!$AD$50+'TUSD BE'!$AL$50</f>
        <v>261.25204907995044</v>
      </c>
      <c r="AP50" s="20">
        <f ca="1">+'TUSD BE'!$T$50+'TUSD BE'!$AB$50+'TUSD BE'!$AD$50+'TUSD BE'!$AL$50</f>
        <v>261.25204907995044</v>
      </c>
      <c r="AQ50" s="9" t="str">
        <f t="shared" si="0"/>
        <v>B4</v>
      </c>
      <c r="AR50" s="9" t="str">
        <f t="shared" si="1"/>
        <v>Convencional</v>
      </c>
      <c r="AS50" s="9" t="str">
        <f t="shared" si="2"/>
        <v>Iluminação pública</v>
      </c>
      <c r="AT50" s="9" t="str">
        <f t="shared" si="3"/>
        <v>Iluminação pública – B4a</v>
      </c>
      <c r="AU50" s="9" t="str">
        <f t="shared" si="4"/>
        <v>Não se aplica</v>
      </c>
      <c r="AV50" s="9">
        <f t="shared" si="5"/>
        <v>1</v>
      </c>
      <c r="AW50" s="9">
        <f ca="1">TarifaMedia!$G$20</f>
        <v>1</v>
      </c>
      <c r="AX50" s="15">
        <f ca="1">'TUSD BE'!$AM50+'TUSD BF'!$AM50+'TUSD CVA'!$AM50</f>
        <v>271.20538925133229</v>
      </c>
      <c r="AY50" s="9">
        <v>170.77</v>
      </c>
      <c r="AZ50" s="9">
        <f t="shared" ca="1" si="6"/>
        <v>-100.43538925133228</v>
      </c>
      <c r="BC50" s="81" t="s">
        <v>776</v>
      </c>
    </row>
    <row r="51" spans="1:55" ht="11.25" customHeight="1" x14ac:dyDescent="0.25">
      <c r="A51" s="139"/>
      <c r="B51" s="139"/>
      <c r="C51" s="139"/>
      <c r="D51" s="18" t="s">
        <v>87</v>
      </c>
      <c r="E51" s="18" t="s">
        <v>25</v>
      </c>
      <c r="F51" s="18" t="s">
        <v>25</v>
      </c>
      <c r="G51" s="18" t="s">
        <v>72</v>
      </c>
      <c r="H51" s="18" t="s">
        <v>68</v>
      </c>
      <c r="I51" s="18">
        <f>'MERCADO TUSD'!$U$48</f>
        <v>0</v>
      </c>
      <c r="J51" s="15"/>
      <c r="L51" s="13">
        <f>'TUSD BE'!$L$51*'TUSD BE'!$L$58</f>
        <v>0</v>
      </c>
      <c r="M51" s="13">
        <f>'TUSD BE'!$M$51*'TUSD BE'!$M$58</f>
        <v>-2.5369860998994125E-2</v>
      </c>
      <c r="N51" s="13">
        <f ca="1">'TUSD BE'!$N$51*'TUSD BE'!$N$58</f>
        <v>1.3980142034926388E-6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-1.5533746471591063</v>
      </c>
      <c r="R51" s="13">
        <f>'TUSD BE'!$R$51*'TUSD BE'!$R$58</f>
        <v>-0.2566174566199087</v>
      </c>
      <c r="S51" s="13">
        <f>'TUSD BE'!$R$51*'TUSD BE'!$S$58</f>
        <v>0</v>
      </c>
      <c r="T51" s="13">
        <f ca="1">SUM($L$51:$S$51)</f>
        <v>-1.8353605667638055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-1.5805943900048391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-1.5805943900048391</v>
      </c>
      <c r="AC51" s="13">
        <f>'TUSD BE'!$AC$51*'TUSD BE'!$AC$58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0.31283285905354441</v>
      </c>
      <c r="AI51" s="13">
        <f>'TUSD BE'!$AI$51*'TUSD BE'!$AI$58</f>
        <v>0</v>
      </c>
      <c r="AJ51" s="13">
        <f ca="1">'TUSD BE'!$AJ$51*'TUSD BE'!$AJ$58</f>
        <v>2.4561265567375853E-2</v>
      </c>
      <c r="AK51" s="13">
        <f ca="1">'TUSD BE'!$AK$51*'TUSD BE'!$AK$58</f>
        <v>1.1559786456328568E-2</v>
      </c>
      <c r="AL51" s="13">
        <f ca="1">SUM($AH$51:$AK$51)</f>
        <v>0.34895391107724882</v>
      </c>
      <c r="AM51" s="13">
        <f ca="1">SUMIF($L$4:$AL$4,"SUBTOTAL",$L$51:$AL$51)+AZ51</f>
        <v>-112.63742568350841</v>
      </c>
      <c r="AO51" s="20">
        <f ca="1">+'TUSD BE'!$T$51+'TUSD BE'!$AB$51+'TUSD BE'!$AD$51+'TUSD BE'!$AL$51</f>
        <v>285.00223535994587</v>
      </c>
      <c r="AP51" s="20">
        <f ca="1">+'TUSD BE'!$T$51+'TUSD BE'!$AB$51+'TUSD BE'!$AD$51+'TUSD BE'!$AL$51</f>
        <v>285.00223535994587</v>
      </c>
      <c r="AQ51" s="9" t="str">
        <f t="shared" si="0"/>
        <v>B4</v>
      </c>
      <c r="AR51" s="9" t="str">
        <f t="shared" si="1"/>
        <v>Convencional</v>
      </c>
      <c r="AS51" s="9" t="str">
        <f t="shared" si="2"/>
        <v>Iluminação pública</v>
      </c>
      <c r="AT51" s="9" t="str">
        <f t="shared" si="3"/>
        <v>Iluminação pública – B4b</v>
      </c>
      <c r="AU51" s="9" t="str">
        <f t="shared" si="4"/>
        <v>Não se aplica</v>
      </c>
      <c r="AV51" s="9">
        <f t="shared" si="5"/>
        <v>1</v>
      </c>
      <c r="AW51" s="9">
        <f ca="1">TarifaMedia!$G$20</f>
        <v>1</v>
      </c>
      <c r="AX51" s="15">
        <f ca="1">'TUSD BE'!$AM51+'TUSD BF'!$AM51+'TUSD CVA'!$AM51</f>
        <v>295.860424637817</v>
      </c>
      <c r="AY51" s="9">
        <v>186.29</v>
      </c>
      <c r="AZ51" s="9">
        <f t="shared" ca="1" si="6"/>
        <v>-109.57042463781701</v>
      </c>
      <c r="BC51" s="81" t="s">
        <v>777</v>
      </c>
    </row>
    <row r="53" spans="1:55" ht="11.25" customHeight="1" x14ac:dyDescent="0.25">
      <c r="K53" s="16" t="s">
        <v>529</v>
      </c>
      <c r="L53" s="13">
        <f>SUMPRODUCT($I$5:$I51,$L$5:$L51)</f>
        <v>0</v>
      </c>
      <c r="M53" s="13">
        <f>SUMPRODUCT($I$5:$I51,$M$5:$M51)</f>
        <v>-605.26695144834741</v>
      </c>
      <c r="N53" s="13">
        <f ca="1">SUMPRODUCT($I$5:$I51,$N$5:$N51)</f>
        <v>3.3834428704921378E-2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-49197.963101249363</v>
      </c>
      <c r="R53" s="13">
        <f>SUMPRODUCT($I$5:$I51,$R$5:$R51)</f>
        <v>-8721.5821381477435</v>
      </c>
      <c r="S53" s="13">
        <f>SUMPRODUCT($I$5:$I51,$S$5:$S51)</f>
        <v>0</v>
      </c>
      <c r="T53" s="13">
        <f ca="1">SUMPRODUCT($I$5:$I51,$T$5:$T51)</f>
        <v>-58524.778356416755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-56662.602195281317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-56662.602195281317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6955.1173179812122</v>
      </c>
      <c r="AI53" s="13">
        <f>SUMPRODUCT($I$5:$I51,$AI$5:$AI51)</f>
        <v>0</v>
      </c>
      <c r="AJ53" s="13">
        <f ca="1">SUMPRODUCT($I$5:$I51,$AJ$5:$AJ51)</f>
        <v>702.46236250363586</v>
      </c>
      <c r="AK53" s="13">
        <f ca="1">SUMPRODUCT($I$5:$I51,$AK$5:$AK51)</f>
        <v>330.61467789087055</v>
      </c>
      <c r="AL53" s="13">
        <f ca="1">SUMPRODUCT($I$5:$I51,$AL$5:$AL51)</f>
        <v>7988.1943583757184</v>
      </c>
      <c r="AM53" s="13">
        <f ca="1">SUMPRODUCT($I$5:$I51,$AM$5:$AM51)</f>
        <v>-2567730.0639101355</v>
      </c>
      <c r="AO53" s="18">
        <f ca="1">SUMPRODUCT($I$5:$I51,$AO$5:$AO51)</f>
        <v>8000796.5229833303</v>
      </c>
      <c r="AP53" s="18">
        <f ca="1">SUMPRODUCT($I$5:$I51,$AP$5:$AP51)</f>
        <v>8000796.5229833303</v>
      </c>
    </row>
    <row r="54" spans="1:55" ht="11.25" customHeight="1" x14ac:dyDescent="0.25">
      <c r="K54" s="16" t="s">
        <v>461</v>
      </c>
      <c r="L54" s="13">
        <f>'TR TUSD'!$L$56</f>
        <v>0</v>
      </c>
      <c r="M54" s="13">
        <f>'TR TUSD'!$M$56</f>
        <v>19438.38955486341</v>
      </c>
      <c r="N54" s="13">
        <f>'TR TUSD'!$N$56</f>
        <v>62873.272518088721</v>
      </c>
      <c r="O54" s="13">
        <f>'TR TUSD'!$O$56</f>
        <v>0</v>
      </c>
      <c r="P54" s="13">
        <f>'TR TUSD'!$P$56</f>
        <v>0</v>
      </c>
      <c r="Q54" s="13">
        <f>'TR TUSD'!$Q$56</f>
        <v>1702303.4434674436</v>
      </c>
      <c r="R54" s="13">
        <f>'TR TUSD'!$R$56</f>
        <v>282487.42412703927</v>
      </c>
      <c r="S54" s="13">
        <f>'TR TUSD'!$S$56</f>
        <v>0</v>
      </c>
      <c r="T54" s="13">
        <f>'TR TUSD'!$T$56</f>
        <v>2067102.529667435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2132832.06996</v>
      </c>
      <c r="Z54" s="13">
        <f>'TR TUSD'!$Z$56</f>
        <v>0</v>
      </c>
      <c r="AA54" s="13">
        <f>'TR TUSD'!$AA$56</f>
        <v>0</v>
      </c>
      <c r="AB54" s="13">
        <f>'TR TUSD'!$AB$56</f>
        <v>2132832.06996</v>
      </c>
      <c r="AC54" s="13">
        <f>'TR TUSD'!$AC$56</f>
        <v>3514906.6439787205</v>
      </c>
      <c r="AD54" s="13">
        <f>'TR TUSD'!$AD$56</f>
        <v>3514906.6439787205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252579.93320726309</v>
      </c>
      <c r="AI54" s="13">
        <f>'TR TUSD'!$AI$56</f>
        <v>0</v>
      </c>
      <c r="AJ54" s="13">
        <f>'TR TUSD'!$AJ$56</f>
        <v>25510.410319474628</v>
      </c>
      <c r="AK54" s="13">
        <f>'TR TUSD'!$AK$56</f>
        <v>7864.935850435606</v>
      </c>
      <c r="AL54" s="13">
        <f>'TR TUSD'!$AL$56</f>
        <v>285955.27937717328</v>
      </c>
      <c r="AM54" s="13">
        <f>'TUSD BE'!$AM$54</f>
        <v>8000796.5229833294</v>
      </c>
      <c r="AO54" s="18">
        <f>$AE$55</f>
        <v>0</v>
      </c>
      <c r="AP54" s="18">
        <f>$AF$55</f>
        <v>0</v>
      </c>
    </row>
    <row r="55" spans="1:55" ht="11.25" customHeight="1" x14ac:dyDescent="0.25">
      <c r="K55" s="16" t="s">
        <v>462</v>
      </c>
      <c r="L55" s="13">
        <f>CUSTOS!$E$2</f>
        <v>0</v>
      </c>
      <c r="M55" s="13">
        <f>CUSTOS!$E$3</f>
        <v>-605.2669514483473</v>
      </c>
      <c r="N55" s="13">
        <f>CUSTOS!$E$4</f>
        <v>3.3834428704921385E-2</v>
      </c>
      <c r="O55" s="13">
        <f>CUSTOS!$E$5</f>
        <v>0</v>
      </c>
      <c r="P55" s="13">
        <f>CUSTOS!$E$6</f>
        <v>0</v>
      </c>
      <c r="Q55" s="13">
        <f>CUSTOS!$E$7</f>
        <v>-49197.963101249363</v>
      </c>
      <c r="R55" s="13">
        <f>CUSTOS!$E$8</f>
        <v>-8721.5821381477435</v>
      </c>
      <c r="S55" s="13">
        <f>CUSTOS!$E$9</f>
        <v>0</v>
      </c>
      <c r="T55" s="13">
        <f>CUSTOS!$E$10</f>
        <v>-58524.778356416748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-56662.602195281324</v>
      </c>
      <c r="Z55" s="13">
        <f>CUSTOS!$E$16</f>
        <v>0</v>
      </c>
      <c r="AA55" s="13">
        <f>CUSTOS!$E$17</f>
        <v>0</v>
      </c>
      <c r="AB55" s="13">
        <f>CUSTOS!$E$18</f>
        <v>-56662.602195281324</v>
      </c>
      <c r="AC55" s="13">
        <f>CUSTOS!$E$19</f>
        <v>0</v>
      </c>
      <c r="AD55" s="13">
        <f>CUSTOS!$E$20</f>
        <v>0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6955.1173179812113</v>
      </c>
      <c r="AI55" s="13">
        <f>CUSTOS!$E$25</f>
        <v>0</v>
      </c>
      <c r="AJ55" s="13">
        <f>CUSTOS!$E$26</f>
        <v>702.46236250363586</v>
      </c>
      <c r="AK55" s="13">
        <f>CUSTOS!$E$27</f>
        <v>330.6146778908705</v>
      </c>
      <c r="AL55" s="13">
        <f>CUSTOS!$E$28</f>
        <v>7988.1943583757175</v>
      </c>
      <c r="AM55" s="13">
        <f>CUSTOS!$E$29</f>
        <v>-107199.18619332234</v>
      </c>
      <c r="AO55" s="18">
        <f ca="1">IF(AO53&lt;&gt;0,AO54/AO53,0)</f>
        <v>0</v>
      </c>
      <c r="AP55" s="18">
        <f ca="1">IF(AP53&lt;&gt;0,AP54/AP53,0)</f>
        <v>0</v>
      </c>
    </row>
    <row r="56" spans="1:55" ht="11.25" customHeight="1" x14ac:dyDescent="0.25">
      <c r="K56" s="16" t="s">
        <v>463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373798.43119999999</v>
      </c>
      <c r="R56" s="13">
        <f>CUSTOS!$F$8</f>
        <v>76622.522500000006</v>
      </c>
      <c r="S56" s="13">
        <f>CUSTOS!$F$9</f>
        <v>0</v>
      </c>
      <c r="T56" s="13">
        <f>CUSTOS!$F$10</f>
        <v>450420.95370000001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-2712.6759334384456</v>
      </c>
      <c r="AI56" s="13">
        <f>CUSTOS!$F$25</f>
        <v>0</v>
      </c>
      <c r="AJ56" s="13">
        <f>CUSTOS!$F$26</f>
        <v>-273.97851938219083</v>
      </c>
      <c r="AK56" s="13">
        <f>CUSTOS!$F$27</f>
        <v>0</v>
      </c>
      <c r="AL56" s="13">
        <f>CUSTOS!$F$28</f>
        <v>-2986.6544528206364</v>
      </c>
      <c r="AM56" s="13">
        <f>CUSTOS!$F$29</f>
        <v>447434.29924717936</v>
      </c>
    </row>
    <row r="57" spans="1:55" ht="11.25" customHeight="1" x14ac:dyDescent="0.25">
      <c r="K57" s="16" t="s">
        <v>526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55" ht="11.25" customHeight="1" x14ac:dyDescent="0.25">
      <c r="K58" s="16" t="s">
        <v>538</v>
      </c>
      <c r="L58" s="13">
        <f t="shared" ref="L58:R58" si="7">IF((L54-(0))&lt;&gt;0,(L56)/(L54-(0)),0)</f>
        <v>0</v>
      </c>
      <c r="M58" s="13">
        <f t="shared" si="7"/>
        <v>0</v>
      </c>
      <c r="N58" s="13">
        <f t="shared" si="7"/>
        <v>0</v>
      </c>
      <c r="O58" s="13">
        <f t="shared" si="7"/>
        <v>0</v>
      </c>
      <c r="P58" s="13">
        <f t="shared" si="7"/>
        <v>0</v>
      </c>
      <c r="Q58" s="13">
        <f t="shared" si="7"/>
        <v>0.21958390123361626</v>
      </c>
      <c r="R58" s="13">
        <f t="shared" si="7"/>
        <v>0.27124224286013382</v>
      </c>
      <c r="S58" s="13">
        <f>IF((R53-(0)&lt;&gt;0),(S55)/(R53-(0)),0)</f>
        <v>0</v>
      </c>
      <c r="T58" s="13"/>
      <c r="U58" s="13">
        <f t="shared" ref="U58:AA58" si="8">IF((U54-(0))&lt;&gt;0,(U56)/(U54-(0)),0)</f>
        <v>0</v>
      </c>
      <c r="V58" s="13">
        <f t="shared" si="8"/>
        <v>0</v>
      </c>
      <c r="W58" s="13">
        <f t="shared" si="8"/>
        <v>0</v>
      </c>
      <c r="X58" s="13">
        <f t="shared" si="8"/>
        <v>0</v>
      </c>
      <c r="Y58" s="13">
        <f t="shared" si="8"/>
        <v>0</v>
      </c>
      <c r="Z58" s="13">
        <f t="shared" si="8"/>
        <v>0</v>
      </c>
      <c r="AA58" s="13">
        <f t="shared" si="8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-1.0739871133042334E-2</v>
      </c>
      <c r="AI58" s="13">
        <f>IF((AI54-(0))&lt;&gt;0,(AI56)/(AI54-(0)),0)</f>
        <v>0</v>
      </c>
      <c r="AJ58" s="13">
        <f>IF((AJ54-(0))&lt;&gt;0,(AJ56)/(AJ54-(0)),0)</f>
        <v>-1.0739871133042334E-2</v>
      </c>
      <c r="AK58" s="13">
        <f>IF((AK54-(0))&lt;&gt;0,(AK56)/(AK54-(0)),0)</f>
        <v>0</v>
      </c>
      <c r="AL58" s="13"/>
      <c r="AM58" s="13"/>
    </row>
  </sheetData>
  <mergeCells count="84">
    <mergeCell ref="AX1:AX4"/>
    <mergeCell ref="AY1:AY4"/>
    <mergeCell ref="AZ1:AZ4"/>
    <mergeCell ref="BC1:BC4"/>
    <mergeCell ref="AR1:AR4"/>
    <mergeCell ref="AS1:AS4"/>
    <mergeCell ref="AT1:AT4"/>
    <mergeCell ref="AU1:AU4"/>
    <mergeCell ref="AV1:AV4"/>
    <mergeCell ref="AW1:AW4"/>
    <mergeCell ref="E45:E47"/>
    <mergeCell ref="F45:F47"/>
    <mergeCell ref="A50:A51"/>
    <mergeCell ref="B50:B51"/>
    <mergeCell ref="C50:C51"/>
    <mergeCell ref="AQ1:AQ4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278" priority="55" operator="notEqual">
      <formula>$L$55</formula>
    </cfRule>
    <cfRule type="cellIs" dxfId="277" priority="56" operator="equal">
      <formula>$L$55</formula>
    </cfRule>
  </conditionalFormatting>
  <conditionalFormatting sqref="M53">
    <cfRule type="cellIs" dxfId="276" priority="53" operator="notEqual">
      <formula>$M$55</formula>
    </cfRule>
    <cfRule type="cellIs" dxfId="275" priority="54" operator="equal">
      <formula>$M$55</formula>
    </cfRule>
  </conditionalFormatting>
  <conditionalFormatting sqref="N53">
    <cfRule type="cellIs" dxfId="274" priority="51" operator="notEqual">
      <formula>$N$55</formula>
    </cfRule>
    <cfRule type="cellIs" dxfId="273" priority="52" operator="equal">
      <formula>$N$55</formula>
    </cfRule>
  </conditionalFormatting>
  <conditionalFormatting sqref="O53">
    <cfRule type="cellIs" dxfId="272" priority="49" operator="notEqual">
      <formula>$O$55</formula>
    </cfRule>
    <cfRule type="cellIs" dxfId="271" priority="50" operator="equal">
      <formula>$O$55</formula>
    </cfRule>
  </conditionalFormatting>
  <conditionalFormatting sqref="P53">
    <cfRule type="cellIs" dxfId="270" priority="47" operator="notEqual">
      <formula>$P$55</formula>
    </cfRule>
    <cfRule type="cellIs" dxfId="269" priority="48" operator="equal">
      <formula>$P$55</formula>
    </cfRule>
  </conditionalFormatting>
  <conditionalFormatting sqref="Q53">
    <cfRule type="cellIs" dxfId="268" priority="45" operator="notEqual">
      <formula>$Q$55</formula>
    </cfRule>
    <cfRule type="cellIs" dxfId="267" priority="46" operator="equal">
      <formula>$Q$55</formula>
    </cfRule>
  </conditionalFormatting>
  <conditionalFormatting sqref="R53">
    <cfRule type="cellIs" dxfId="266" priority="43" operator="notEqual">
      <formula>$R$55</formula>
    </cfRule>
    <cfRule type="cellIs" dxfId="265" priority="44" operator="equal">
      <formula>$R$55</formula>
    </cfRule>
  </conditionalFormatting>
  <conditionalFormatting sqref="S53">
    <cfRule type="cellIs" dxfId="264" priority="41" operator="notEqual">
      <formula>$S$55</formula>
    </cfRule>
    <cfRule type="cellIs" dxfId="263" priority="42" operator="equal">
      <formula>$S$55</formula>
    </cfRule>
  </conditionalFormatting>
  <conditionalFormatting sqref="T53">
    <cfRule type="cellIs" dxfId="262" priority="39" operator="notEqual">
      <formula>$T$55</formula>
    </cfRule>
    <cfRule type="cellIs" dxfId="261" priority="40" operator="equal">
      <formula>$T$55</formula>
    </cfRule>
  </conditionalFormatting>
  <conditionalFormatting sqref="U53">
    <cfRule type="cellIs" dxfId="260" priority="37" operator="notEqual">
      <formula>$U$55</formula>
    </cfRule>
    <cfRule type="cellIs" dxfId="259" priority="38" operator="equal">
      <formula>$U$55</formula>
    </cfRule>
  </conditionalFormatting>
  <conditionalFormatting sqref="V53">
    <cfRule type="cellIs" dxfId="258" priority="35" operator="notEqual">
      <formula>$V$55</formula>
    </cfRule>
    <cfRule type="cellIs" dxfId="257" priority="36" operator="equal">
      <formula>$V$55</formula>
    </cfRule>
  </conditionalFormatting>
  <conditionalFormatting sqref="W53">
    <cfRule type="cellIs" dxfId="256" priority="33" operator="notEqual">
      <formula>$W$55</formula>
    </cfRule>
    <cfRule type="cellIs" dxfId="255" priority="34" operator="equal">
      <formula>$W$55</formula>
    </cfRule>
  </conditionalFormatting>
  <conditionalFormatting sqref="X53">
    <cfRule type="cellIs" dxfId="254" priority="31" operator="notEqual">
      <formula>$X$55</formula>
    </cfRule>
    <cfRule type="cellIs" dxfId="253" priority="32" operator="equal">
      <formula>$X$55</formula>
    </cfRule>
  </conditionalFormatting>
  <conditionalFormatting sqref="Y53">
    <cfRule type="cellIs" dxfId="252" priority="29" operator="notEqual">
      <formula>$Y$55</formula>
    </cfRule>
    <cfRule type="cellIs" dxfId="251" priority="30" operator="equal">
      <formula>$Y$55</formula>
    </cfRule>
  </conditionalFormatting>
  <conditionalFormatting sqref="Z53">
    <cfRule type="cellIs" dxfId="250" priority="27" operator="notEqual">
      <formula>$Z$55</formula>
    </cfRule>
    <cfRule type="cellIs" dxfId="249" priority="28" operator="equal">
      <formula>$Z$55</formula>
    </cfRule>
  </conditionalFormatting>
  <conditionalFormatting sqref="AA53">
    <cfRule type="cellIs" dxfId="248" priority="25" operator="notEqual">
      <formula>$AA$55</formula>
    </cfRule>
    <cfRule type="cellIs" dxfId="247" priority="26" operator="equal">
      <formula>$AA$55</formula>
    </cfRule>
  </conditionalFormatting>
  <conditionalFormatting sqref="AB53">
    <cfRule type="cellIs" dxfId="246" priority="23" operator="notEqual">
      <formula>$AB$55</formula>
    </cfRule>
    <cfRule type="cellIs" dxfId="245" priority="24" operator="equal">
      <formula>$AB$55</formula>
    </cfRule>
  </conditionalFormatting>
  <conditionalFormatting sqref="AC53">
    <cfRule type="cellIs" dxfId="244" priority="21" operator="notEqual">
      <formula>$AC$55</formula>
    </cfRule>
    <cfRule type="cellIs" dxfId="243" priority="22" operator="equal">
      <formula>$AC$55</formula>
    </cfRule>
  </conditionalFormatting>
  <conditionalFormatting sqref="AD53">
    <cfRule type="cellIs" dxfId="242" priority="19" operator="notEqual">
      <formula>$AD$55</formula>
    </cfRule>
    <cfRule type="cellIs" dxfId="241" priority="20" operator="equal">
      <formula>$AD$55</formula>
    </cfRule>
  </conditionalFormatting>
  <conditionalFormatting sqref="AE53">
    <cfRule type="cellIs" dxfId="240" priority="17" operator="notEqual">
      <formula>$AE$55</formula>
    </cfRule>
    <cfRule type="cellIs" dxfId="239" priority="18" operator="equal">
      <formula>$AE$55</formula>
    </cfRule>
  </conditionalFormatting>
  <conditionalFormatting sqref="AF53">
    <cfRule type="cellIs" dxfId="238" priority="16" operator="equal">
      <formula>$AF$55</formula>
    </cfRule>
  </conditionalFormatting>
  <conditionalFormatting sqref="AF53">
    <cfRule type="cellIs" dxfId="237" priority="15" operator="notEqual">
      <formula>$AF$55</formula>
    </cfRule>
  </conditionalFormatting>
  <conditionalFormatting sqref="AG53">
    <cfRule type="cellIs" dxfId="236" priority="14" operator="equal">
      <formula>$AG$55</formula>
    </cfRule>
  </conditionalFormatting>
  <conditionalFormatting sqref="AG53">
    <cfRule type="cellIs" dxfId="235" priority="13" operator="notEqual">
      <formula>$AG$55</formula>
    </cfRule>
  </conditionalFormatting>
  <conditionalFormatting sqref="AH53">
    <cfRule type="cellIs" dxfId="234" priority="12" operator="equal">
      <formula>$AH$55</formula>
    </cfRule>
  </conditionalFormatting>
  <conditionalFormatting sqref="AH53">
    <cfRule type="cellIs" dxfId="233" priority="11" operator="notEqual">
      <formula>$AH$55</formula>
    </cfRule>
  </conditionalFormatting>
  <conditionalFormatting sqref="AI53">
    <cfRule type="cellIs" dxfId="232" priority="10" operator="equal">
      <formula>$AI$55</formula>
    </cfRule>
  </conditionalFormatting>
  <conditionalFormatting sqref="AI53">
    <cfRule type="cellIs" dxfId="231" priority="9" operator="notEqual">
      <formula>$AI$55</formula>
    </cfRule>
  </conditionalFormatting>
  <conditionalFormatting sqref="AJ53">
    <cfRule type="cellIs" dxfId="230" priority="8" operator="equal">
      <formula>$AJ$55</formula>
    </cfRule>
  </conditionalFormatting>
  <conditionalFormatting sqref="AJ53">
    <cfRule type="cellIs" dxfId="229" priority="7" operator="notEqual">
      <formula>$AJ$55</formula>
    </cfRule>
  </conditionalFormatting>
  <conditionalFormatting sqref="AK53">
    <cfRule type="cellIs" dxfId="228" priority="6" operator="equal">
      <formula>$AK$55</formula>
    </cfRule>
  </conditionalFormatting>
  <conditionalFormatting sqref="AK53">
    <cfRule type="cellIs" dxfId="227" priority="5" operator="notEqual">
      <formula>$AK$55</formula>
    </cfRule>
  </conditionalFormatting>
  <conditionalFormatting sqref="AL53">
    <cfRule type="cellIs" dxfId="226" priority="4" operator="equal">
      <formula>$AL$55</formula>
    </cfRule>
  </conditionalFormatting>
  <conditionalFormatting sqref="AL53">
    <cfRule type="cellIs" dxfId="225" priority="3" operator="notEqual">
      <formula>$AL$55</formula>
    </cfRule>
  </conditionalFormatting>
  <conditionalFormatting sqref="AM53">
    <cfRule type="cellIs" dxfId="224" priority="2" operator="equal">
      <formula>$AM$55</formula>
    </cfRule>
  </conditionalFormatting>
  <conditionalFormatting sqref="AM53">
    <cfRule type="cellIs" dxfId="223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6982-8BE1-4CE1-A4F7-0DCD7C67DECA}">
  <sheetPr codeName="Planilha28">
    <tabColor indexed="12" tint="-0.249977111117893"/>
  </sheetPr>
  <dimension ref="A1:AO50"/>
  <sheetViews>
    <sheetView showGridLines="0" topLeftCell="Q31" workbookViewId="0">
      <selection activeCell="AB61" sqref="AB61"/>
    </sheetView>
  </sheetViews>
  <sheetFormatPr defaultColWidth="9.140625"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41" ht="11.25" customHeight="1" x14ac:dyDescent="0.25">
      <c r="A1" s="149" t="s">
        <v>58</v>
      </c>
      <c r="B1" s="149" t="s">
        <v>59</v>
      </c>
      <c r="C1" s="149" t="s">
        <v>60</v>
      </c>
      <c r="D1" s="149" t="s">
        <v>61</v>
      </c>
      <c r="E1" s="149" t="s">
        <v>62</v>
      </c>
      <c r="F1" s="149" t="s">
        <v>15</v>
      </c>
      <c r="G1" s="149" t="s">
        <v>64</v>
      </c>
      <c r="H1" s="149" t="s">
        <v>65</v>
      </c>
      <c r="I1" s="149" t="s">
        <v>520</v>
      </c>
      <c r="J1" s="128"/>
      <c r="L1" s="147" t="s">
        <v>547</v>
      </c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58" t="s">
        <v>1</v>
      </c>
      <c r="AD1" s="160" t="s">
        <v>2</v>
      </c>
      <c r="AE1" s="160" t="s">
        <v>3</v>
      </c>
      <c r="AF1" s="160" t="s">
        <v>4</v>
      </c>
      <c r="AG1" s="160" t="s">
        <v>5</v>
      </c>
      <c r="AH1" s="160" t="s">
        <v>743</v>
      </c>
      <c r="AI1" s="160" t="s">
        <v>778</v>
      </c>
      <c r="AJ1" s="160" t="s">
        <v>745</v>
      </c>
      <c r="AK1" s="160" t="s">
        <v>746</v>
      </c>
      <c r="AL1" s="160" t="s">
        <v>747</v>
      </c>
      <c r="AO1" s="160" t="s">
        <v>748</v>
      </c>
    </row>
    <row r="2" spans="1:41" ht="11.25" customHeight="1" x14ac:dyDescent="0.25">
      <c r="A2" s="149"/>
      <c r="B2" s="149"/>
      <c r="C2" s="149"/>
      <c r="D2" s="149"/>
      <c r="E2" s="149"/>
      <c r="F2" s="149"/>
      <c r="G2" s="149"/>
      <c r="H2" s="149"/>
      <c r="I2" s="149"/>
      <c r="J2" s="128"/>
      <c r="L2" s="147" t="s">
        <v>447</v>
      </c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59"/>
      <c r="AD2" s="161"/>
      <c r="AE2" s="161"/>
      <c r="AF2" s="161"/>
      <c r="AG2" s="161"/>
      <c r="AH2" s="161"/>
      <c r="AI2" s="161"/>
      <c r="AJ2" s="161"/>
      <c r="AK2" s="161"/>
      <c r="AL2" s="161"/>
      <c r="AO2" s="161"/>
    </row>
    <row r="3" spans="1:41" ht="11.25" customHeight="1" x14ac:dyDescent="0.25">
      <c r="A3" s="149"/>
      <c r="B3" s="149"/>
      <c r="C3" s="149"/>
      <c r="D3" s="149"/>
      <c r="E3" s="149"/>
      <c r="F3" s="149"/>
      <c r="G3" s="149"/>
      <c r="H3" s="149"/>
      <c r="I3" s="149"/>
      <c r="J3" s="128"/>
      <c r="L3" s="147" t="s">
        <v>420</v>
      </c>
      <c r="M3" s="147"/>
      <c r="N3" s="147"/>
      <c r="O3" s="147"/>
      <c r="P3" s="147"/>
      <c r="Q3" s="147"/>
      <c r="R3" s="147" t="s">
        <v>451</v>
      </c>
      <c r="S3" s="147"/>
      <c r="T3" s="147" t="s">
        <v>429</v>
      </c>
      <c r="U3" s="147"/>
      <c r="V3" s="147"/>
      <c r="W3" s="147"/>
      <c r="X3" s="147" t="s">
        <v>439</v>
      </c>
      <c r="Y3" s="147"/>
      <c r="Z3" s="147" t="s">
        <v>442</v>
      </c>
      <c r="AA3" s="147"/>
      <c r="AB3" s="147" t="s">
        <v>428</v>
      </c>
      <c r="AC3" s="159"/>
      <c r="AD3" s="161"/>
      <c r="AE3" s="161"/>
      <c r="AF3" s="161"/>
      <c r="AG3" s="161"/>
      <c r="AH3" s="161"/>
      <c r="AI3" s="161"/>
      <c r="AJ3" s="161"/>
      <c r="AK3" s="161"/>
      <c r="AL3" s="161"/>
      <c r="AO3" s="161"/>
    </row>
    <row r="4" spans="1:41" ht="11.25" customHeight="1" x14ac:dyDescent="0.25">
      <c r="A4" s="149"/>
      <c r="B4" s="149"/>
      <c r="C4" s="149"/>
      <c r="D4" s="149"/>
      <c r="E4" s="149"/>
      <c r="F4" s="149"/>
      <c r="G4" s="149"/>
      <c r="H4" s="149"/>
      <c r="I4" s="149"/>
      <c r="J4" s="128"/>
      <c r="L4" s="24" t="s">
        <v>422</v>
      </c>
      <c r="M4" s="24" t="s">
        <v>448</v>
      </c>
      <c r="N4" s="24" t="s">
        <v>449</v>
      </c>
      <c r="O4" s="24" t="s">
        <v>508</v>
      </c>
      <c r="P4" s="24" t="s">
        <v>450</v>
      </c>
      <c r="Q4" s="24" t="s">
        <v>428</v>
      </c>
      <c r="R4" s="24" t="s">
        <v>452</v>
      </c>
      <c r="S4" s="24" t="s">
        <v>428</v>
      </c>
      <c r="T4" s="24" t="s">
        <v>453</v>
      </c>
      <c r="U4" s="24" t="s">
        <v>454</v>
      </c>
      <c r="V4" s="24" t="s">
        <v>455</v>
      </c>
      <c r="W4" s="24" t="s">
        <v>428</v>
      </c>
      <c r="X4" s="24" t="s">
        <v>440</v>
      </c>
      <c r="Y4" s="24" t="s">
        <v>428</v>
      </c>
      <c r="Z4" s="24" t="s">
        <v>456</v>
      </c>
      <c r="AA4" s="24" t="s">
        <v>428</v>
      </c>
      <c r="AB4" s="148"/>
      <c r="AC4" s="159"/>
      <c r="AD4" s="161"/>
      <c r="AE4" s="161"/>
      <c r="AF4" s="161"/>
      <c r="AG4" s="161"/>
      <c r="AH4" s="161"/>
      <c r="AI4" s="161"/>
      <c r="AJ4" s="161"/>
      <c r="AK4" s="161"/>
      <c r="AL4" s="161"/>
      <c r="AO4" s="161"/>
    </row>
    <row r="5" spans="1:41" ht="11.25" customHeight="1" x14ac:dyDescent="0.25">
      <c r="A5" s="150" t="s">
        <v>34</v>
      </c>
      <c r="B5" s="150" t="s">
        <v>67</v>
      </c>
      <c r="C5" s="150" t="s">
        <v>25</v>
      </c>
      <c r="D5" s="150" t="s">
        <v>25</v>
      </c>
      <c r="E5" s="150" t="s">
        <v>25</v>
      </c>
      <c r="F5" s="150" t="s">
        <v>25</v>
      </c>
      <c r="G5" s="23" t="s">
        <v>69</v>
      </c>
      <c r="H5" s="23" t="s">
        <v>68</v>
      </c>
      <c r="I5" s="23">
        <f>'MERCADO TE'!$U$2</f>
        <v>86.265000000000001</v>
      </c>
      <c r="J5" s="15"/>
      <c r="L5" s="20">
        <f>'TE BE'!$L$5*'TE BE'!$L$49</f>
        <v>1.527092298150929E-6</v>
      </c>
      <c r="M5" s="20">
        <f>'TE BE'!$M$5*'TE BE'!$M$49</f>
        <v>0</v>
      </c>
      <c r="N5" s="20">
        <f>'TE BE'!$N$5*'TE BE'!$N$49</f>
        <v>0</v>
      </c>
      <c r="O5" s="20">
        <f>'TE BE'!$O$5*'TE BE'!$O$49</f>
        <v>-9.9289898267227242E-3</v>
      </c>
      <c r="P5" s="20">
        <f>'TE BE'!$P$5*'TE BE'!$P$49</f>
        <v>0</v>
      </c>
      <c r="Q5" s="20">
        <f>SUM($L$5:$P$5)</f>
        <v>-9.927462734424573E-3</v>
      </c>
      <c r="R5" s="20">
        <f>'TE BE'!$R$5*'TE BE'!$R$49</f>
        <v>12.642621678755839</v>
      </c>
      <c r="S5" s="20">
        <f>SUM($R$5:$R$5)</f>
        <v>12.642621678755839</v>
      </c>
      <c r="T5" s="20">
        <f>'TE BE'!$T$5*'TE BE'!$T$49</f>
        <v>0</v>
      </c>
      <c r="U5" s="20">
        <f>'TE BE'!$U$5*'TE BE'!$U$49</f>
        <v>0</v>
      </c>
      <c r="V5" s="20">
        <f>'TE BE'!$V$5*'TE BE'!$V$49</f>
        <v>0</v>
      </c>
      <c r="W5" s="20">
        <f>SUM($T$5:$V$5)</f>
        <v>0</v>
      </c>
      <c r="X5" s="20">
        <f>'TE BE'!$AB$5*'TE BE'!$X$49</f>
        <v>0</v>
      </c>
      <c r="Y5" s="20">
        <f>SUM($X$5:$X$5)</f>
        <v>0</v>
      </c>
      <c r="Z5" s="20">
        <f>'TE BE'!$Z$5*'TE BE'!$Z$49</f>
        <v>0</v>
      </c>
      <c r="AA5" s="20">
        <f>SUM($Z$5:$Z$5)</f>
        <v>0</v>
      </c>
      <c r="AB5" s="20">
        <f ca="1">SUMIF($L$4:$AA$4,"SUBTOTAL",$L$5:$AA$5)+AL5</f>
        <v>-57.192407721355288</v>
      </c>
      <c r="AC5" s="9" t="str">
        <f t="shared" ref="AC5:AC42" si="0">IF($A5="",AC4,$A5)</f>
        <v>A4</v>
      </c>
      <c r="AD5" s="9" t="str">
        <f t="shared" ref="AD5:AD42" si="1">IF($B5="",AD4,$B5)</f>
        <v>Energia horária</v>
      </c>
      <c r="AE5" s="9" t="str">
        <f t="shared" ref="AE5:AE42" si="2">IF($C5="",AE4,$C5)</f>
        <v>Não se aplica</v>
      </c>
      <c r="AF5" s="9" t="str">
        <f t="shared" ref="AF5:AF42" si="3">IF($D5="",AF4,$D5)</f>
        <v>Não se aplica</v>
      </c>
      <c r="AG5" s="9" t="str">
        <f t="shared" ref="AG5:AG42" si="4">IF($E5="",AG4,$E5)</f>
        <v>Não se aplica</v>
      </c>
      <c r="AH5" s="9">
        <v>1</v>
      </c>
      <c r="AI5" s="9">
        <f ca="1">IFERROR(VLOOKUP(AC5,TarifaMedia!$C$18:$G$18,5,0),0)</f>
        <v>1</v>
      </c>
      <c r="AJ5" s="15">
        <f>'TE BE'!$AB5+'TE BF'!$AB5+'TE CVA'!$AB5</f>
        <v>469.66510193737668</v>
      </c>
      <c r="AK5" s="9">
        <v>399.84</v>
      </c>
      <c r="AL5" s="9">
        <f t="shared" ref="AL5:AL42" ca="1" si="5">(AK5-AJ5)*AI5*AH5</f>
        <v>-69.825101937376701</v>
      </c>
      <c r="AO5" s="81" t="s">
        <v>779</v>
      </c>
    </row>
    <row r="6" spans="1:41" ht="11.25" customHeight="1" x14ac:dyDescent="0.25">
      <c r="A6" s="150"/>
      <c r="B6" s="150"/>
      <c r="C6" s="150"/>
      <c r="D6" s="150"/>
      <c r="E6" s="150"/>
      <c r="F6" s="150"/>
      <c r="G6" s="23" t="s">
        <v>70</v>
      </c>
      <c r="H6" s="23" t="s">
        <v>68</v>
      </c>
      <c r="I6" s="23">
        <f>'MERCADO TE'!$U$3</f>
        <v>2218.5819999999999</v>
      </c>
      <c r="J6" s="15"/>
      <c r="L6" s="20">
        <f>'TE BE'!$L$6*'TE BE'!$L$49</f>
        <v>1.527092298150929E-6</v>
      </c>
      <c r="M6" s="20">
        <f>'TE BE'!$M$6*'TE BE'!$M$49</f>
        <v>0</v>
      </c>
      <c r="N6" s="20">
        <f>'TE BE'!$N$6*'TE BE'!$N$49</f>
        <v>0</v>
      </c>
      <c r="O6" s="20">
        <f>'TE BE'!$O$6*'TE BE'!$O$49</f>
        <v>-9.9289898267227242E-3</v>
      </c>
      <c r="P6" s="20">
        <f>'TE BE'!$P$6*'TE BE'!$P$49</f>
        <v>0</v>
      </c>
      <c r="Q6" s="20">
        <f>SUM($L$6:$P$6)</f>
        <v>-9.927462734424573E-3</v>
      </c>
      <c r="R6" s="20">
        <f>'TE BE'!$R$6*'TE BE'!$R$49</f>
        <v>7.3503614411371156</v>
      </c>
      <c r="S6" s="20">
        <f>SUM($R$6:$R$6)</f>
        <v>7.3503614411371156</v>
      </c>
      <c r="T6" s="20">
        <f>'TE BE'!$T$6*'TE BE'!$T$49</f>
        <v>0</v>
      </c>
      <c r="U6" s="20">
        <f>'TE BE'!$U$6*'TE BE'!$U$49</f>
        <v>0</v>
      </c>
      <c r="V6" s="20">
        <f>'TE BE'!$V$6*'TE BE'!$V$49</f>
        <v>0</v>
      </c>
      <c r="W6" s="20">
        <f>SUM($T$6:$V$6)</f>
        <v>0</v>
      </c>
      <c r="X6" s="20">
        <f>'TE BE'!$AB$6*'TE BE'!$X$49</f>
        <v>0</v>
      </c>
      <c r="Y6" s="20">
        <f>SUM($X$6:$X$6)</f>
        <v>0</v>
      </c>
      <c r="Z6" s="20">
        <f>'TE BE'!$Z$6*'TE BE'!$Z$49</f>
        <v>0</v>
      </c>
      <c r="AA6" s="20">
        <f>SUM($Z$6:$Z$6)</f>
        <v>0</v>
      </c>
      <c r="AB6" s="20">
        <f ca="1">SUMIF($L$4:$AA$4,"SUBTOTAL",$L$6:$AA$6)+AL6</f>
        <v>-16.864407013965526</v>
      </c>
      <c r="AC6" s="9" t="str">
        <f t="shared" si="0"/>
        <v>A4</v>
      </c>
      <c r="AD6" s="9" t="str">
        <f t="shared" si="1"/>
        <v>Energia horária</v>
      </c>
      <c r="AE6" s="9" t="str">
        <f t="shared" si="2"/>
        <v>Não se aplica</v>
      </c>
      <c r="AF6" s="9" t="str">
        <f t="shared" si="3"/>
        <v>Não se aplica</v>
      </c>
      <c r="AG6" s="9" t="str">
        <f t="shared" si="4"/>
        <v>Não se aplica</v>
      </c>
      <c r="AH6" s="9">
        <v>1</v>
      </c>
      <c r="AI6" s="9">
        <f ca="1">IFERROR(VLOOKUP(AC6,TarifaMedia!$C$18:$G$18,5,0),0)</f>
        <v>1</v>
      </c>
      <c r="AJ6" s="15">
        <f>'TE BE'!$AB6+'TE BF'!$AB6+'TE CVA'!$AB6</f>
        <v>274.24484099236821</v>
      </c>
      <c r="AK6" s="9">
        <v>250.04</v>
      </c>
      <c r="AL6" s="9">
        <f t="shared" ca="1" si="5"/>
        <v>-24.204840992368219</v>
      </c>
      <c r="AO6" s="81" t="s">
        <v>780</v>
      </c>
    </row>
    <row r="7" spans="1:41" ht="11.25" customHeight="1" x14ac:dyDescent="0.25">
      <c r="A7" s="150"/>
      <c r="B7" s="22" t="s">
        <v>71</v>
      </c>
      <c r="C7" s="22" t="s">
        <v>25</v>
      </c>
      <c r="D7" s="22" t="s">
        <v>25</v>
      </c>
      <c r="E7" s="22" t="s">
        <v>25</v>
      </c>
      <c r="F7" s="22" t="s">
        <v>25</v>
      </c>
      <c r="G7" s="23" t="s">
        <v>72</v>
      </c>
      <c r="H7" s="23" t="s">
        <v>68</v>
      </c>
      <c r="I7" s="23">
        <f>'MERCADO TE'!$U$4</f>
        <v>0</v>
      </c>
      <c r="J7" s="15"/>
      <c r="L7" s="20">
        <f>'TE BE'!$L$7*'TE BE'!$L$49</f>
        <v>1.527092298150929E-6</v>
      </c>
      <c r="M7" s="20">
        <f>'TE BE'!$M$7*'TE BE'!$M$49</f>
        <v>0</v>
      </c>
      <c r="N7" s="20">
        <f>'TE BE'!$N$7*'TE BE'!$N$49</f>
        <v>0</v>
      </c>
      <c r="O7" s="20">
        <f>'TE BE'!$O$7*'TE BE'!$O$49</f>
        <v>-9.9289898267227242E-3</v>
      </c>
      <c r="P7" s="20">
        <f>'TE BE'!$P$7*'TE BE'!$P$49</f>
        <v>0</v>
      </c>
      <c r="Q7" s="20">
        <f>SUM($L$7:$P$7)</f>
        <v>-9.927462734424573E-3</v>
      </c>
      <c r="R7" s="20">
        <f>'TE BE'!$R$7*'TE BE'!$R$49</f>
        <v>7.7913831276053429</v>
      </c>
      <c r="S7" s="20">
        <f>SUM($R$7:$R$7)</f>
        <v>7.7913831276053429</v>
      </c>
      <c r="T7" s="20">
        <f>'TE BE'!$T$7*'TE BE'!$T$49</f>
        <v>0</v>
      </c>
      <c r="U7" s="20">
        <f>'TE BE'!$U$7*'TE BE'!$U$49</f>
        <v>0</v>
      </c>
      <c r="V7" s="20">
        <f>'TE BE'!$V$7*'TE BE'!$V$49</f>
        <v>0</v>
      </c>
      <c r="W7" s="20">
        <f>SUM($T$7:$V$7)</f>
        <v>0</v>
      </c>
      <c r="X7" s="20">
        <f>'TE BE'!$AB$7*'TE BE'!$X$49</f>
        <v>0</v>
      </c>
      <c r="Y7" s="20">
        <f>SUM($X$7:$X$7)</f>
        <v>0</v>
      </c>
      <c r="Z7" s="20">
        <f>'TE BE'!$Z$7*'TE BE'!$Z$49</f>
        <v>0</v>
      </c>
      <c r="AA7" s="20">
        <f>SUM($Z$7:$Z$7)</f>
        <v>0</v>
      </c>
      <c r="AB7" s="20">
        <f ca="1">SUMIF($L$4:$AA$4,"SUBTOTAL",$L$7:$AA$7)+AL7</f>
        <v>-282.74840707291469</v>
      </c>
      <c r="AC7" s="9" t="str">
        <f t="shared" si="0"/>
        <v>A4</v>
      </c>
      <c r="AD7" s="9" t="str">
        <f t="shared" si="1"/>
        <v>Energia convencional</v>
      </c>
      <c r="AE7" s="9" t="str">
        <f t="shared" si="2"/>
        <v>Não se aplica</v>
      </c>
      <c r="AF7" s="9" t="str">
        <f t="shared" si="3"/>
        <v>Não se aplica</v>
      </c>
      <c r="AG7" s="9" t="str">
        <f t="shared" si="4"/>
        <v>Não se aplica</v>
      </c>
      <c r="AH7" s="9">
        <v>1</v>
      </c>
      <c r="AI7" s="9">
        <f ca="1">IFERROR(VLOOKUP(AC7,TarifaMedia!$C$18:$G$18,5,0),0)</f>
        <v>1</v>
      </c>
      <c r="AJ7" s="15">
        <f>'TE BE'!$AB7+'TE BF'!$AB7+'TE CVA'!$AB7</f>
        <v>290.52986273778561</v>
      </c>
      <c r="AK7" s="9">
        <v>0</v>
      </c>
      <c r="AL7" s="9">
        <f t="shared" ca="1" si="5"/>
        <v>-290.52986273778561</v>
      </c>
      <c r="AO7" s="81" t="s">
        <v>781</v>
      </c>
    </row>
    <row r="8" spans="1:41" ht="11.25" customHeight="1" x14ac:dyDescent="0.25">
      <c r="A8" s="150" t="s">
        <v>22</v>
      </c>
      <c r="B8" s="150" t="s">
        <v>67</v>
      </c>
      <c r="C8" s="150" t="s">
        <v>24</v>
      </c>
      <c r="D8" s="150" t="s">
        <v>24</v>
      </c>
      <c r="E8" s="150" t="s">
        <v>25</v>
      </c>
      <c r="F8" s="150" t="s">
        <v>25</v>
      </c>
      <c r="G8" s="23" t="s">
        <v>69</v>
      </c>
      <c r="H8" s="23" t="s">
        <v>68</v>
      </c>
      <c r="I8" s="23">
        <f>'MERCADO TE'!$U$5</f>
        <v>0</v>
      </c>
      <c r="J8" s="15"/>
      <c r="L8" s="20">
        <f>'TE BE'!$L$8*'TE BE'!$L$49</f>
        <v>1.527092298150929E-6</v>
      </c>
      <c r="M8" s="20">
        <f>'TE BE'!$M$8*'TE BE'!$M$49</f>
        <v>0</v>
      </c>
      <c r="N8" s="20">
        <f>'TE BE'!$N$8*'TE BE'!$N$49</f>
        <v>0</v>
      </c>
      <c r="O8" s="20">
        <f>'TE BE'!$O$8*'TE BE'!$O$49</f>
        <v>-9.9289898267227242E-3</v>
      </c>
      <c r="P8" s="20">
        <f>'TE BE'!$P$8*'TE BE'!$P$49</f>
        <v>0</v>
      </c>
      <c r="Q8" s="20">
        <f>SUM($L$8:$P$8)</f>
        <v>-9.927462734424573E-3</v>
      </c>
      <c r="R8" s="20">
        <f>'TE BE'!$R$8*'TE BE'!$R$49</f>
        <v>12.642621678755839</v>
      </c>
      <c r="S8" s="20">
        <f>SUM($R$8:$R$8)</f>
        <v>12.642621678755839</v>
      </c>
      <c r="T8" s="20">
        <f>'TE BE'!$T$8*'TE BE'!$T$49</f>
        <v>0</v>
      </c>
      <c r="U8" s="20">
        <f>'TE BE'!$U$8*'TE BE'!$U$49</f>
        <v>0</v>
      </c>
      <c r="V8" s="20">
        <f>'TE BE'!$V$8*'TE BE'!$V$49</f>
        <v>0</v>
      </c>
      <c r="W8" s="20">
        <f>SUM($T$8:$V$8)</f>
        <v>0</v>
      </c>
      <c r="X8" s="20">
        <f>'TE BE'!$AB$8*'TE BE'!$X$49</f>
        <v>0</v>
      </c>
      <c r="Y8" s="20">
        <f>SUM($X$8:$X$8)</f>
        <v>0</v>
      </c>
      <c r="Z8" s="20">
        <f>'TE BE'!$Z$8*'TE BE'!$Z$49</f>
        <v>0</v>
      </c>
      <c r="AA8" s="20">
        <f>SUM($Z$8:$Z$8)</f>
        <v>0</v>
      </c>
      <c r="AB8" s="20">
        <f ca="1">SUMIF($L$4:$AA$4,"SUBTOTAL",$L$8:$AA$8)+AL8</f>
        <v>-57.192407721355288</v>
      </c>
      <c r="AC8" s="9" t="str">
        <f t="shared" si="0"/>
        <v>B1</v>
      </c>
      <c r="AD8" s="9" t="str">
        <f t="shared" si="1"/>
        <v>Energia horária</v>
      </c>
      <c r="AE8" s="9" t="str">
        <f t="shared" si="2"/>
        <v>Residencial</v>
      </c>
      <c r="AF8" s="9" t="str">
        <f t="shared" si="3"/>
        <v>Residencial</v>
      </c>
      <c r="AG8" s="9" t="str">
        <f t="shared" si="4"/>
        <v>Não se aplica</v>
      </c>
      <c r="AH8" s="9">
        <v>1</v>
      </c>
      <c r="AI8" s="9">
        <f ca="1">TarifaMedia!$G$20</f>
        <v>1</v>
      </c>
      <c r="AJ8" s="15">
        <f>'TE BE'!$AB8+'TE BF'!$AB8+'TE CVA'!$AB8</f>
        <v>469.66510193737668</v>
      </c>
      <c r="AK8" s="9">
        <v>399.84</v>
      </c>
      <c r="AL8" s="9">
        <f t="shared" ca="1" si="5"/>
        <v>-69.825101937376701</v>
      </c>
      <c r="AO8" s="81" t="s">
        <v>782</v>
      </c>
    </row>
    <row r="9" spans="1:41" ht="11.25" customHeight="1" x14ac:dyDescent="0.25">
      <c r="A9" s="150"/>
      <c r="B9" s="150"/>
      <c r="C9" s="150"/>
      <c r="D9" s="150"/>
      <c r="E9" s="150"/>
      <c r="F9" s="150"/>
      <c r="G9" s="23" t="s">
        <v>82</v>
      </c>
      <c r="H9" s="23" t="s">
        <v>68</v>
      </c>
      <c r="I9" s="23">
        <f>'MERCADO TE'!$U$6</f>
        <v>0</v>
      </c>
      <c r="J9" s="15"/>
      <c r="L9" s="20">
        <f>'TE BE'!$L$9*'TE BE'!$L$49</f>
        <v>1.527092298150929E-6</v>
      </c>
      <c r="M9" s="20">
        <f>'TE BE'!$M$9*'TE BE'!$M$49</f>
        <v>0</v>
      </c>
      <c r="N9" s="20">
        <f>'TE BE'!$N$9*'TE BE'!$N$49</f>
        <v>0</v>
      </c>
      <c r="O9" s="20">
        <f>'TE BE'!$O$9*'TE BE'!$O$49</f>
        <v>-9.9289898267227242E-3</v>
      </c>
      <c r="P9" s="20">
        <f>'TE BE'!$P$9*'TE BE'!$P$49</f>
        <v>0</v>
      </c>
      <c r="Q9" s="20">
        <f>SUM($L$9:$P$9)</f>
        <v>-9.927462734424573E-3</v>
      </c>
      <c r="R9" s="20">
        <f>'TE BE'!$R$9*'TE BE'!$R$49</f>
        <v>7.3503614411371156</v>
      </c>
      <c r="S9" s="20">
        <f>SUM($R$9:$R$9)</f>
        <v>7.3503614411371156</v>
      </c>
      <c r="T9" s="20">
        <f>'TE BE'!$T$9*'TE BE'!$T$49</f>
        <v>0</v>
      </c>
      <c r="U9" s="20">
        <f>'TE BE'!$U$9*'TE BE'!$U$49</f>
        <v>0</v>
      </c>
      <c r="V9" s="20">
        <f>'TE BE'!$V$9*'TE BE'!$V$49</f>
        <v>0</v>
      </c>
      <c r="W9" s="20">
        <f>SUM($T$9:$V$9)</f>
        <v>0</v>
      </c>
      <c r="X9" s="20">
        <f>'TE BE'!$AB$9*'TE BE'!$X$49</f>
        <v>0</v>
      </c>
      <c r="Y9" s="20">
        <f>SUM($X$9:$X$9)</f>
        <v>0</v>
      </c>
      <c r="Z9" s="20">
        <f>'TE BE'!$Z$9*'TE BE'!$Z$49</f>
        <v>0</v>
      </c>
      <c r="AA9" s="20">
        <f>SUM($Z$9:$Z$9)</f>
        <v>0</v>
      </c>
      <c r="AB9" s="20">
        <f ca="1">SUMIF($L$4:$AA$4,"SUBTOTAL",$L$9:$AA$9)+AL9</f>
        <v>-16.864407013965526</v>
      </c>
      <c r="AC9" s="9" t="str">
        <f t="shared" si="0"/>
        <v>B1</v>
      </c>
      <c r="AD9" s="9" t="str">
        <f t="shared" si="1"/>
        <v>Energia horária</v>
      </c>
      <c r="AE9" s="9" t="str">
        <f t="shared" si="2"/>
        <v>Residencial</v>
      </c>
      <c r="AF9" s="9" t="str">
        <f t="shared" si="3"/>
        <v>Residencial</v>
      </c>
      <c r="AG9" s="9" t="str">
        <f t="shared" si="4"/>
        <v>Não se aplica</v>
      </c>
      <c r="AH9" s="9">
        <v>1</v>
      </c>
      <c r="AI9" s="9">
        <f ca="1">TarifaMedia!$G$20</f>
        <v>1</v>
      </c>
      <c r="AJ9" s="15">
        <f>'TE BE'!$AB9+'TE BF'!$AB9+'TE CVA'!$AB9</f>
        <v>274.24484099236821</v>
      </c>
      <c r="AK9" s="9">
        <v>250.04</v>
      </c>
      <c r="AL9" s="9">
        <f t="shared" ca="1" si="5"/>
        <v>-24.204840992368219</v>
      </c>
      <c r="AO9" s="81" t="s">
        <v>783</v>
      </c>
    </row>
    <row r="10" spans="1:41" ht="11.25" customHeight="1" x14ac:dyDescent="0.25">
      <c r="A10" s="150"/>
      <c r="B10" s="150"/>
      <c r="C10" s="150"/>
      <c r="D10" s="150"/>
      <c r="E10" s="150"/>
      <c r="F10" s="150"/>
      <c r="G10" s="23" t="s">
        <v>70</v>
      </c>
      <c r="H10" s="23" t="s">
        <v>68</v>
      </c>
      <c r="I10" s="23">
        <f>'MERCADO TE'!$U$7</f>
        <v>0</v>
      </c>
      <c r="J10" s="15"/>
      <c r="L10" s="20">
        <f>'TE BE'!$L$10*'TE BE'!$L$49</f>
        <v>1.527092298150929E-6</v>
      </c>
      <c r="M10" s="20">
        <f>'TE BE'!$M$10*'TE BE'!$M$49</f>
        <v>0</v>
      </c>
      <c r="N10" s="20">
        <f>'TE BE'!$N$10*'TE BE'!$N$49</f>
        <v>0</v>
      </c>
      <c r="O10" s="20">
        <f>'TE BE'!$O$10*'TE BE'!$O$49</f>
        <v>-9.9289898267227242E-3</v>
      </c>
      <c r="P10" s="20">
        <f>'TE BE'!$P$10*'TE BE'!$P$49</f>
        <v>0</v>
      </c>
      <c r="Q10" s="20">
        <f>SUM($L$10:$P$10)</f>
        <v>-9.927462734424573E-3</v>
      </c>
      <c r="R10" s="20">
        <f>'TE BE'!$R$10*'TE BE'!$R$49</f>
        <v>7.3503614411371156</v>
      </c>
      <c r="S10" s="20">
        <f>SUM($R$10:$R$10)</f>
        <v>7.3503614411371156</v>
      </c>
      <c r="T10" s="20">
        <f>'TE BE'!$T$10*'TE BE'!$T$49</f>
        <v>0</v>
      </c>
      <c r="U10" s="20">
        <f>'TE BE'!$U$10*'TE BE'!$U$49</f>
        <v>0</v>
      </c>
      <c r="V10" s="20">
        <f>'TE BE'!$V$10*'TE BE'!$V$49</f>
        <v>0</v>
      </c>
      <c r="W10" s="20">
        <f>SUM($T$10:$V$10)</f>
        <v>0</v>
      </c>
      <c r="X10" s="20">
        <f>'TE BE'!$AB$10*'TE BE'!$X$49</f>
        <v>0</v>
      </c>
      <c r="Y10" s="20">
        <f>SUM($X$10:$X$10)</f>
        <v>0</v>
      </c>
      <c r="Z10" s="20">
        <f>'TE BE'!$Z$10*'TE BE'!$Z$49</f>
        <v>0</v>
      </c>
      <c r="AA10" s="20">
        <f>SUM($Z$10:$Z$10)</f>
        <v>0</v>
      </c>
      <c r="AB10" s="20">
        <f ca="1">SUMIF($L$4:$AA$4,"SUBTOTAL",$L$10:$AA$10)+AL10</f>
        <v>-16.864407013965526</v>
      </c>
      <c r="AC10" s="9" t="str">
        <f t="shared" si="0"/>
        <v>B1</v>
      </c>
      <c r="AD10" s="9" t="str">
        <f t="shared" si="1"/>
        <v>Energia horária</v>
      </c>
      <c r="AE10" s="9" t="str">
        <f t="shared" si="2"/>
        <v>Residencial</v>
      </c>
      <c r="AF10" s="9" t="str">
        <f t="shared" si="3"/>
        <v>Residencial</v>
      </c>
      <c r="AG10" s="9" t="str">
        <f t="shared" si="4"/>
        <v>Não se aplica</v>
      </c>
      <c r="AH10" s="9">
        <v>1</v>
      </c>
      <c r="AI10" s="9">
        <f ca="1">TarifaMedia!$G$20</f>
        <v>1</v>
      </c>
      <c r="AJ10" s="15">
        <f>'TE BE'!$AB10+'TE BF'!$AB10+'TE CVA'!$AB10</f>
        <v>274.24484099236821</v>
      </c>
      <c r="AK10" s="9">
        <v>250.04</v>
      </c>
      <c r="AL10" s="9">
        <f t="shared" ca="1" si="5"/>
        <v>-24.204840992368219</v>
      </c>
      <c r="AO10" s="81" t="s">
        <v>784</v>
      </c>
    </row>
    <row r="11" spans="1:41" ht="11.25" customHeight="1" x14ac:dyDescent="0.25">
      <c r="A11" s="150"/>
      <c r="B11" s="150" t="s">
        <v>71</v>
      </c>
      <c r="C11" s="150" t="s">
        <v>24</v>
      </c>
      <c r="D11" s="22" t="s">
        <v>24</v>
      </c>
      <c r="E11" s="22" t="s">
        <v>25</v>
      </c>
      <c r="F11" s="22" t="s">
        <v>25</v>
      </c>
      <c r="G11" s="23" t="s">
        <v>72</v>
      </c>
      <c r="H11" s="23" t="s">
        <v>68</v>
      </c>
      <c r="I11" s="23">
        <f>'MERCADO TE'!$U$8</f>
        <v>6670.0239999999994</v>
      </c>
      <c r="J11" s="15"/>
      <c r="L11" s="20">
        <f>'TE BE'!$L$11*'TE BE'!$L$49</f>
        <v>1.527092298150929E-6</v>
      </c>
      <c r="M11" s="20">
        <f>'TE BE'!$M$11*'TE BE'!$M$49</f>
        <v>0</v>
      </c>
      <c r="N11" s="20">
        <f>'TE BE'!$N$11*'TE BE'!$N$49</f>
        <v>0</v>
      </c>
      <c r="O11" s="20">
        <f>'TE BE'!$O$11*'TE BE'!$O$49</f>
        <v>-9.9289898267227242E-3</v>
      </c>
      <c r="P11" s="20">
        <f>'TE BE'!$P$11*'TE BE'!$P$49</f>
        <v>0</v>
      </c>
      <c r="Q11" s="20">
        <f>SUM($L$11:$P$11)</f>
        <v>-9.927462734424573E-3</v>
      </c>
      <c r="R11" s="20">
        <f>'TE BE'!$R$11*'TE BE'!$R$49</f>
        <v>7.7913831276053429</v>
      </c>
      <c r="S11" s="20">
        <f>SUM($R$11:$R$11)</f>
        <v>7.7913831276053429</v>
      </c>
      <c r="T11" s="20">
        <f>'TE BE'!$T$11*'TE BE'!$T$49</f>
        <v>0</v>
      </c>
      <c r="U11" s="20">
        <f>'TE BE'!$U$11*'TE BE'!$U$49</f>
        <v>0</v>
      </c>
      <c r="V11" s="20">
        <f>'TE BE'!$V$11*'TE BE'!$V$49</f>
        <v>0</v>
      </c>
      <c r="W11" s="20">
        <f>SUM($T$11:$V$11)</f>
        <v>0</v>
      </c>
      <c r="X11" s="20">
        <f>'TE BE'!$AB$11*'TE BE'!$X$49</f>
        <v>0</v>
      </c>
      <c r="Y11" s="20">
        <f>SUM($X$11:$X$11)</f>
        <v>0</v>
      </c>
      <c r="Z11" s="20">
        <f>'TE BE'!$Z$11*'TE BE'!$Z$49</f>
        <v>0</v>
      </c>
      <c r="AA11" s="20">
        <f>SUM($Z$11:$Z$11)</f>
        <v>0</v>
      </c>
      <c r="AB11" s="20">
        <f ca="1">SUMIF($L$4:$AA$4,"SUBTOTAL",$L$11:$AA$11)+AL11</f>
        <v>-20.218407072914715</v>
      </c>
      <c r="AC11" s="9" t="str">
        <f t="shared" si="0"/>
        <v>B1</v>
      </c>
      <c r="AD11" s="9" t="str">
        <f t="shared" si="1"/>
        <v>Energia convencional</v>
      </c>
      <c r="AE11" s="9" t="str">
        <f t="shared" si="2"/>
        <v>Residencial</v>
      </c>
      <c r="AF11" s="9" t="str">
        <f t="shared" si="3"/>
        <v>Residencial</v>
      </c>
      <c r="AG11" s="9" t="str">
        <f t="shared" si="4"/>
        <v>Não se aplica</v>
      </c>
      <c r="AH11" s="9">
        <v>1</v>
      </c>
      <c r="AI11" s="9">
        <f ca="1">TarifaMedia!$G$20</f>
        <v>1</v>
      </c>
      <c r="AJ11" s="15">
        <f>'TE BE'!$AB11+'TE BF'!$AB11+'TE CVA'!$AB11</f>
        <v>290.52986273778561</v>
      </c>
      <c r="AK11" s="9">
        <v>262.52999999999997</v>
      </c>
      <c r="AL11" s="9">
        <f t="shared" ca="1" si="5"/>
        <v>-27.999862737785634</v>
      </c>
      <c r="AO11" s="81" t="s">
        <v>785</v>
      </c>
    </row>
    <row r="12" spans="1:41" ht="11.25" customHeight="1" x14ac:dyDescent="0.25">
      <c r="A12" s="150"/>
      <c r="B12" s="150"/>
      <c r="C12" s="150"/>
      <c r="D12" s="22" t="s">
        <v>28</v>
      </c>
      <c r="E12" s="22" t="s">
        <v>25</v>
      </c>
      <c r="F12" s="22" t="s">
        <v>25</v>
      </c>
      <c r="G12" s="23" t="s">
        <v>72</v>
      </c>
      <c r="H12" s="23" t="s">
        <v>68</v>
      </c>
      <c r="I12" s="23">
        <f>'MERCADO TE'!$U$9</f>
        <v>127.41000000000001</v>
      </c>
      <c r="J12" s="15"/>
      <c r="L12" s="20">
        <f>'TE BE'!$L$12*'TE BE'!$L$49</f>
        <v>1.527092298150929E-6</v>
      </c>
      <c r="M12" s="20">
        <f>'TE BE'!$M$12*'TE BE'!$M$49</f>
        <v>0</v>
      </c>
      <c r="N12" s="20">
        <f>'TE BE'!$N$12*'TE BE'!$N$49</f>
        <v>0</v>
      </c>
      <c r="O12" s="20">
        <f>'TE BE'!$O$12*'TE BE'!$O$49</f>
        <v>-9.9289898267227242E-3</v>
      </c>
      <c r="P12" s="20">
        <f>'TE BE'!$P$12*'TE BE'!$P$49</f>
        <v>0</v>
      </c>
      <c r="Q12" s="20">
        <f>SUM($L$12:$P$12)</f>
        <v>-9.927462734424573E-3</v>
      </c>
      <c r="R12" s="20">
        <f>'TE BE'!$R$12*'TE BE'!$R$49</f>
        <v>7.7913831276053429</v>
      </c>
      <c r="S12" s="20">
        <f>SUM($R$12:$R$12)</f>
        <v>7.7913831276053429</v>
      </c>
      <c r="T12" s="20">
        <f>'TE BE'!$T$12*'TE BE'!$T$49</f>
        <v>0</v>
      </c>
      <c r="U12" s="20">
        <f>'TE BE'!$U$12*'TE BE'!$U$49</f>
        <v>0</v>
      </c>
      <c r="V12" s="20">
        <f>'TE BE'!$V$12*'TE BE'!$V$49</f>
        <v>0</v>
      </c>
      <c r="W12" s="20">
        <f>SUM($T$12:$V$12)</f>
        <v>0</v>
      </c>
      <c r="X12" s="20">
        <f>'TE BE'!$AB$12*'TE BE'!$X$49</f>
        <v>0</v>
      </c>
      <c r="Y12" s="20">
        <f>SUM($X$12:$X$12)</f>
        <v>0</v>
      </c>
      <c r="Z12" s="20">
        <f>'TE BE'!$Z$12*'TE BE'!$Z$49</f>
        <v>0</v>
      </c>
      <c r="AA12" s="20">
        <f>SUM($Z$12:$Z$12)</f>
        <v>0</v>
      </c>
      <c r="AB12" s="20">
        <f ca="1">SUMIF($L$4:$AA$4,"SUBTOTAL",$L$12:$AA$12)+AL12</f>
        <v>-20.218407072914715</v>
      </c>
      <c r="AC12" s="9" t="str">
        <f t="shared" si="0"/>
        <v>B1</v>
      </c>
      <c r="AD12" s="9" t="str">
        <f t="shared" si="1"/>
        <v>Energia convencional</v>
      </c>
      <c r="AE12" s="9" t="str">
        <f t="shared" si="2"/>
        <v>Residencial</v>
      </c>
      <c r="AF12" s="9" t="str">
        <f t="shared" si="3"/>
        <v>Residencial baixa renda – faixa 01</v>
      </c>
      <c r="AG12" s="9" t="str">
        <f t="shared" si="4"/>
        <v>Não se aplica</v>
      </c>
      <c r="AH12" s="9">
        <v>1</v>
      </c>
      <c r="AI12" s="9">
        <f ca="1">TarifaMedia!$G$20</f>
        <v>1</v>
      </c>
      <c r="AJ12" s="15">
        <f>'TE BE'!$AB12+'TE BF'!$AB12+'TE CVA'!$AB12</f>
        <v>290.52986273778561</v>
      </c>
      <c r="AK12" s="9">
        <v>262.52999999999997</v>
      </c>
      <c r="AL12" s="9">
        <f t="shared" ca="1" si="5"/>
        <v>-27.999862737785634</v>
      </c>
      <c r="AO12" s="81" t="s">
        <v>786</v>
      </c>
    </row>
    <row r="13" spans="1:41" ht="11.25" customHeight="1" x14ac:dyDescent="0.25">
      <c r="A13" s="150"/>
      <c r="B13" s="150"/>
      <c r="C13" s="150"/>
      <c r="D13" s="22" t="s">
        <v>29</v>
      </c>
      <c r="E13" s="22" t="s">
        <v>25</v>
      </c>
      <c r="F13" s="22" t="s">
        <v>25</v>
      </c>
      <c r="G13" s="23" t="s">
        <v>72</v>
      </c>
      <c r="H13" s="23" t="s">
        <v>68</v>
      </c>
      <c r="I13" s="23">
        <f>'MERCADO TE'!$U$10</f>
        <v>275.43099999999998</v>
      </c>
      <c r="J13" s="15"/>
      <c r="L13" s="20">
        <f>'TE BE'!$L$13*'TE BE'!$L$49</f>
        <v>1.527092298150929E-6</v>
      </c>
      <c r="M13" s="20">
        <f>'TE BE'!$M$13*'TE BE'!$M$49</f>
        <v>0</v>
      </c>
      <c r="N13" s="20">
        <f>'TE BE'!$N$13*'TE BE'!$N$49</f>
        <v>0</v>
      </c>
      <c r="O13" s="20">
        <f>'TE BE'!$O$13*'TE BE'!$O$49</f>
        <v>-9.9289898267227242E-3</v>
      </c>
      <c r="P13" s="20">
        <f>'TE BE'!$P$13*'TE BE'!$P$49</f>
        <v>0</v>
      </c>
      <c r="Q13" s="20">
        <f>SUM($L$13:$P$13)</f>
        <v>-9.927462734424573E-3</v>
      </c>
      <c r="R13" s="20">
        <f>'TE BE'!$R$13*'TE BE'!$R$49</f>
        <v>7.7913831276053429</v>
      </c>
      <c r="S13" s="20">
        <f>SUM($R$13:$R$13)</f>
        <v>7.7913831276053429</v>
      </c>
      <c r="T13" s="20">
        <f>'TE BE'!$T$13*'TE BE'!$T$49</f>
        <v>0</v>
      </c>
      <c r="U13" s="20">
        <f>'TE BE'!$U$13*'TE BE'!$U$49</f>
        <v>0</v>
      </c>
      <c r="V13" s="20">
        <f>'TE BE'!$V$13*'TE BE'!$V$49</f>
        <v>0</v>
      </c>
      <c r="W13" s="20">
        <f>SUM($T$13:$V$13)</f>
        <v>0</v>
      </c>
      <c r="X13" s="20">
        <f>'TE BE'!$AB$13*'TE BE'!$X$49</f>
        <v>0</v>
      </c>
      <c r="Y13" s="20">
        <f>SUM($X$13:$X$13)</f>
        <v>0</v>
      </c>
      <c r="Z13" s="20">
        <f>'TE BE'!$Z$13*'TE BE'!$Z$49</f>
        <v>0</v>
      </c>
      <c r="AA13" s="20">
        <f>SUM($Z$13:$Z$13)</f>
        <v>0</v>
      </c>
      <c r="AB13" s="20">
        <f ca="1">SUMIF($L$4:$AA$4,"SUBTOTAL",$L$13:$AA$13)+AL13</f>
        <v>-20.218407072914715</v>
      </c>
      <c r="AC13" s="9" t="str">
        <f t="shared" si="0"/>
        <v>B1</v>
      </c>
      <c r="AD13" s="9" t="str">
        <f t="shared" si="1"/>
        <v>Energia convencional</v>
      </c>
      <c r="AE13" s="9" t="str">
        <f t="shared" si="2"/>
        <v>Residencial</v>
      </c>
      <c r="AF13" s="9" t="str">
        <f t="shared" si="3"/>
        <v>Residencial baixa renda – faixa 02</v>
      </c>
      <c r="AG13" s="9" t="str">
        <f t="shared" si="4"/>
        <v>Não se aplica</v>
      </c>
      <c r="AH13" s="9">
        <v>1</v>
      </c>
      <c r="AI13" s="9">
        <f ca="1">TarifaMedia!$G$20</f>
        <v>1</v>
      </c>
      <c r="AJ13" s="15">
        <f>'TE BE'!$AB13+'TE BF'!$AB13+'TE CVA'!$AB13</f>
        <v>290.52986273778561</v>
      </c>
      <c r="AK13" s="9">
        <v>262.52999999999997</v>
      </c>
      <c r="AL13" s="9">
        <f t="shared" ca="1" si="5"/>
        <v>-27.999862737785634</v>
      </c>
      <c r="AO13" s="81" t="s">
        <v>786</v>
      </c>
    </row>
    <row r="14" spans="1:41" ht="11.25" customHeight="1" x14ac:dyDescent="0.25">
      <c r="A14" s="150"/>
      <c r="B14" s="150"/>
      <c r="C14" s="150"/>
      <c r="D14" s="22" t="s">
        <v>30</v>
      </c>
      <c r="E14" s="22" t="s">
        <v>25</v>
      </c>
      <c r="F14" s="22" t="s">
        <v>25</v>
      </c>
      <c r="G14" s="23" t="s">
        <v>72</v>
      </c>
      <c r="H14" s="23" t="s">
        <v>68</v>
      </c>
      <c r="I14" s="23">
        <f>'MERCADO TE'!$U$11</f>
        <v>305.03699999999998</v>
      </c>
      <c r="J14" s="15"/>
      <c r="L14" s="20">
        <f>'TE BE'!$L$14*'TE BE'!$L$49</f>
        <v>1.527092298150929E-6</v>
      </c>
      <c r="M14" s="20">
        <f>'TE BE'!$M$14*'TE BE'!$M$49</f>
        <v>0</v>
      </c>
      <c r="N14" s="20">
        <f>'TE BE'!$N$14*'TE BE'!$N$49</f>
        <v>0</v>
      </c>
      <c r="O14" s="20">
        <f>'TE BE'!$O$14*'TE BE'!$O$49</f>
        <v>-9.9289898267227242E-3</v>
      </c>
      <c r="P14" s="20">
        <f>'TE BE'!$P$14*'TE BE'!$P$49</f>
        <v>0</v>
      </c>
      <c r="Q14" s="20">
        <f>SUM($L$14:$P$14)</f>
        <v>-9.927462734424573E-3</v>
      </c>
      <c r="R14" s="20">
        <f>'TE BE'!$R$14*'TE BE'!$R$49</f>
        <v>7.7913831276053429</v>
      </c>
      <c r="S14" s="20">
        <f>SUM($R$14:$R$14)</f>
        <v>7.7913831276053429</v>
      </c>
      <c r="T14" s="20">
        <f>'TE BE'!$T$14*'TE BE'!$T$49</f>
        <v>0</v>
      </c>
      <c r="U14" s="20">
        <f>'TE BE'!$U$14*'TE BE'!$U$49</f>
        <v>0</v>
      </c>
      <c r="V14" s="20">
        <f>'TE BE'!$V$14*'TE BE'!$V$49</f>
        <v>0</v>
      </c>
      <c r="W14" s="20">
        <f>SUM($T$14:$V$14)</f>
        <v>0</v>
      </c>
      <c r="X14" s="20">
        <f>'TE BE'!$AB$14*'TE BE'!$X$49</f>
        <v>0</v>
      </c>
      <c r="Y14" s="20">
        <f>SUM($X$14:$X$14)</f>
        <v>0</v>
      </c>
      <c r="Z14" s="20">
        <f>'TE BE'!$Z$14*'TE BE'!$Z$49</f>
        <v>0</v>
      </c>
      <c r="AA14" s="20">
        <f>SUM($Z$14:$Z$14)</f>
        <v>0</v>
      </c>
      <c r="AB14" s="20">
        <f ca="1">SUMIF($L$4:$AA$4,"SUBTOTAL",$L$14:$AA$14)+AL14</f>
        <v>-20.218407072914715</v>
      </c>
      <c r="AC14" s="9" t="str">
        <f t="shared" si="0"/>
        <v>B1</v>
      </c>
      <c r="AD14" s="9" t="str">
        <f t="shared" si="1"/>
        <v>Energia convencional</v>
      </c>
      <c r="AE14" s="9" t="str">
        <f t="shared" si="2"/>
        <v>Residencial</v>
      </c>
      <c r="AF14" s="9" t="str">
        <f t="shared" si="3"/>
        <v>Residencial baixa renda – faixa 03</v>
      </c>
      <c r="AG14" s="9" t="str">
        <f t="shared" si="4"/>
        <v>Não se aplica</v>
      </c>
      <c r="AH14" s="9">
        <v>1</v>
      </c>
      <c r="AI14" s="9">
        <f ca="1">TarifaMedia!$G$20</f>
        <v>1</v>
      </c>
      <c r="AJ14" s="15">
        <f>'TE BE'!$AB14+'TE BF'!$AB14+'TE CVA'!$AB14</f>
        <v>290.52986273778561</v>
      </c>
      <c r="AK14" s="9">
        <v>262.52999999999997</v>
      </c>
      <c r="AL14" s="9">
        <f t="shared" ca="1" si="5"/>
        <v>-27.999862737785634</v>
      </c>
      <c r="AO14" s="81" t="s">
        <v>786</v>
      </c>
    </row>
    <row r="15" spans="1:41" ht="11.25" customHeight="1" x14ac:dyDescent="0.25">
      <c r="A15" s="150"/>
      <c r="B15" s="150"/>
      <c r="C15" s="150"/>
      <c r="D15" s="22" t="s">
        <v>31</v>
      </c>
      <c r="E15" s="22" t="s">
        <v>25</v>
      </c>
      <c r="F15" s="22" t="s">
        <v>25</v>
      </c>
      <c r="G15" s="23" t="s">
        <v>72</v>
      </c>
      <c r="H15" s="23" t="s">
        <v>68</v>
      </c>
      <c r="I15" s="23">
        <f>'MERCADO TE'!$U$12</f>
        <v>109.482</v>
      </c>
      <c r="J15" s="15"/>
      <c r="L15" s="20">
        <f>'TE BE'!$L$15*'TE BE'!$L$49</f>
        <v>1.527092298150929E-6</v>
      </c>
      <c r="M15" s="20">
        <f>'TE BE'!$M$15*'TE BE'!$M$49</f>
        <v>0</v>
      </c>
      <c r="N15" s="20">
        <f>'TE BE'!$N$15*'TE BE'!$N$49</f>
        <v>0</v>
      </c>
      <c r="O15" s="20">
        <f>'TE BE'!$O$15*'TE BE'!$O$49</f>
        <v>-9.9289898267227242E-3</v>
      </c>
      <c r="P15" s="20">
        <f>'TE BE'!$P$15*'TE BE'!$P$49</f>
        <v>0</v>
      </c>
      <c r="Q15" s="20">
        <f>SUM($L$15:$P$15)</f>
        <v>-9.927462734424573E-3</v>
      </c>
      <c r="R15" s="20">
        <f>'TE BE'!$R$15*'TE BE'!$R$49</f>
        <v>7.7913831276053429</v>
      </c>
      <c r="S15" s="20">
        <f>SUM($R$15:$R$15)</f>
        <v>7.7913831276053429</v>
      </c>
      <c r="T15" s="20">
        <f>'TE BE'!$T$15*'TE BE'!$T$49</f>
        <v>0</v>
      </c>
      <c r="U15" s="20">
        <f>'TE BE'!$U$15*'TE BE'!$U$49</f>
        <v>0</v>
      </c>
      <c r="V15" s="20">
        <f>'TE BE'!$V$15*'TE BE'!$V$49</f>
        <v>0</v>
      </c>
      <c r="W15" s="20">
        <f>SUM($T$15:$V$15)</f>
        <v>0</v>
      </c>
      <c r="X15" s="20">
        <f>'TE BE'!$AB$15*'TE BE'!$X$49</f>
        <v>0</v>
      </c>
      <c r="Y15" s="20">
        <f>SUM($X$15:$X$15)</f>
        <v>0</v>
      </c>
      <c r="Z15" s="20">
        <f>'TE BE'!$Z$15*'TE BE'!$Z$49</f>
        <v>0</v>
      </c>
      <c r="AA15" s="20">
        <f>SUM($Z$15:$Z$15)</f>
        <v>0</v>
      </c>
      <c r="AB15" s="20">
        <f ca="1">SUMIF($L$4:$AA$4,"SUBTOTAL",$L$15:$AA$15)+AL15</f>
        <v>-20.218407072914715</v>
      </c>
      <c r="AC15" s="9" t="str">
        <f t="shared" si="0"/>
        <v>B1</v>
      </c>
      <c r="AD15" s="9" t="str">
        <f t="shared" si="1"/>
        <v>Energia convencional</v>
      </c>
      <c r="AE15" s="9" t="str">
        <f t="shared" si="2"/>
        <v>Residencial</v>
      </c>
      <c r="AF15" s="9" t="str">
        <f t="shared" si="3"/>
        <v>Residencial baixa renda – faixa 04</v>
      </c>
      <c r="AG15" s="9" t="str">
        <f t="shared" si="4"/>
        <v>Não se aplica</v>
      </c>
      <c r="AH15" s="9">
        <v>1</v>
      </c>
      <c r="AI15" s="9">
        <f ca="1">TarifaMedia!$G$20</f>
        <v>1</v>
      </c>
      <c r="AJ15" s="15">
        <f>'TE BE'!$AB15+'TE BF'!$AB15+'TE CVA'!$AB15</f>
        <v>290.52986273778561</v>
      </c>
      <c r="AK15" s="9">
        <v>262.52999999999997</v>
      </c>
      <c r="AL15" s="9">
        <f t="shared" ca="1" si="5"/>
        <v>-27.999862737785634</v>
      </c>
      <c r="AO15" s="81" t="s">
        <v>786</v>
      </c>
    </row>
    <row r="16" spans="1:41" ht="11.25" customHeight="1" x14ac:dyDescent="0.25">
      <c r="A16" s="150"/>
      <c r="B16" s="150" t="s">
        <v>83</v>
      </c>
      <c r="C16" s="150" t="s">
        <v>24</v>
      </c>
      <c r="D16" s="22" t="s">
        <v>24</v>
      </c>
      <c r="E16" s="22" t="s">
        <v>25</v>
      </c>
      <c r="F16" s="22" t="s">
        <v>25</v>
      </c>
      <c r="G16" s="23" t="s">
        <v>72</v>
      </c>
      <c r="H16" s="23" t="s">
        <v>68</v>
      </c>
      <c r="I16" s="23">
        <f>'MERCADO TE'!$U$13</f>
        <v>0</v>
      </c>
      <c r="J16" s="15"/>
      <c r="L16" s="20">
        <f>'TE BE'!$L$16*'TE BE'!$L$49</f>
        <v>1.527092298150929E-6</v>
      </c>
      <c r="M16" s="20">
        <f>'TE BE'!$M$16*'TE BE'!$M$49</f>
        <v>0</v>
      </c>
      <c r="N16" s="20">
        <f>'TE BE'!$N$16*'TE BE'!$N$49</f>
        <v>0</v>
      </c>
      <c r="O16" s="20">
        <f>'TE BE'!$O$16*'TE BE'!$O$49</f>
        <v>-9.9289898267227242E-3</v>
      </c>
      <c r="P16" s="20">
        <f>'TE BE'!$P$16*'TE BE'!$P$49</f>
        <v>0</v>
      </c>
      <c r="Q16" s="20">
        <f>SUM($L$16:$P$16)</f>
        <v>-9.927462734424573E-3</v>
      </c>
      <c r="R16" s="20">
        <f>'TE BE'!$R$16*'TE BE'!$R$49</f>
        <v>7.7913831276053429</v>
      </c>
      <c r="S16" s="20">
        <f>SUM($R$16:$R$16)</f>
        <v>7.7913831276053429</v>
      </c>
      <c r="T16" s="20">
        <f>'TE BE'!$T$16*'TE BE'!$T$49</f>
        <v>0</v>
      </c>
      <c r="U16" s="20">
        <f>'TE BE'!$U$16*'TE BE'!$U$49</f>
        <v>0</v>
      </c>
      <c r="V16" s="20">
        <f>'TE BE'!$V$16*'TE BE'!$V$49</f>
        <v>0</v>
      </c>
      <c r="W16" s="20">
        <f>SUM($T$16:$V$16)</f>
        <v>0</v>
      </c>
      <c r="X16" s="20">
        <f>'TE BE'!$AB$16*'TE BE'!$X$49</f>
        <v>0</v>
      </c>
      <c r="Y16" s="20">
        <f>SUM($X$16:$X$16)</f>
        <v>0</v>
      </c>
      <c r="Z16" s="20">
        <f>'TE BE'!$Z$16*'TE BE'!$Z$49</f>
        <v>0</v>
      </c>
      <c r="AA16" s="20">
        <f>SUM($Z$16:$Z$16)</f>
        <v>0</v>
      </c>
      <c r="AB16" s="20">
        <f ca="1">SUMIF($L$4:$AA$4,"SUBTOTAL",$L$16:$AA$16)+AL16</f>
        <v>-20.218407072914715</v>
      </c>
      <c r="AC16" s="9" t="str">
        <f t="shared" si="0"/>
        <v>B1</v>
      </c>
      <c r="AD16" s="9" t="str">
        <f t="shared" si="1"/>
        <v>Energia convencional pré-pagamento</v>
      </c>
      <c r="AE16" s="9" t="str">
        <f t="shared" si="2"/>
        <v>Residencial</v>
      </c>
      <c r="AF16" s="9" t="str">
        <f t="shared" si="3"/>
        <v>Residencial</v>
      </c>
      <c r="AG16" s="9" t="str">
        <f t="shared" si="4"/>
        <v>Não se aplica</v>
      </c>
      <c r="AH16" s="9">
        <v>1</v>
      </c>
      <c r="AI16" s="9">
        <f ca="1">TarifaMedia!$G$20</f>
        <v>1</v>
      </c>
      <c r="AJ16" s="15">
        <f>'TE BE'!$AB16+'TE BF'!$AB16+'TE CVA'!$AB16</f>
        <v>290.52986273778561</v>
      </c>
      <c r="AK16" s="9">
        <v>262.52999999999997</v>
      </c>
      <c r="AL16" s="9">
        <f t="shared" ca="1" si="5"/>
        <v>-27.999862737785634</v>
      </c>
      <c r="AO16" s="81" t="s">
        <v>787</v>
      </c>
    </row>
    <row r="17" spans="1:41" ht="11.25" customHeight="1" x14ac:dyDescent="0.25">
      <c r="A17" s="150"/>
      <c r="B17" s="150"/>
      <c r="C17" s="150"/>
      <c r="D17" s="22" t="s">
        <v>28</v>
      </c>
      <c r="E17" s="22" t="s">
        <v>25</v>
      </c>
      <c r="F17" s="22" t="s">
        <v>25</v>
      </c>
      <c r="G17" s="23" t="s">
        <v>72</v>
      </c>
      <c r="H17" s="23" t="s">
        <v>68</v>
      </c>
      <c r="I17" s="23">
        <f>'MERCADO TE'!$U$14</f>
        <v>0</v>
      </c>
      <c r="J17" s="15"/>
      <c r="L17" s="20">
        <f>'TE BE'!$L$17*'TE BE'!$L$49</f>
        <v>1.527092298150929E-6</v>
      </c>
      <c r="M17" s="20">
        <f>'TE BE'!$M$17*'TE BE'!$M$49</f>
        <v>0</v>
      </c>
      <c r="N17" s="20">
        <f>'TE BE'!$N$17*'TE BE'!$N$49</f>
        <v>0</v>
      </c>
      <c r="O17" s="20">
        <f>'TE BE'!$O$17*'TE BE'!$O$49</f>
        <v>-9.9289898267227242E-3</v>
      </c>
      <c r="P17" s="20">
        <f>'TE BE'!$P$17*'TE BE'!$P$49</f>
        <v>0</v>
      </c>
      <c r="Q17" s="20">
        <f>SUM($L$17:$P$17)</f>
        <v>-9.927462734424573E-3</v>
      </c>
      <c r="R17" s="20">
        <f>'TE BE'!$R$17*'TE BE'!$R$49</f>
        <v>7.7913831276053429</v>
      </c>
      <c r="S17" s="20">
        <f>SUM($R$17:$R$17)</f>
        <v>7.7913831276053429</v>
      </c>
      <c r="T17" s="20">
        <f>'TE BE'!$T$17*'TE BE'!$T$49</f>
        <v>0</v>
      </c>
      <c r="U17" s="20">
        <f>'TE BE'!$U$17*'TE BE'!$U$49</f>
        <v>0</v>
      </c>
      <c r="V17" s="20">
        <f>'TE BE'!$V$17*'TE BE'!$V$49</f>
        <v>0</v>
      </c>
      <c r="W17" s="20">
        <f>SUM($T$17:$V$17)</f>
        <v>0</v>
      </c>
      <c r="X17" s="20">
        <f>'TE BE'!$AB$17*'TE BE'!$X$49</f>
        <v>0</v>
      </c>
      <c r="Y17" s="20">
        <f>SUM($X$17:$X$17)</f>
        <v>0</v>
      </c>
      <c r="Z17" s="20">
        <f>'TE BE'!$Z$17*'TE BE'!$Z$49</f>
        <v>0</v>
      </c>
      <c r="AA17" s="20">
        <f>SUM($Z$17:$Z$17)</f>
        <v>0</v>
      </c>
      <c r="AB17" s="20">
        <f ca="1">SUMIF($L$4:$AA$4,"SUBTOTAL",$L$17:$AA$17)+AL17</f>
        <v>-20.218407072914715</v>
      </c>
      <c r="AC17" s="9" t="str">
        <f t="shared" si="0"/>
        <v>B1</v>
      </c>
      <c r="AD17" s="9" t="str">
        <f t="shared" si="1"/>
        <v>Energia convencional pré-pagamento</v>
      </c>
      <c r="AE17" s="9" t="str">
        <f t="shared" si="2"/>
        <v>Residencial</v>
      </c>
      <c r="AF17" s="9" t="str">
        <f t="shared" si="3"/>
        <v>Residencial baixa renda – faixa 01</v>
      </c>
      <c r="AG17" s="9" t="str">
        <f t="shared" si="4"/>
        <v>Não se aplica</v>
      </c>
      <c r="AH17" s="9">
        <v>1</v>
      </c>
      <c r="AI17" s="9">
        <f ca="1">TarifaMedia!$G$20</f>
        <v>1</v>
      </c>
      <c r="AJ17" s="15">
        <f>'TE BE'!$AB17+'TE BF'!$AB17+'TE CVA'!$AB17</f>
        <v>290.52986273778561</v>
      </c>
      <c r="AK17" s="9">
        <v>262.52999999999997</v>
      </c>
      <c r="AL17" s="9">
        <f t="shared" ca="1" si="5"/>
        <v>-27.999862737785634</v>
      </c>
      <c r="AO17" s="81" t="s">
        <v>788</v>
      </c>
    </row>
    <row r="18" spans="1:41" ht="11.25" customHeight="1" x14ac:dyDescent="0.25">
      <c r="A18" s="150"/>
      <c r="B18" s="150"/>
      <c r="C18" s="150"/>
      <c r="D18" s="22" t="s">
        <v>29</v>
      </c>
      <c r="E18" s="22" t="s">
        <v>25</v>
      </c>
      <c r="F18" s="22" t="s">
        <v>25</v>
      </c>
      <c r="G18" s="23" t="s">
        <v>72</v>
      </c>
      <c r="H18" s="23" t="s">
        <v>68</v>
      </c>
      <c r="I18" s="23">
        <f>'MERCADO TE'!$U$15</f>
        <v>0</v>
      </c>
      <c r="J18" s="15"/>
      <c r="L18" s="20">
        <f>'TE BE'!$L$18*'TE BE'!$L$49</f>
        <v>1.527092298150929E-6</v>
      </c>
      <c r="M18" s="20">
        <f>'TE BE'!$M$18*'TE BE'!$M$49</f>
        <v>0</v>
      </c>
      <c r="N18" s="20">
        <f>'TE BE'!$N$18*'TE BE'!$N$49</f>
        <v>0</v>
      </c>
      <c r="O18" s="20">
        <f>'TE BE'!$O$18*'TE BE'!$O$49</f>
        <v>-9.9289898267227242E-3</v>
      </c>
      <c r="P18" s="20">
        <f>'TE BE'!$P$18*'TE BE'!$P$49</f>
        <v>0</v>
      </c>
      <c r="Q18" s="20">
        <f>SUM($L$18:$P$18)</f>
        <v>-9.927462734424573E-3</v>
      </c>
      <c r="R18" s="20">
        <f>'TE BE'!$R$18*'TE BE'!$R$49</f>
        <v>7.7913831276053429</v>
      </c>
      <c r="S18" s="20">
        <f>SUM($R$18:$R$18)</f>
        <v>7.7913831276053429</v>
      </c>
      <c r="T18" s="20">
        <f>'TE BE'!$T$18*'TE BE'!$T$49</f>
        <v>0</v>
      </c>
      <c r="U18" s="20">
        <f>'TE BE'!$U$18*'TE BE'!$U$49</f>
        <v>0</v>
      </c>
      <c r="V18" s="20">
        <f>'TE BE'!$V$18*'TE BE'!$V$49</f>
        <v>0</v>
      </c>
      <c r="W18" s="20">
        <f>SUM($T$18:$V$18)</f>
        <v>0</v>
      </c>
      <c r="X18" s="20">
        <f>'TE BE'!$AB$18*'TE BE'!$X$49</f>
        <v>0</v>
      </c>
      <c r="Y18" s="20">
        <f>SUM($X$18:$X$18)</f>
        <v>0</v>
      </c>
      <c r="Z18" s="20">
        <f>'TE BE'!$Z$18*'TE BE'!$Z$49</f>
        <v>0</v>
      </c>
      <c r="AA18" s="20">
        <f>SUM($Z$18:$Z$18)</f>
        <v>0</v>
      </c>
      <c r="AB18" s="20">
        <f ca="1">SUMIF($L$4:$AA$4,"SUBTOTAL",$L$18:$AA$18)+AL18</f>
        <v>-20.218407072914715</v>
      </c>
      <c r="AC18" s="9" t="str">
        <f t="shared" si="0"/>
        <v>B1</v>
      </c>
      <c r="AD18" s="9" t="str">
        <f t="shared" si="1"/>
        <v>Energia convencional pré-pagamento</v>
      </c>
      <c r="AE18" s="9" t="str">
        <f t="shared" si="2"/>
        <v>Residencial</v>
      </c>
      <c r="AF18" s="9" t="str">
        <f t="shared" si="3"/>
        <v>Residencial baixa renda – faixa 02</v>
      </c>
      <c r="AG18" s="9" t="str">
        <f t="shared" si="4"/>
        <v>Não se aplica</v>
      </c>
      <c r="AH18" s="9">
        <v>1</v>
      </c>
      <c r="AI18" s="9">
        <f ca="1">TarifaMedia!$G$20</f>
        <v>1</v>
      </c>
      <c r="AJ18" s="15">
        <f>'TE BE'!$AB18+'TE BF'!$AB18+'TE CVA'!$AB18</f>
        <v>290.52986273778561</v>
      </c>
      <c r="AK18" s="9">
        <v>262.52999999999997</v>
      </c>
      <c r="AL18" s="9">
        <f t="shared" ca="1" si="5"/>
        <v>-27.999862737785634</v>
      </c>
      <c r="AO18" s="81" t="s">
        <v>788</v>
      </c>
    </row>
    <row r="19" spans="1:41" ht="11.25" customHeight="1" x14ac:dyDescent="0.25">
      <c r="A19" s="150"/>
      <c r="B19" s="150"/>
      <c r="C19" s="150"/>
      <c r="D19" s="22" t="s">
        <v>30</v>
      </c>
      <c r="E19" s="22" t="s">
        <v>25</v>
      </c>
      <c r="F19" s="22" t="s">
        <v>25</v>
      </c>
      <c r="G19" s="23" t="s">
        <v>72</v>
      </c>
      <c r="H19" s="23" t="s">
        <v>68</v>
      </c>
      <c r="I19" s="23">
        <f>'MERCADO TE'!$U$16</f>
        <v>0</v>
      </c>
      <c r="J19" s="15"/>
      <c r="L19" s="20">
        <f>'TE BE'!$L$19*'TE BE'!$L$49</f>
        <v>1.527092298150929E-6</v>
      </c>
      <c r="M19" s="20">
        <f>'TE BE'!$M$19*'TE BE'!$M$49</f>
        <v>0</v>
      </c>
      <c r="N19" s="20">
        <f>'TE BE'!$N$19*'TE BE'!$N$49</f>
        <v>0</v>
      </c>
      <c r="O19" s="20">
        <f>'TE BE'!$O$19*'TE BE'!$O$49</f>
        <v>-9.9289898267227242E-3</v>
      </c>
      <c r="P19" s="20">
        <f>'TE BE'!$P$19*'TE BE'!$P$49</f>
        <v>0</v>
      </c>
      <c r="Q19" s="20">
        <f>SUM($L$19:$P$19)</f>
        <v>-9.927462734424573E-3</v>
      </c>
      <c r="R19" s="20">
        <f>'TE BE'!$R$19*'TE BE'!$R$49</f>
        <v>7.7913831276053429</v>
      </c>
      <c r="S19" s="20">
        <f>SUM($R$19:$R$19)</f>
        <v>7.7913831276053429</v>
      </c>
      <c r="T19" s="20">
        <f>'TE BE'!$T$19*'TE BE'!$T$49</f>
        <v>0</v>
      </c>
      <c r="U19" s="20">
        <f>'TE BE'!$U$19*'TE BE'!$U$49</f>
        <v>0</v>
      </c>
      <c r="V19" s="20">
        <f>'TE BE'!$V$19*'TE BE'!$V$49</f>
        <v>0</v>
      </c>
      <c r="W19" s="20">
        <f>SUM($T$19:$V$19)</f>
        <v>0</v>
      </c>
      <c r="X19" s="20">
        <f>'TE BE'!$AB$19*'TE BE'!$X$49</f>
        <v>0</v>
      </c>
      <c r="Y19" s="20">
        <f>SUM($X$19:$X$19)</f>
        <v>0</v>
      </c>
      <c r="Z19" s="20">
        <f>'TE BE'!$Z$19*'TE BE'!$Z$49</f>
        <v>0</v>
      </c>
      <c r="AA19" s="20">
        <f>SUM($Z$19:$Z$19)</f>
        <v>0</v>
      </c>
      <c r="AB19" s="20">
        <f ca="1">SUMIF($L$4:$AA$4,"SUBTOTAL",$L$19:$AA$19)+AL19</f>
        <v>-20.218407072914715</v>
      </c>
      <c r="AC19" s="9" t="str">
        <f t="shared" si="0"/>
        <v>B1</v>
      </c>
      <c r="AD19" s="9" t="str">
        <f t="shared" si="1"/>
        <v>Energia convencional pré-pagamento</v>
      </c>
      <c r="AE19" s="9" t="str">
        <f t="shared" si="2"/>
        <v>Residencial</v>
      </c>
      <c r="AF19" s="9" t="str">
        <f t="shared" si="3"/>
        <v>Residencial baixa renda – faixa 03</v>
      </c>
      <c r="AG19" s="9" t="str">
        <f t="shared" si="4"/>
        <v>Não se aplica</v>
      </c>
      <c r="AH19" s="9">
        <v>1</v>
      </c>
      <c r="AI19" s="9">
        <f ca="1">TarifaMedia!$G$20</f>
        <v>1</v>
      </c>
      <c r="AJ19" s="15">
        <f>'TE BE'!$AB19+'TE BF'!$AB19+'TE CVA'!$AB19</f>
        <v>290.52986273778561</v>
      </c>
      <c r="AK19" s="9">
        <v>262.52999999999997</v>
      </c>
      <c r="AL19" s="9">
        <f t="shared" ca="1" si="5"/>
        <v>-27.999862737785634</v>
      </c>
      <c r="AO19" s="81" t="s">
        <v>788</v>
      </c>
    </row>
    <row r="20" spans="1:41" ht="11.25" customHeight="1" x14ac:dyDescent="0.25">
      <c r="A20" s="150"/>
      <c r="B20" s="150"/>
      <c r="C20" s="150"/>
      <c r="D20" s="22" t="s">
        <v>31</v>
      </c>
      <c r="E20" s="22" t="s">
        <v>25</v>
      </c>
      <c r="F20" s="22" t="s">
        <v>25</v>
      </c>
      <c r="G20" s="23" t="s">
        <v>72</v>
      </c>
      <c r="H20" s="23" t="s">
        <v>68</v>
      </c>
      <c r="I20" s="23">
        <f>'MERCADO TE'!$U$17</f>
        <v>0</v>
      </c>
      <c r="J20" s="15"/>
      <c r="L20" s="20">
        <f>'TE BE'!$L$20*'TE BE'!$L$49</f>
        <v>1.527092298150929E-6</v>
      </c>
      <c r="M20" s="20">
        <f>'TE BE'!$M$20*'TE BE'!$M$49</f>
        <v>0</v>
      </c>
      <c r="N20" s="20">
        <f>'TE BE'!$N$20*'TE BE'!$N$49</f>
        <v>0</v>
      </c>
      <c r="O20" s="20">
        <f>'TE BE'!$O$20*'TE BE'!$O$49</f>
        <v>-9.9289898267227242E-3</v>
      </c>
      <c r="P20" s="20">
        <f>'TE BE'!$P$20*'TE BE'!$P$49</f>
        <v>0</v>
      </c>
      <c r="Q20" s="20">
        <f>SUM($L$20:$P$20)</f>
        <v>-9.927462734424573E-3</v>
      </c>
      <c r="R20" s="20">
        <f>'TE BE'!$R$20*'TE BE'!$R$49</f>
        <v>7.7913831276053429</v>
      </c>
      <c r="S20" s="20">
        <f>SUM($R$20:$R$20)</f>
        <v>7.7913831276053429</v>
      </c>
      <c r="T20" s="20">
        <f>'TE BE'!$T$20*'TE BE'!$T$49</f>
        <v>0</v>
      </c>
      <c r="U20" s="20">
        <f>'TE BE'!$U$20*'TE BE'!$U$49</f>
        <v>0</v>
      </c>
      <c r="V20" s="20">
        <f>'TE BE'!$V$20*'TE BE'!$V$49</f>
        <v>0</v>
      </c>
      <c r="W20" s="20">
        <f>SUM($T$20:$V$20)</f>
        <v>0</v>
      </c>
      <c r="X20" s="20">
        <f>'TE BE'!$AB$20*'TE BE'!$X$49</f>
        <v>0</v>
      </c>
      <c r="Y20" s="20">
        <f>SUM($X$20:$X$20)</f>
        <v>0</v>
      </c>
      <c r="Z20" s="20">
        <f>'TE BE'!$Z$20*'TE BE'!$Z$49</f>
        <v>0</v>
      </c>
      <c r="AA20" s="20">
        <f>SUM($Z$20:$Z$20)</f>
        <v>0</v>
      </c>
      <c r="AB20" s="20">
        <f ca="1">SUMIF($L$4:$AA$4,"SUBTOTAL",$L$20:$AA$20)+AL20</f>
        <v>-20.218407072914715</v>
      </c>
      <c r="AC20" s="9" t="str">
        <f t="shared" si="0"/>
        <v>B1</v>
      </c>
      <c r="AD20" s="9" t="str">
        <f t="shared" si="1"/>
        <v>Energia convencional pré-pagamento</v>
      </c>
      <c r="AE20" s="9" t="str">
        <f t="shared" si="2"/>
        <v>Residencial</v>
      </c>
      <c r="AF20" s="9" t="str">
        <f t="shared" si="3"/>
        <v>Residencial baixa renda – faixa 04</v>
      </c>
      <c r="AG20" s="9" t="str">
        <f t="shared" si="4"/>
        <v>Não se aplica</v>
      </c>
      <c r="AH20" s="9">
        <v>1</v>
      </c>
      <c r="AI20" s="9">
        <f ca="1">TarifaMedia!$G$20</f>
        <v>1</v>
      </c>
      <c r="AJ20" s="15">
        <f>'TE BE'!$AB20+'TE BF'!$AB20+'TE CVA'!$AB20</f>
        <v>290.52986273778561</v>
      </c>
      <c r="AK20" s="9">
        <v>262.52999999999997</v>
      </c>
      <c r="AL20" s="9">
        <f t="shared" ca="1" si="5"/>
        <v>-27.999862737785634</v>
      </c>
      <c r="AO20" s="81" t="s">
        <v>788</v>
      </c>
    </row>
    <row r="21" spans="1:41" ht="11.25" customHeight="1" x14ac:dyDescent="0.25">
      <c r="A21" s="150" t="s">
        <v>41</v>
      </c>
      <c r="B21" s="150" t="s">
        <v>67</v>
      </c>
      <c r="C21" s="150" t="s">
        <v>42</v>
      </c>
      <c r="D21" s="150" t="s">
        <v>25</v>
      </c>
      <c r="E21" s="150" t="s">
        <v>25</v>
      </c>
      <c r="F21" s="150" t="s">
        <v>25</v>
      </c>
      <c r="G21" s="23" t="s">
        <v>69</v>
      </c>
      <c r="H21" s="23" t="s">
        <v>68</v>
      </c>
      <c r="I21" s="23">
        <f>'MERCADO TE'!$U$18</f>
        <v>0</v>
      </c>
      <c r="J21" s="15"/>
      <c r="L21" s="20">
        <f>'TE BE'!$L$21*'TE BE'!$L$49</f>
        <v>1.527092298150929E-6</v>
      </c>
      <c r="M21" s="20">
        <f>'TE BE'!$M$21*'TE BE'!$M$49</f>
        <v>0</v>
      </c>
      <c r="N21" s="20">
        <f>'TE BE'!$N$21*'TE BE'!$N$49</f>
        <v>0</v>
      </c>
      <c r="O21" s="20">
        <f>'TE BE'!$O$21*'TE BE'!$O$49</f>
        <v>-9.9289898267227242E-3</v>
      </c>
      <c r="P21" s="20">
        <f>'TE BE'!$P$21*'TE BE'!$P$49</f>
        <v>0</v>
      </c>
      <c r="Q21" s="20">
        <f>SUM($L$21:$P$21)</f>
        <v>-9.927462734424573E-3</v>
      </c>
      <c r="R21" s="20">
        <f>'TE BE'!$R$21*'TE BE'!$R$49</f>
        <v>12.642621678755839</v>
      </c>
      <c r="S21" s="20">
        <f>SUM($R$21:$R$21)</f>
        <v>12.642621678755839</v>
      </c>
      <c r="T21" s="20">
        <f>'TE BE'!$T$21*'TE BE'!$T$49</f>
        <v>0</v>
      </c>
      <c r="U21" s="20">
        <f>'TE BE'!$U$21*'TE BE'!$U$49</f>
        <v>0</v>
      </c>
      <c r="V21" s="20">
        <f>'TE BE'!$V$21*'TE BE'!$V$49</f>
        <v>0</v>
      </c>
      <c r="W21" s="20">
        <f>SUM($T$21:$V$21)</f>
        <v>0</v>
      </c>
      <c r="X21" s="20">
        <f>'TE BE'!$AB$21*'TE BE'!$X$49</f>
        <v>0</v>
      </c>
      <c r="Y21" s="20">
        <f>SUM($X$21:$X$21)</f>
        <v>0</v>
      </c>
      <c r="Z21" s="20">
        <f>'TE BE'!$Z$21*'TE BE'!$Z$49</f>
        <v>0</v>
      </c>
      <c r="AA21" s="20">
        <f>SUM($Z$21:$Z$21)</f>
        <v>0</v>
      </c>
      <c r="AB21" s="20">
        <f ca="1">SUMIF($L$4:$AA$4,"SUBTOTAL",$L$21:$AA$21)+AL21</f>
        <v>-57.192407721355288</v>
      </c>
      <c r="AC21" s="9" t="str">
        <f t="shared" si="0"/>
        <v>B2</v>
      </c>
      <c r="AD21" s="9" t="str">
        <f t="shared" si="1"/>
        <v>Energia horária</v>
      </c>
      <c r="AE21" s="9" t="str">
        <f t="shared" si="2"/>
        <v>Rural</v>
      </c>
      <c r="AF21" s="9" t="str">
        <f t="shared" si="3"/>
        <v>Não se aplica</v>
      </c>
      <c r="AG21" s="9" t="str">
        <f t="shared" si="4"/>
        <v>Não se aplica</v>
      </c>
      <c r="AH21" s="9">
        <v>1</v>
      </c>
      <c r="AI21" s="9">
        <f ca="1">TarifaMedia!$G$20</f>
        <v>1</v>
      </c>
      <c r="AJ21" s="15">
        <f>'TE BE'!$AB21+'TE BF'!$AB21+'TE CVA'!$AB21</f>
        <v>469.66510193737668</v>
      </c>
      <c r="AK21" s="9">
        <f>ROUND(375.85/(1-CUSTOS!$M$38),2)</f>
        <v>399.84</v>
      </c>
      <c r="AL21" s="9">
        <f t="shared" ca="1" si="5"/>
        <v>-69.825101937376701</v>
      </c>
      <c r="AO21" s="81" t="s">
        <v>789</v>
      </c>
    </row>
    <row r="22" spans="1:41" ht="11.25" customHeight="1" x14ac:dyDescent="0.25">
      <c r="A22" s="150"/>
      <c r="B22" s="150"/>
      <c r="C22" s="150"/>
      <c r="D22" s="150"/>
      <c r="E22" s="150"/>
      <c r="F22" s="150"/>
      <c r="G22" s="23" t="s">
        <v>82</v>
      </c>
      <c r="H22" s="23" t="s">
        <v>68</v>
      </c>
      <c r="I22" s="23">
        <f>'MERCADO TE'!$U$19</f>
        <v>0</v>
      </c>
      <c r="J22" s="15"/>
      <c r="L22" s="20">
        <f>'TE BE'!$L$22*'TE BE'!$L$49</f>
        <v>1.527092298150929E-6</v>
      </c>
      <c r="M22" s="20">
        <f>'TE BE'!$M$22*'TE BE'!$M$49</f>
        <v>0</v>
      </c>
      <c r="N22" s="20">
        <f>'TE BE'!$N$22*'TE BE'!$N$49</f>
        <v>0</v>
      </c>
      <c r="O22" s="20">
        <f>'TE BE'!$O$22*'TE BE'!$O$49</f>
        <v>-9.9289898267227242E-3</v>
      </c>
      <c r="P22" s="20">
        <f>'TE BE'!$P$22*'TE BE'!$P$49</f>
        <v>0</v>
      </c>
      <c r="Q22" s="20">
        <f>SUM($L$22:$P$22)</f>
        <v>-9.927462734424573E-3</v>
      </c>
      <c r="R22" s="20">
        <f>'TE BE'!$R$22*'TE BE'!$R$49</f>
        <v>7.3503614411371156</v>
      </c>
      <c r="S22" s="20">
        <f>SUM($R$22:$R$22)</f>
        <v>7.3503614411371156</v>
      </c>
      <c r="T22" s="20">
        <f>'TE BE'!$T$22*'TE BE'!$T$49</f>
        <v>0</v>
      </c>
      <c r="U22" s="20">
        <f>'TE BE'!$U$22*'TE BE'!$U$49</f>
        <v>0</v>
      </c>
      <c r="V22" s="20">
        <f>'TE BE'!$V$22*'TE BE'!$V$49</f>
        <v>0</v>
      </c>
      <c r="W22" s="20">
        <f>SUM($T$22:$V$22)</f>
        <v>0</v>
      </c>
      <c r="X22" s="20">
        <f>'TE BE'!$AB$22*'TE BE'!$X$49</f>
        <v>0</v>
      </c>
      <c r="Y22" s="20">
        <f>SUM($X$22:$X$22)</f>
        <v>0</v>
      </c>
      <c r="Z22" s="20">
        <f>'TE BE'!$Z$22*'TE BE'!$Z$49</f>
        <v>0</v>
      </c>
      <c r="AA22" s="20">
        <f>SUM($Z$22:$Z$22)</f>
        <v>0</v>
      </c>
      <c r="AB22" s="20">
        <f ca="1">SUMIF($L$4:$AA$4,"SUBTOTAL",$L$22:$AA$22)+AL22</f>
        <v>-16.864407013965526</v>
      </c>
      <c r="AC22" s="9" t="str">
        <f t="shared" si="0"/>
        <v>B2</v>
      </c>
      <c r="AD22" s="9" t="str">
        <f t="shared" si="1"/>
        <v>Energia horária</v>
      </c>
      <c r="AE22" s="9" t="str">
        <f t="shared" si="2"/>
        <v>Rural</v>
      </c>
      <c r="AF22" s="9" t="str">
        <f t="shared" si="3"/>
        <v>Não se aplica</v>
      </c>
      <c r="AG22" s="9" t="str">
        <f t="shared" si="4"/>
        <v>Não se aplica</v>
      </c>
      <c r="AH22" s="9">
        <v>1</v>
      </c>
      <c r="AI22" s="9">
        <f ca="1">TarifaMedia!$G$20</f>
        <v>1</v>
      </c>
      <c r="AJ22" s="15">
        <f>'TE BE'!$AB22+'TE BF'!$AB22+'TE CVA'!$AB22</f>
        <v>274.24484099236821</v>
      </c>
      <c r="AK22" s="9">
        <f>ROUND(235.04/(1-CUSTOS!$M$38),2)</f>
        <v>250.04</v>
      </c>
      <c r="AL22" s="9">
        <f t="shared" ca="1" si="5"/>
        <v>-24.204840992368219</v>
      </c>
      <c r="AO22" s="81" t="s">
        <v>790</v>
      </c>
    </row>
    <row r="23" spans="1:41" ht="11.25" customHeight="1" x14ac:dyDescent="0.25">
      <c r="A23" s="150"/>
      <c r="B23" s="150"/>
      <c r="C23" s="150"/>
      <c r="D23" s="150"/>
      <c r="E23" s="150"/>
      <c r="F23" s="150"/>
      <c r="G23" s="23" t="s">
        <v>70</v>
      </c>
      <c r="H23" s="23" t="s">
        <v>68</v>
      </c>
      <c r="I23" s="23">
        <f>'MERCADO TE'!$U$20</f>
        <v>0</v>
      </c>
      <c r="J23" s="15"/>
      <c r="L23" s="20">
        <f>'TE BE'!$L$23*'TE BE'!$L$49</f>
        <v>1.527092298150929E-6</v>
      </c>
      <c r="M23" s="20">
        <f>'TE BE'!$M$23*'TE BE'!$M$49</f>
        <v>0</v>
      </c>
      <c r="N23" s="20">
        <f>'TE BE'!$N$23*'TE BE'!$N$49</f>
        <v>0</v>
      </c>
      <c r="O23" s="20">
        <f>'TE BE'!$O$23*'TE BE'!$O$49</f>
        <v>-9.9289898267227242E-3</v>
      </c>
      <c r="P23" s="20">
        <f>'TE BE'!$P$23*'TE BE'!$P$49</f>
        <v>0</v>
      </c>
      <c r="Q23" s="20">
        <f>SUM($L$23:$P$23)</f>
        <v>-9.927462734424573E-3</v>
      </c>
      <c r="R23" s="20">
        <f>'TE BE'!$R$23*'TE BE'!$R$49</f>
        <v>7.3503614411371156</v>
      </c>
      <c r="S23" s="20">
        <f>SUM($R$23:$R$23)</f>
        <v>7.3503614411371156</v>
      </c>
      <c r="T23" s="20">
        <f>'TE BE'!$T$23*'TE BE'!$T$49</f>
        <v>0</v>
      </c>
      <c r="U23" s="20">
        <f>'TE BE'!$U$23*'TE BE'!$U$49</f>
        <v>0</v>
      </c>
      <c r="V23" s="20">
        <f>'TE BE'!$V$23*'TE BE'!$V$49</f>
        <v>0</v>
      </c>
      <c r="W23" s="20">
        <f>SUM($T$23:$V$23)</f>
        <v>0</v>
      </c>
      <c r="X23" s="20">
        <f>'TE BE'!$AB$23*'TE BE'!$X$49</f>
        <v>0</v>
      </c>
      <c r="Y23" s="20">
        <f>SUM($X$23:$X$23)</f>
        <v>0</v>
      </c>
      <c r="Z23" s="20">
        <f>'TE BE'!$Z$23*'TE BE'!$Z$49</f>
        <v>0</v>
      </c>
      <c r="AA23" s="20">
        <f>SUM($Z$23:$Z$23)</f>
        <v>0</v>
      </c>
      <c r="AB23" s="20">
        <f ca="1">SUMIF($L$4:$AA$4,"SUBTOTAL",$L$23:$AA$23)+AL23</f>
        <v>-16.864407013965526</v>
      </c>
      <c r="AC23" s="9" t="str">
        <f t="shared" si="0"/>
        <v>B2</v>
      </c>
      <c r="AD23" s="9" t="str">
        <f t="shared" si="1"/>
        <v>Energia horária</v>
      </c>
      <c r="AE23" s="9" t="str">
        <f t="shared" si="2"/>
        <v>Rural</v>
      </c>
      <c r="AF23" s="9" t="str">
        <f t="shared" si="3"/>
        <v>Não se aplica</v>
      </c>
      <c r="AG23" s="9" t="str">
        <f t="shared" si="4"/>
        <v>Não se aplica</v>
      </c>
      <c r="AH23" s="9">
        <v>1</v>
      </c>
      <c r="AI23" s="9">
        <f ca="1">TarifaMedia!$G$20</f>
        <v>1</v>
      </c>
      <c r="AJ23" s="15">
        <f>'TE BE'!$AB23+'TE BF'!$AB23+'TE CVA'!$AB23</f>
        <v>274.24484099236821</v>
      </c>
      <c r="AK23" s="9">
        <f>ROUND(235.04/(1-CUSTOS!$M$38),2)</f>
        <v>250.04</v>
      </c>
      <c r="AL23" s="9">
        <f t="shared" ca="1" si="5"/>
        <v>-24.204840992368219</v>
      </c>
      <c r="AO23" s="81" t="s">
        <v>791</v>
      </c>
    </row>
    <row r="24" spans="1:41" ht="11.25" customHeight="1" x14ac:dyDescent="0.25">
      <c r="A24" s="150"/>
      <c r="B24" s="22" t="s">
        <v>71</v>
      </c>
      <c r="C24" s="22" t="s">
        <v>42</v>
      </c>
      <c r="D24" s="22" t="s">
        <v>25</v>
      </c>
      <c r="E24" s="22" t="s">
        <v>25</v>
      </c>
      <c r="F24" s="22" t="s">
        <v>25</v>
      </c>
      <c r="G24" s="23" t="s">
        <v>72</v>
      </c>
      <c r="H24" s="23" t="s">
        <v>68</v>
      </c>
      <c r="I24" s="23">
        <f>'MERCADO TE'!$U$21</f>
        <v>11.840000000000002</v>
      </c>
      <c r="J24" s="15"/>
      <c r="L24" s="20">
        <f>'TE BE'!$L$24*'TE BE'!$L$49</f>
        <v>1.527092298150929E-6</v>
      </c>
      <c r="M24" s="20">
        <f>'TE BE'!$M$24*'TE BE'!$M$49</f>
        <v>0</v>
      </c>
      <c r="N24" s="20">
        <f>'TE BE'!$N$24*'TE BE'!$N$49</f>
        <v>0</v>
      </c>
      <c r="O24" s="20">
        <f>'TE BE'!$O$24*'TE BE'!$O$49</f>
        <v>-9.9289898267227242E-3</v>
      </c>
      <c r="P24" s="20">
        <f>'TE BE'!$P$24*'TE BE'!$P$49</f>
        <v>0</v>
      </c>
      <c r="Q24" s="20">
        <f>SUM($L$24:$P$24)</f>
        <v>-9.927462734424573E-3</v>
      </c>
      <c r="R24" s="20">
        <f>'TE BE'!$R$24*'TE BE'!$R$49</f>
        <v>7.7913831276053429</v>
      </c>
      <c r="S24" s="20">
        <f>SUM($R$24:$R$24)</f>
        <v>7.7913831276053429</v>
      </c>
      <c r="T24" s="20">
        <f>'TE BE'!$T$24*'TE BE'!$T$49</f>
        <v>0</v>
      </c>
      <c r="U24" s="20">
        <f>'TE BE'!$U$24*'TE BE'!$U$49</f>
        <v>0</v>
      </c>
      <c r="V24" s="20">
        <f>'TE BE'!$V$24*'TE BE'!$V$49</f>
        <v>0</v>
      </c>
      <c r="W24" s="20">
        <f>SUM($T$24:$V$24)</f>
        <v>0</v>
      </c>
      <c r="X24" s="20">
        <f>'TE BE'!$AB$24*'TE BE'!$X$49</f>
        <v>0</v>
      </c>
      <c r="Y24" s="20">
        <f>SUM($X$24:$X$24)</f>
        <v>0</v>
      </c>
      <c r="Z24" s="20">
        <f>'TE BE'!$Z$24*'TE BE'!$Z$49</f>
        <v>0</v>
      </c>
      <c r="AA24" s="20">
        <f>SUM($Z$24:$Z$24)</f>
        <v>0</v>
      </c>
      <c r="AB24" s="20">
        <f ca="1">SUMIF($L$4:$AA$4,"SUBTOTAL",$L$24:$AA$24)+AL24</f>
        <v>-20.218407072914715</v>
      </c>
      <c r="AC24" s="9" t="str">
        <f t="shared" si="0"/>
        <v>B2</v>
      </c>
      <c r="AD24" s="9" t="str">
        <f t="shared" si="1"/>
        <v>Energia convencional</v>
      </c>
      <c r="AE24" s="9" t="str">
        <f t="shared" si="2"/>
        <v>Rural</v>
      </c>
      <c r="AF24" s="9" t="str">
        <f t="shared" si="3"/>
        <v>Não se aplica</v>
      </c>
      <c r="AG24" s="9" t="str">
        <f t="shared" si="4"/>
        <v>Não se aplica</v>
      </c>
      <c r="AH24" s="9">
        <v>1</v>
      </c>
      <c r="AI24" s="9">
        <f ca="1">TarifaMedia!$G$20</f>
        <v>1</v>
      </c>
      <c r="AJ24" s="15">
        <f>'TE BE'!$AB24+'TE BF'!$AB24+'TE CVA'!$AB24</f>
        <v>290.52986273778561</v>
      </c>
      <c r="AK24" s="9">
        <v>262.52999999999997</v>
      </c>
      <c r="AL24" s="9">
        <f t="shared" ca="1" si="5"/>
        <v>-27.999862737785634</v>
      </c>
      <c r="AO24" s="81" t="s">
        <v>785</v>
      </c>
    </row>
    <row r="25" spans="1:41" ht="11.25" customHeight="1" x14ac:dyDescent="0.25">
      <c r="A25" s="150"/>
      <c r="B25" s="150" t="s">
        <v>67</v>
      </c>
      <c r="C25" s="150" t="s">
        <v>42</v>
      </c>
      <c r="D25" s="150" t="s">
        <v>85</v>
      </c>
      <c r="E25" s="150" t="s">
        <v>25</v>
      </c>
      <c r="F25" s="150" t="s">
        <v>25</v>
      </c>
      <c r="G25" s="23" t="s">
        <v>69</v>
      </c>
      <c r="H25" s="23" t="s">
        <v>68</v>
      </c>
      <c r="I25" s="23">
        <f>'MERCADO TE'!$U$22</f>
        <v>0</v>
      </c>
      <c r="J25" s="15"/>
      <c r="L25" s="20">
        <f>'TE BE'!$L$25*'TE BE'!$L$49</f>
        <v>1.527092298150929E-6</v>
      </c>
      <c r="M25" s="20">
        <f>'TE BE'!$M$25*'TE BE'!$M$49</f>
        <v>0</v>
      </c>
      <c r="N25" s="20">
        <f>'TE BE'!$N$25*'TE BE'!$N$49</f>
        <v>0</v>
      </c>
      <c r="O25" s="20">
        <f>'TE BE'!$O$25*'TE BE'!$O$49</f>
        <v>-9.9289898267227242E-3</v>
      </c>
      <c r="P25" s="20">
        <f>'TE BE'!$P$25*'TE BE'!$P$49</f>
        <v>0</v>
      </c>
      <c r="Q25" s="20">
        <f>SUM($L$25:$P$25)</f>
        <v>-9.927462734424573E-3</v>
      </c>
      <c r="R25" s="20">
        <f>'TE BE'!$R$25*'TE BE'!$R$49</f>
        <v>12.642621678755839</v>
      </c>
      <c r="S25" s="20">
        <f>SUM($R$25:$R$25)</f>
        <v>12.642621678755839</v>
      </c>
      <c r="T25" s="20">
        <f>'TE BE'!$T$25*'TE BE'!$T$49</f>
        <v>0</v>
      </c>
      <c r="U25" s="20">
        <f>'TE BE'!$U$25*'TE BE'!$U$49</f>
        <v>0</v>
      </c>
      <c r="V25" s="20">
        <f>'TE BE'!$V$25*'TE BE'!$V$49</f>
        <v>0</v>
      </c>
      <c r="W25" s="20">
        <f>SUM($T$25:$V$25)</f>
        <v>0</v>
      </c>
      <c r="X25" s="20">
        <f>'TE BE'!$AB$25*'TE BE'!$X$49</f>
        <v>0</v>
      </c>
      <c r="Y25" s="20">
        <f>SUM($X$25:$X$25)</f>
        <v>0</v>
      </c>
      <c r="Z25" s="20">
        <f>'TE BE'!$Z$25*'TE BE'!$Z$49</f>
        <v>0</v>
      </c>
      <c r="AA25" s="20">
        <f>SUM($Z$25:$Z$25)</f>
        <v>0</v>
      </c>
      <c r="AB25" s="20">
        <f ca="1">SUMIF($L$4:$AA$4,"SUBTOTAL",$L$25:$AA$25)+AL25</f>
        <v>-57.192407721355288</v>
      </c>
      <c r="AC25" s="9" t="str">
        <f t="shared" si="0"/>
        <v>B2</v>
      </c>
      <c r="AD25" s="9" t="str">
        <f t="shared" si="1"/>
        <v>Energia horária</v>
      </c>
      <c r="AE25" s="9" t="str">
        <f t="shared" si="2"/>
        <v>Rural</v>
      </c>
      <c r="AF25" s="9" t="str">
        <f t="shared" si="3"/>
        <v>Cooperativa de eletrificação rural</v>
      </c>
      <c r="AG25" s="9" t="str">
        <f t="shared" si="4"/>
        <v>Não se aplica</v>
      </c>
      <c r="AH25" s="9">
        <v>1</v>
      </c>
      <c r="AI25" s="9">
        <f ca="1">TarifaMedia!$G$20</f>
        <v>1</v>
      </c>
      <c r="AJ25" s="15">
        <f>'TE BE'!$AB25+'TE BF'!$AB25+'TE CVA'!$AB25</f>
        <v>469.66510193737668</v>
      </c>
      <c r="AK25" s="9">
        <f>ROUND(375.85/(1-CUSTOS!$M$38),2)</f>
        <v>399.84</v>
      </c>
      <c r="AL25" s="9">
        <f t="shared" ca="1" si="5"/>
        <v>-69.825101937376701</v>
      </c>
      <c r="AO25" s="81" t="s">
        <v>789</v>
      </c>
    </row>
    <row r="26" spans="1:41" ht="11.25" customHeight="1" x14ac:dyDescent="0.25">
      <c r="A26" s="150"/>
      <c r="B26" s="150"/>
      <c r="C26" s="150"/>
      <c r="D26" s="150"/>
      <c r="E26" s="150"/>
      <c r="F26" s="150"/>
      <c r="G26" s="23" t="s">
        <v>82</v>
      </c>
      <c r="H26" s="23" t="s">
        <v>68</v>
      </c>
      <c r="I26" s="23">
        <f>'MERCADO TE'!$U$23</f>
        <v>0</v>
      </c>
      <c r="J26" s="15"/>
      <c r="L26" s="20">
        <f>'TE BE'!$L$26*'TE BE'!$L$49</f>
        <v>1.527092298150929E-6</v>
      </c>
      <c r="M26" s="20">
        <f>'TE BE'!$M$26*'TE BE'!$M$49</f>
        <v>0</v>
      </c>
      <c r="N26" s="20">
        <f>'TE BE'!$N$26*'TE BE'!$N$49</f>
        <v>0</v>
      </c>
      <c r="O26" s="20">
        <f>'TE BE'!$O$26*'TE BE'!$O$49</f>
        <v>-9.9289898267227242E-3</v>
      </c>
      <c r="P26" s="20">
        <f>'TE BE'!$P$26*'TE BE'!$P$49</f>
        <v>0</v>
      </c>
      <c r="Q26" s="20">
        <f>SUM($L$26:$P$26)</f>
        <v>-9.927462734424573E-3</v>
      </c>
      <c r="R26" s="20">
        <f>'TE BE'!$R$26*'TE BE'!$R$49</f>
        <v>7.3503614411371156</v>
      </c>
      <c r="S26" s="20">
        <f>SUM($R$26:$R$26)</f>
        <v>7.3503614411371156</v>
      </c>
      <c r="T26" s="20">
        <f>'TE BE'!$T$26*'TE BE'!$T$49</f>
        <v>0</v>
      </c>
      <c r="U26" s="20">
        <f>'TE BE'!$U$26*'TE BE'!$U$49</f>
        <v>0</v>
      </c>
      <c r="V26" s="20">
        <f>'TE BE'!$V$26*'TE BE'!$V$49</f>
        <v>0</v>
      </c>
      <c r="W26" s="20">
        <f>SUM($T$26:$V$26)</f>
        <v>0</v>
      </c>
      <c r="X26" s="20">
        <f>'TE BE'!$AB$26*'TE BE'!$X$49</f>
        <v>0</v>
      </c>
      <c r="Y26" s="20">
        <f>SUM($X$26:$X$26)</f>
        <v>0</v>
      </c>
      <c r="Z26" s="20">
        <f>'TE BE'!$Z$26*'TE BE'!$Z$49</f>
        <v>0</v>
      </c>
      <c r="AA26" s="20">
        <f>SUM($Z$26:$Z$26)</f>
        <v>0</v>
      </c>
      <c r="AB26" s="20">
        <f ca="1">SUMIF($L$4:$AA$4,"SUBTOTAL",$L$26:$AA$26)+AL26</f>
        <v>-16.864407013965526</v>
      </c>
      <c r="AC26" s="9" t="str">
        <f t="shared" si="0"/>
        <v>B2</v>
      </c>
      <c r="AD26" s="9" t="str">
        <f t="shared" si="1"/>
        <v>Energia horária</v>
      </c>
      <c r="AE26" s="9" t="str">
        <f t="shared" si="2"/>
        <v>Rural</v>
      </c>
      <c r="AF26" s="9" t="str">
        <f t="shared" si="3"/>
        <v>Cooperativa de eletrificação rural</v>
      </c>
      <c r="AG26" s="9" t="str">
        <f t="shared" si="4"/>
        <v>Não se aplica</v>
      </c>
      <c r="AH26" s="9">
        <v>1</v>
      </c>
      <c r="AI26" s="9">
        <f ca="1">TarifaMedia!$G$20</f>
        <v>1</v>
      </c>
      <c r="AJ26" s="15">
        <f>'TE BE'!$AB26+'TE BF'!$AB26+'TE CVA'!$AB26</f>
        <v>274.24484099236821</v>
      </c>
      <c r="AK26" s="9">
        <f>ROUND(235.04/(1-CUSTOS!$M$38),2)</f>
        <v>250.04</v>
      </c>
      <c r="AL26" s="9">
        <f t="shared" ca="1" si="5"/>
        <v>-24.204840992368219</v>
      </c>
      <c r="AO26" s="81" t="s">
        <v>790</v>
      </c>
    </row>
    <row r="27" spans="1:41" ht="11.25" customHeight="1" x14ac:dyDescent="0.25">
      <c r="A27" s="150"/>
      <c r="B27" s="150"/>
      <c r="C27" s="150"/>
      <c r="D27" s="150"/>
      <c r="E27" s="150"/>
      <c r="F27" s="150"/>
      <c r="G27" s="23" t="s">
        <v>70</v>
      </c>
      <c r="H27" s="23" t="s">
        <v>68</v>
      </c>
      <c r="I27" s="23">
        <f>'MERCADO TE'!$U$24</f>
        <v>0</v>
      </c>
      <c r="J27" s="15"/>
      <c r="L27" s="20">
        <f>'TE BE'!$L$27*'TE BE'!$L$49</f>
        <v>1.527092298150929E-6</v>
      </c>
      <c r="M27" s="20">
        <f>'TE BE'!$M$27*'TE BE'!$M$49</f>
        <v>0</v>
      </c>
      <c r="N27" s="20">
        <f>'TE BE'!$N$27*'TE BE'!$N$49</f>
        <v>0</v>
      </c>
      <c r="O27" s="20">
        <f>'TE BE'!$O$27*'TE BE'!$O$49</f>
        <v>-9.9289898267227242E-3</v>
      </c>
      <c r="P27" s="20">
        <f>'TE BE'!$P$27*'TE BE'!$P$49</f>
        <v>0</v>
      </c>
      <c r="Q27" s="20">
        <f>SUM($L$27:$P$27)</f>
        <v>-9.927462734424573E-3</v>
      </c>
      <c r="R27" s="20">
        <f>'TE BE'!$R$27*'TE BE'!$R$49</f>
        <v>7.3503614411371156</v>
      </c>
      <c r="S27" s="20">
        <f>SUM($R$27:$R$27)</f>
        <v>7.3503614411371156</v>
      </c>
      <c r="T27" s="20">
        <f>'TE BE'!$T$27*'TE BE'!$T$49</f>
        <v>0</v>
      </c>
      <c r="U27" s="20">
        <f>'TE BE'!$U$27*'TE BE'!$U$49</f>
        <v>0</v>
      </c>
      <c r="V27" s="20">
        <f>'TE BE'!$V$27*'TE BE'!$V$49</f>
        <v>0</v>
      </c>
      <c r="W27" s="20">
        <f>SUM($T$27:$V$27)</f>
        <v>0</v>
      </c>
      <c r="X27" s="20">
        <f>'TE BE'!$AB$27*'TE BE'!$X$49</f>
        <v>0</v>
      </c>
      <c r="Y27" s="20">
        <f>SUM($X$27:$X$27)</f>
        <v>0</v>
      </c>
      <c r="Z27" s="20">
        <f>'TE BE'!$Z$27*'TE BE'!$Z$49</f>
        <v>0</v>
      </c>
      <c r="AA27" s="20">
        <f>SUM($Z$27:$Z$27)</f>
        <v>0</v>
      </c>
      <c r="AB27" s="20">
        <f ca="1">SUMIF($L$4:$AA$4,"SUBTOTAL",$L$27:$AA$27)+AL27</f>
        <v>-16.864407013965526</v>
      </c>
      <c r="AC27" s="9" t="str">
        <f t="shared" si="0"/>
        <v>B2</v>
      </c>
      <c r="AD27" s="9" t="str">
        <f t="shared" si="1"/>
        <v>Energia horária</v>
      </c>
      <c r="AE27" s="9" t="str">
        <f t="shared" si="2"/>
        <v>Rural</v>
      </c>
      <c r="AF27" s="9" t="str">
        <f t="shared" si="3"/>
        <v>Cooperativa de eletrificação rural</v>
      </c>
      <c r="AG27" s="9" t="str">
        <f t="shared" si="4"/>
        <v>Não se aplica</v>
      </c>
      <c r="AH27" s="9">
        <v>1</v>
      </c>
      <c r="AI27" s="9">
        <f ca="1">TarifaMedia!$G$20</f>
        <v>1</v>
      </c>
      <c r="AJ27" s="15">
        <f>'TE BE'!$AB27+'TE BF'!$AB27+'TE CVA'!$AB27</f>
        <v>274.24484099236821</v>
      </c>
      <c r="AK27" s="9">
        <f>ROUND(235.04/(1-CUSTOS!$M$38),2)</f>
        <v>250.04</v>
      </c>
      <c r="AL27" s="9">
        <f t="shared" ca="1" si="5"/>
        <v>-24.204840992368219</v>
      </c>
      <c r="AO27" s="81" t="s">
        <v>791</v>
      </c>
    </row>
    <row r="28" spans="1:41" ht="11.25" customHeight="1" x14ac:dyDescent="0.25">
      <c r="A28" s="150"/>
      <c r="B28" s="22" t="s">
        <v>71</v>
      </c>
      <c r="C28" s="22" t="s">
        <v>42</v>
      </c>
      <c r="D28" s="22" t="s">
        <v>85</v>
      </c>
      <c r="E28" s="22" t="s">
        <v>25</v>
      </c>
      <c r="F28" s="22" t="s">
        <v>25</v>
      </c>
      <c r="G28" s="23" t="s">
        <v>72</v>
      </c>
      <c r="H28" s="23" t="s">
        <v>68</v>
      </c>
      <c r="I28" s="23">
        <f>'MERCADO TE'!$U$25</f>
        <v>0</v>
      </c>
      <c r="J28" s="15"/>
      <c r="L28" s="20">
        <f>'TE BE'!$L$28*'TE BE'!$L$49</f>
        <v>1.527092298150929E-6</v>
      </c>
      <c r="M28" s="20">
        <f>'TE BE'!$M$28*'TE BE'!$M$49</f>
        <v>0</v>
      </c>
      <c r="N28" s="20">
        <f>'TE BE'!$N$28*'TE BE'!$N$49</f>
        <v>0</v>
      </c>
      <c r="O28" s="20">
        <f>'TE BE'!$O$28*'TE BE'!$O$49</f>
        <v>-9.9289898267227242E-3</v>
      </c>
      <c r="P28" s="20">
        <f>'TE BE'!$P$28*'TE BE'!$P$49</f>
        <v>0</v>
      </c>
      <c r="Q28" s="20">
        <f>SUM($L$28:$P$28)</f>
        <v>-9.927462734424573E-3</v>
      </c>
      <c r="R28" s="20">
        <f>'TE BE'!$R$28*'TE BE'!$R$49</f>
        <v>7.7913831276053429</v>
      </c>
      <c r="S28" s="20">
        <f>SUM($R$28:$R$28)</f>
        <v>7.7913831276053429</v>
      </c>
      <c r="T28" s="20">
        <f>'TE BE'!$T$28*'TE BE'!$T$49</f>
        <v>0</v>
      </c>
      <c r="U28" s="20">
        <f>'TE BE'!$U$28*'TE BE'!$U$49</f>
        <v>0</v>
      </c>
      <c r="V28" s="20">
        <f>'TE BE'!$V$28*'TE BE'!$V$49</f>
        <v>0</v>
      </c>
      <c r="W28" s="20">
        <f>SUM($T$28:$V$28)</f>
        <v>0</v>
      </c>
      <c r="X28" s="20">
        <f>'TE BE'!$AB$28*'TE BE'!$X$49</f>
        <v>0</v>
      </c>
      <c r="Y28" s="20">
        <f>SUM($X$28:$X$28)</f>
        <v>0</v>
      </c>
      <c r="Z28" s="20">
        <f>'TE BE'!$Z$28*'TE BE'!$Z$49</f>
        <v>0</v>
      </c>
      <c r="AA28" s="20">
        <f>SUM($Z$28:$Z$28)</f>
        <v>0</v>
      </c>
      <c r="AB28" s="20">
        <f ca="1">SUMIF($L$4:$AA$4,"SUBTOTAL",$L$28:$AA$28)+AL28</f>
        <v>-20.218407072914715</v>
      </c>
      <c r="AC28" s="9" t="str">
        <f t="shared" si="0"/>
        <v>B2</v>
      </c>
      <c r="AD28" s="9" t="str">
        <f t="shared" si="1"/>
        <v>Energia convencional</v>
      </c>
      <c r="AE28" s="9" t="str">
        <f t="shared" si="2"/>
        <v>Rural</v>
      </c>
      <c r="AF28" s="9" t="str">
        <f t="shared" si="3"/>
        <v>Cooperativa de eletrificação rural</v>
      </c>
      <c r="AG28" s="9" t="str">
        <f t="shared" si="4"/>
        <v>Não se aplica</v>
      </c>
      <c r="AH28" s="9">
        <v>1</v>
      </c>
      <c r="AI28" s="9">
        <f ca="1">TarifaMedia!$G$20</f>
        <v>1</v>
      </c>
      <c r="AJ28" s="15">
        <f>'TE BE'!$AB28+'TE BF'!$AB28+'TE CVA'!$AB28</f>
        <v>290.52986273778561</v>
      </c>
      <c r="AK28" s="9">
        <v>262.52999999999997</v>
      </c>
      <c r="AL28" s="9">
        <f t="shared" ca="1" si="5"/>
        <v>-27.999862737785634</v>
      </c>
      <c r="AO28" s="81" t="s">
        <v>785</v>
      </c>
    </row>
    <row r="29" spans="1:41" ht="11.25" customHeight="1" x14ac:dyDescent="0.25">
      <c r="A29" s="150"/>
      <c r="B29" s="150" t="s">
        <v>67</v>
      </c>
      <c r="C29" s="150" t="s">
        <v>42</v>
      </c>
      <c r="D29" s="150" t="s">
        <v>86</v>
      </c>
      <c r="E29" s="150" t="s">
        <v>25</v>
      </c>
      <c r="F29" s="150" t="s">
        <v>25</v>
      </c>
      <c r="G29" s="23" t="s">
        <v>69</v>
      </c>
      <c r="H29" s="23" t="s">
        <v>68</v>
      </c>
      <c r="I29" s="23">
        <f>'MERCADO TE'!$U$26</f>
        <v>0</v>
      </c>
      <c r="J29" s="15"/>
      <c r="L29" s="20">
        <f>'TE BE'!$L$29*'TE BE'!$L$49</f>
        <v>1.527092298150929E-6</v>
      </c>
      <c r="M29" s="20">
        <f>'TE BE'!$M$29*'TE BE'!$M$49</f>
        <v>0</v>
      </c>
      <c r="N29" s="20">
        <f>'TE BE'!$N$29*'TE BE'!$N$49</f>
        <v>0</v>
      </c>
      <c r="O29" s="20">
        <f>'TE BE'!$O$29*'TE BE'!$O$49</f>
        <v>-9.9289898267227242E-3</v>
      </c>
      <c r="P29" s="20">
        <f>'TE BE'!$P$29*'TE BE'!$P$49</f>
        <v>0</v>
      </c>
      <c r="Q29" s="20">
        <f>SUM($L$29:$P$29)</f>
        <v>-9.927462734424573E-3</v>
      </c>
      <c r="R29" s="20">
        <f>'TE BE'!$R$29*'TE BE'!$R$49</f>
        <v>12.642621678755839</v>
      </c>
      <c r="S29" s="20">
        <f>SUM($R$29:$R$29)</f>
        <v>12.642621678755839</v>
      </c>
      <c r="T29" s="20">
        <f>'TE BE'!$T$29*'TE BE'!$T$49</f>
        <v>0</v>
      </c>
      <c r="U29" s="20">
        <f>'TE BE'!$U$29*'TE BE'!$U$49</f>
        <v>0</v>
      </c>
      <c r="V29" s="20">
        <f>'TE BE'!$V$29*'TE BE'!$V$49</f>
        <v>0</v>
      </c>
      <c r="W29" s="20">
        <f>SUM($T$29:$V$29)</f>
        <v>0</v>
      </c>
      <c r="X29" s="20">
        <f>'TE BE'!$AB$29*'TE BE'!$X$49</f>
        <v>0</v>
      </c>
      <c r="Y29" s="20">
        <f>SUM($X$29:$X$29)</f>
        <v>0</v>
      </c>
      <c r="Z29" s="20">
        <f>'TE BE'!$Z$29*'TE BE'!$Z$49</f>
        <v>0</v>
      </c>
      <c r="AA29" s="20">
        <f>SUM($Z$29:$Z$29)</f>
        <v>0</v>
      </c>
      <c r="AB29" s="20">
        <f ca="1">SUMIF($L$4:$AA$4,"SUBTOTAL",$L$29:$AA$29)+AL29</f>
        <v>-57.192407721355288</v>
      </c>
      <c r="AC29" s="9" t="str">
        <f t="shared" si="0"/>
        <v>B2</v>
      </c>
      <c r="AD29" s="9" t="str">
        <f t="shared" si="1"/>
        <v>Energia horária</v>
      </c>
      <c r="AE29" s="9" t="str">
        <f t="shared" si="2"/>
        <v>Rural</v>
      </c>
      <c r="AF29" s="9" t="str">
        <f t="shared" si="3"/>
        <v>Serviço público de irrigação rural</v>
      </c>
      <c r="AG29" s="9" t="str">
        <f t="shared" si="4"/>
        <v>Não se aplica</v>
      </c>
      <c r="AH29" s="9">
        <v>1</v>
      </c>
      <c r="AI29" s="9">
        <f ca="1">TarifaMedia!$G$20</f>
        <v>1</v>
      </c>
      <c r="AJ29" s="15">
        <f>'TE BE'!$AB29+'TE BF'!$AB29+'TE CVA'!$AB29</f>
        <v>469.66510193737668</v>
      </c>
      <c r="AK29" s="9">
        <f>ROUND(375.85/(1-CUSTOS!$M$38),2)</f>
        <v>399.84</v>
      </c>
      <c r="AL29" s="9">
        <f t="shared" ca="1" si="5"/>
        <v>-69.825101937376701</v>
      </c>
      <c r="AO29" s="81" t="s">
        <v>789</v>
      </c>
    </row>
    <row r="30" spans="1:41" ht="11.25" customHeight="1" x14ac:dyDescent="0.25">
      <c r="A30" s="150"/>
      <c r="B30" s="150"/>
      <c r="C30" s="150"/>
      <c r="D30" s="150"/>
      <c r="E30" s="150"/>
      <c r="F30" s="150"/>
      <c r="G30" s="23" t="s">
        <v>82</v>
      </c>
      <c r="H30" s="23" t="s">
        <v>68</v>
      </c>
      <c r="I30" s="23">
        <f>'MERCADO TE'!$U$27</f>
        <v>0</v>
      </c>
      <c r="J30" s="15"/>
      <c r="L30" s="20">
        <f>'TE BE'!$L$30*'TE BE'!$L$49</f>
        <v>1.527092298150929E-6</v>
      </c>
      <c r="M30" s="20">
        <f>'TE BE'!$M$30*'TE BE'!$M$49</f>
        <v>0</v>
      </c>
      <c r="N30" s="20">
        <f>'TE BE'!$N$30*'TE BE'!$N$49</f>
        <v>0</v>
      </c>
      <c r="O30" s="20">
        <f>'TE BE'!$O$30*'TE BE'!$O$49</f>
        <v>-9.9289898267227242E-3</v>
      </c>
      <c r="P30" s="20">
        <f>'TE BE'!$P$30*'TE BE'!$P$49</f>
        <v>0</v>
      </c>
      <c r="Q30" s="20">
        <f>SUM($L$30:$P$30)</f>
        <v>-9.927462734424573E-3</v>
      </c>
      <c r="R30" s="20">
        <f>'TE BE'!$R$30*'TE BE'!$R$49</f>
        <v>7.3503614411371156</v>
      </c>
      <c r="S30" s="20">
        <f>SUM($R$30:$R$30)</f>
        <v>7.3503614411371156</v>
      </c>
      <c r="T30" s="20">
        <f>'TE BE'!$T$30*'TE BE'!$T$49</f>
        <v>0</v>
      </c>
      <c r="U30" s="20">
        <f>'TE BE'!$U$30*'TE BE'!$U$49</f>
        <v>0</v>
      </c>
      <c r="V30" s="20">
        <f>'TE BE'!$V$30*'TE BE'!$V$49</f>
        <v>0</v>
      </c>
      <c r="W30" s="20">
        <f>SUM($T$30:$V$30)</f>
        <v>0</v>
      </c>
      <c r="X30" s="20">
        <f>'TE BE'!$AB$30*'TE BE'!$X$49</f>
        <v>0</v>
      </c>
      <c r="Y30" s="20">
        <f>SUM($X$30:$X$30)</f>
        <v>0</v>
      </c>
      <c r="Z30" s="20">
        <f>'TE BE'!$Z$30*'TE BE'!$Z$49</f>
        <v>0</v>
      </c>
      <c r="AA30" s="20">
        <f>SUM($Z$30:$Z$30)</f>
        <v>0</v>
      </c>
      <c r="AB30" s="20">
        <f ca="1">SUMIF($L$4:$AA$4,"SUBTOTAL",$L$30:$AA$30)+AL30</f>
        <v>-16.864407013965526</v>
      </c>
      <c r="AC30" s="9" t="str">
        <f t="shared" si="0"/>
        <v>B2</v>
      </c>
      <c r="AD30" s="9" t="str">
        <f t="shared" si="1"/>
        <v>Energia horária</v>
      </c>
      <c r="AE30" s="9" t="str">
        <f t="shared" si="2"/>
        <v>Rural</v>
      </c>
      <c r="AF30" s="9" t="str">
        <f t="shared" si="3"/>
        <v>Serviço público de irrigação rural</v>
      </c>
      <c r="AG30" s="9" t="str">
        <f t="shared" si="4"/>
        <v>Não se aplica</v>
      </c>
      <c r="AH30" s="9">
        <v>1</v>
      </c>
      <c r="AI30" s="9">
        <f ca="1">TarifaMedia!$G$20</f>
        <v>1</v>
      </c>
      <c r="AJ30" s="15">
        <f>'TE BE'!$AB30+'TE BF'!$AB30+'TE CVA'!$AB30</f>
        <v>274.24484099236821</v>
      </c>
      <c r="AK30" s="9">
        <f>ROUND(235.04/(1-CUSTOS!$M$38),2)</f>
        <v>250.04</v>
      </c>
      <c r="AL30" s="9">
        <f t="shared" ca="1" si="5"/>
        <v>-24.204840992368219</v>
      </c>
      <c r="AO30" s="81" t="s">
        <v>790</v>
      </c>
    </row>
    <row r="31" spans="1:41" ht="11.25" customHeight="1" x14ac:dyDescent="0.25">
      <c r="A31" s="150"/>
      <c r="B31" s="150"/>
      <c r="C31" s="150"/>
      <c r="D31" s="150"/>
      <c r="E31" s="150"/>
      <c r="F31" s="150"/>
      <c r="G31" s="23" t="s">
        <v>70</v>
      </c>
      <c r="H31" s="23" t="s">
        <v>68</v>
      </c>
      <c r="I31" s="23">
        <f>'MERCADO TE'!$U$28</f>
        <v>0</v>
      </c>
      <c r="J31" s="15"/>
      <c r="L31" s="20">
        <f>'TE BE'!$L$31*'TE BE'!$L$49</f>
        <v>1.527092298150929E-6</v>
      </c>
      <c r="M31" s="20">
        <f>'TE BE'!$M$31*'TE BE'!$M$49</f>
        <v>0</v>
      </c>
      <c r="N31" s="20">
        <f>'TE BE'!$N$31*'TE BE'!$N$49</f>
        <v>0</v>
      </c>
      <c r="O31" s="20">
        <f>'TE BE'!$O$31*'TE BE'!$O$49</f>
        <v>-9.9289898267227242E-3</v>
      </c>
      <c r="P31" s="20">
        <f>'TE BE'!$P$31*'TE BE'!$P$49</f>
        <v>0</v>
      </c>
      <c r="Q31" s="20">
        <f>SUM($L$31:$P$31)</f>
        <v>-9.927462734424573E-3</v>
      </c>
      <c r="R31" s="20">
        <f>'TE BE'!$R$31*'TE BE'!$R$49</f>
        <v>7.3503614411371156</v>
      </c>
      <c r="S31" s="20">
        <f>SUM($R$31:$R$31)</f>
        <v>7.3503614411371156</v>
      </c>
      <c r="T31" s="20">
        <f>'TE BE'!$T$31*'TE BE'!$T$49</f>
        <v>0</v>
      </c>
      <c r="U31" s="20">
        <f>'TE BE'!$U$31*'TE BE'!$U$49</f>
        <v>0</v>
      </c>
      <c r="V31" s="20">
        <f>'TE BE'!$V$31*'TE BE'!$V$49</f>
        <v>0</v>
      </c>
      <c r="W31" s="20">
        <f>SUM($T$31:$V$31)</f>
        <v>0</v>
      </c>
      <c r="X31" s="20">
        <f>'TE BE'!$AB$31*'TE BE'!$X$49</f>
        <v>0</v>
      </c>
      <c r="Y31" s="20">
        <f>SUM($X$31:$X$31)</f>
        <v>0</v>
      </c>
      <c r="Z31" s="20">
        <f>'TE BE'!$Z$31*'TE BE'!$Z$49</f>
        <v>0</v>
      </c>
      <c r="AA31" s="20">
        <f>SUM($Z$31:$Z$31)</f>
        <v>0</v>
      </c>
      <c r="AB31" s="20">
        <f ca="1">SUMIF($L$4:$AA$4,"SUBTOTAL",$L$31:$AA$31)+AL31</f>
        <v>-16.864407013965526</v>
      </c>
      <c r="AC31" s="9" t="str">
        <f t="shared" si="0"/>
        <v>B2</v>
      </c>
      <c r="AD31" s="9" t="str">
        <f t="shared" si="1"/>
        <v>Energia horária</v>
      </c>
      <c r="AE31" s="9" t="str">
        <f t="shared" si="2"/>
        <v>Rural</v>
      </c>
      <c r="AF31" s="9" t="str">
        <f t="shared" si="3"/>
        <v>Serviço público de irrigação rural</v>
      </c>
      <c r="AG31" s="9" t="str">
        <f t="shared" si="4"/>
        <v>Não se aplica</v>
      </c>
      <c r="AH31" s="9">
        <v>1</v>
      </c>
      <c r="AI31" s="9">
        <f ca="1">TarifaMedia!$G$20</f>
        <v>1</v>
      </c>
      <c r="AJ31" s="15">
        <f>'TE BE'!$AB31+'TE BF'!$AB31+'TE CVA'!$AB31</f>
        <v>274.24484099236821</v>
      </c>
      <c r="AK31" s="9">
        <f>ROUND(235.04/(1-CUSTOS!$M$38),2)</f>
        <v>250.04</v>
      </c>
      <c r="AL31" s="9">
        <f t="shared" ca="1" si="5"/>
        <v>-24.204840992368219</v>
      </c>
      <c r="AO31" s="81" t="s">
        <v>791</v>
      </c>
    </row>
    <row r="32" spans="1:41" ht="11.25" customHeight="1" x14ac:dyDescent="0.25">
      <c r="A32" s="150"/>
      <c r="B32" s="22" t="s">
        <v>71</v>
      </c>
      <c r="C32" s="22" t="s">
        <v>42</v>
      </c>
      <c r="D32" s="22" t="s">
        <v>86</v>
      </c>
      <c r="E32" s="22" t="s">
        <v>25</v>
      </c>
      <c r="F32" s="22" t="s">
        <v>25</v>
      </c>
      <c r="G32" s="23" t="s">
        <v>72</v>
      </c>
      <c r="H32" s="23" t="s">
        <v>68</v>
      </c>
      <c r="I32" s="23">
        <f>'MERCADO TE'!$U$29</f>
        <v>0</v>
      </c>
      <c r="J32" s="15"/>
      <c r="L32" s="20">
        <f>'TE BE'!$L$32*'TE BE'!$L$49</f>
        <v>1.527092298150929E-6</v>
      </c>
      <c r="M32" s="20">
        <f>'TE BE'!$M$32*'TE BE'!$M$49</f>
        <v>0</v>
      </c>
      <c r="N32" s="20">
        <f>'TE BE'!$N$32*'TE BE'!$N$49</f>
        <v>0</v>
      </c>
      <c r="O32" s="20">
        <f>'TE BE'!$O$32*'TE BE'!$O$49</f>
        <v>-9.9289898267227242E-3</v>
      </c>
      <c r="P32" s="20">
        <f>'TE BE'!$P$32*'TE BE'!$P$49</f>
        <v>0</v>
      </c>
      <c r="Q32" s="20">
        <f>SUM($L$32:$P$32)</f>
        <v>-9.927462734424573E-3</v>
      </c>
      <c r="R32" s="20">
        <f>'TE BE'!$R$32*'TE BE'!$R$49</f>
        <v>7.7913831276053429</v>
      </c>
      <c r="S32" s="20">
        <f>SUM($R$32:$R$32)</f>
        <v>7.7913831276053429</v>
      </c>
      <c r="T32" s="20">
        <f>'TE BE'!$T$32*'TE BE'!$T$49</f>
        <v>0</v>
      </c>
      <c r="U32" s="20">
        <f>'TE BE'!$U$32*'TE BE'!$U$49</f>
        <v>0</v>
      </c>
      <c r="V32" s="20">
        <f>'TE BE'!$V$32*'TE BE'!$V$49</f>
        <v>0</v>
      </c>
      <c r="W32" s="20">
        <f>SUM($T$32:$V$32)</f>
        <v>0</v>
      </c>
      <c r="X32" s="20">
        <f>'TE BE'!$AB$32*'TE BE'!$X$49</f>
        <v>0</v>
      </c>
      <c r="Y32" s="20">
        <f>SUM($X$32:$X$32)</f>
        <v>0</v>
      </c>
      <c r="Z32" s="20">
        <f>'TE BE'!$Z$32*'TE BE'!$Z$49</f>
        <v>0</v>
      </c>
      <c r="AA32" s="20">
        <f>SUM($Z$32:$Z$32)</f>
        <v>0</v>
      </c>
      <c r="AB32" s="20">
        <f ca="1">SUMIF($L$4:$AA$4,"SUBTOTAL",$L$32:$AA$32)+AL32</f>
        <v>-20.218407072914715</v>
      </c>
      <c r="AC32" s="9" t="str">
        <f t="shared" si="0"/>
        <v>B2</v>
      </c>
      <c r="AD32" s="9" t="str">
        <f t="shared" si="1"/>
        <v>Energia convencional</v>
      </c>
      <c r="AE32" s="9" t="str">
        <f t="shared" si="2"/>
        <v>Rural</v>
      </c>
      <c r="AF32" s="9" t="str">
        <f t="shared" si="3"/>
        <v>Serviço público de irrigação rural</v>
      </c>
      <c r="AG32" s="9" t="str">
        <f t="shared" si="4"/>
        <v>Não se aplica</v>
      </c>
      <c r="AH32" s="9">
        <v>1</v>
      </c>
      <c r="AI32" s="9">
        <f ca="1">TarifaMedia!$G$20</f>
        <v>1</v>
      </c>
      <c r="AJ32" s="15">
        <f>'TE BE'!$AB32+'TE BF'!$AB32+'TE CVA'!$AB32</f>
        <v>290.52986273778561</v>
      </c>
      <c r="AK32" s="9">
        <v>262.52999999999997</v>
      </c>
      <c r="AL32" s="9">
        <f t="shared" ca="1" si="5"/>
        <v>-27.999862737785634</v>
      </c>
      <c r="AO32" s="81" t="s">
        <v>785</v>
      </c>
    </row>
    <row r="33" spans="1:41" ht="11.25" customHeight="1" x14ac:dyDescent="0.25">
      <c r="A33" s="150"/>
      <c r="B33" s="150" t="s">
        <v>83</v>
      </c>
      <c r="C33" s="150" t="s">
        <v>42</v>
      </c>
      <c r="D33" s="22" t="s">
        <v>25</v>
      </c>
      <c r="E33" s="22" t="s">
        <v>25</v>
      </c>
      <c r="F33" s="22" t="s">
        <v>25</v>
      </c>
      <c r="G33" s="23" t="s">
        <v>72</v>
      </c>
      <c r="H33" s="23" t="s">
        <v>68</v>
      </c>
      <c r="I33" s="23">
        <f>'MERCADO TE'!$U$30</f>
        <v>0</v>
      </c>
      <c r="J33" s="15"/>
      <c r="L33" s="20">
        <f>'TE BE'!$L$33*'TE BE'!$L$49</f>
        <v>1.527092298150929E-6</v>
      </c>
      <c r="M33" s="20">
        <f>'TE BE'!$M$33*'TE BE'!$M$49</f>
        <v>0</v>
      </c>
      <c r="N33" s="20">
        <f>'TE BE'!$N$33*'TE BE'!$N$49</f>
        <v>0</v>
      </c>
      <c r="O33" s="20">
        <f>'TE BE'!$O$33*'TE BE'!$O$49</f>
        <v>-9.9289898267227242E-3</v>
      </c>
      <c r="P33" s="20">
        <f>'TE BE'!$P$33*'TE BE'!$P$49</f>
        <v>0</v>
      </c>
      <c r="Q33" s="20">
        <f>SUM($L$33:$P$33)</f>
        <v>-9.927462734424573E-3</v>
      </c>
      <c r="R33" s="20">
        <f>'TE BE'!$R$33*'TE BE'!$R$49</f>
        <v>7.7913831276053429</v>
      </c>
      <c r="S33" s="20">
        <f>SUM($R$33:$R$33)</f>
        <v>7.7913831276053429</v>
      </c>
      <c r="T33" s="20">
        <f>'TE BE'!$T$33*'TE BE'!$T$49</f>
        <v>0</v>
      </c>
      <c r="U33" s="20">
        <f>'TE BE'!$U$33*'TE BE'!$U$49</f>
        <v>0</v>
      </c>
      <c r="V33" s="20">
        <f>'TE BE'!$V$33*'TE BE'!$V$49</f>
        <v>0</v>
      </c>
      <c r="W33" s="20">
        <f>SUM($T$33:$V$33)</f>
        <v>0</v>
      </c>
      <c r="X33" s="20">
        <f>'TE BE'!$AB$33*'TE BE'!$X$49</f>
        <v>0</v>
      </c>
      <c r="Y33" s="20">
        <f>SUM($X$33:$X$33)</f>
        <v>0</v>
      </c>
      <c r="Z33" s="20">
        <f>'TE BE'!$Z$33*'TE BE'!$Z$49</f>
        <v>0</v>
      </c>
      <c r="AA33" s="20">
        <f>SUM($Z$33:$Z$33)</f>
        <v>0</v>
      </c>
      <c r="AB33" s="20">
        <f ca="1">SUMIF($L$4:$AA$4,"SUBTOTAL",$L$33:$AA$33)+AL33</f>
        <v>-20.218407072914715</v>
      </c>
      <c r="AC33" s="9" t="str">
        <f t="shared" si="0"/>
        <v>B2</v>
      </c>
      <c r="AD33" s="9" t="str">
        <f t="shared" si="1"/>
        <v>Energia convencional pré-pagamento</v>
      </c>
      <c r="AE33" s="9" t="str">
        <f t="shared" si="2"/>
        <v>Rural</v>
      </c>
      <c r="AF33" s="9" t="str">
        <f t="shared" si="3"/>
        <v>Não se aplica</v>
      </c>
      <c r="AG33" s="9" t="str">
        <f t="shared" si="4"/>
        <v>Não se aplica</v>
      </c>
      <c r="AH33" s="9">
        <v>1</v>
      </c>
      <c r="AI33" s="9">
        <f ca="1">TarifaMedia!$G$20</f>
        <v>1</v>
      </c>
      <c r="AJ33" s="15">
        <f>'TE BE'!$AB33+'TE BF'!$AB33+'TE CVA'!$AB33</f>
        <v>290.52986273778561</v>
      </c>
      <c r="AK33" s="9">
        <v>262.52999999999997</v>
      </c>
      <c r="AL33" s="9">
        <f t="shared" ca="1" si="5"/>
        <v>-27.999862737785634</v>
      </c>
      <c r="AO33" s="81" t="s">
        <v>785</v>
      </c>
    </row>
    <row r="34" spans="1:41" ht="11.25" customHeight="1" x14ac:dyDescent="0.25">
      <c r="A34" s="150"/>
      <c r="B34" s="150"/>
      <c r="C34" s="150"/>
      <c r="D34" s="22" t="s">
        <v>85</v>
      </c>
      <c r="E34" s="22" t="s">
        <v>25</v>
      </c>
      <c r="F34" s="22" t="s">
        <v>25</v>
      </c>
      <c r="G34" s="23" t="s">
        <v>72</v>
      </c>
      <c r="H34" s="23" t="s">
        <v>68</v>
      </c>
      <c r="I34" s="23">
        <f>'MERCADO TE'!$U$31</f>
        <v>0</v>
      </c>
      <c r="J34" s="15"/>
      <c r="L34" s="20">
        <f>'TE BE'!$L$34*'TE BE'!$L$49</f>
        <v>1.527092298150929E-6</v>
      </c>
      <c r="M34" s="20">
        <f>'TE BE'!$M$34*'TE BE'!$M$49</f>
        <v>0</v>
      </c>
      <c r="N34" s="20">
        <f>'TE BE'!$N$34*'TE BE'!$N$49</f>
        <v>0</v>
      </c>
      <c r="O34" s="20">
        <f>'TE BE'!$O$34*'TE BE'!$O$49</f>
        <v>-9.9289898267227242E-3</v>
      </c>
      <c r="P34" s="20">
        <f>'TE BE'!$P$34*'TE BE'!$P$49</f>
        <v>0</v>
      </c>
      <c r="Q34" s="20">
        <f>SUM($L$34:$P$34)</f>
        <v>-9.927462734424573E-3</v>
      </c>
      <c r="R34" s="20">
        <f>'TE BE'!$R$34*'TE BE'!$R$49</f>
        <v>7.7913831276053429</v>
      </c>
      <c r="S34" s="20">
        <f>SUM($R$34:$R$34)</f>
        <v>7.7913831276053429</v>
      </c>
      <c r="T34" s="20">
        <f>'TE BE'!$T$34*'TE BE'!$T$49</f>
        <v>0</v>
      </c>
      <c r="U34" s="20">
        <f>'TE BE'!$U$34*'TE BE'!$U$49</f>
        <v>0</v>
      </c>
      <c r="V34" s="20">
        <f>'TE BE'!$V$34*'TE BE'!$V$49</f>
        <v>0</v>
      </c>
      <c r="W34" s="20">
        <f>SUM($T$34:$V$34)</f>
        <v>0</v>
      </c>
      <c r="X34" s="20">
        <f>'TE BE'!$AB$34*'TE BE'!$X$49</f>
        <v>0</v>
      </c>
      <c r="Y34" s="20">
        <f>SUM($X$34:$X$34)</f>
        <v>0</v>
      </c>
      <c r="Z34" s="20">
        <f>'TE BE'!$Z$34*'TE BE'!$Z$49</f>
        <v>0</v>
      </c>
      <c r="AA34" s="20">
        <f>SUM($Z$34:$Z$34)</f>
        <v>0</v>
      </c>
      <c r="AB34" s="20">
        <f ca="1">SUMIF($L$4:$AA$4,"SUBTOTAL",$L$34:$AA$34)+AL34</f>
        <v>-20.218407072914715</v>
      </c>
      <c r="AC34" s="9" t="str">
        <f t="shared" si="0"/>
        <v>B2</v>
      </c>
      <c r="AD34" s="9" t="str">
        <f t="shared" si="1"/>
        <v>Energia convencional pré-pagamento</v>
      </c>
      <c r="AE34" s="9" t="str">
        <f t="shared" si="2"/>
        <v>Rural</v>
      </c>
      <c r="AF34" s="9" t="str">
        <f t="shared" si="3"/>
        <v>Cooperativa de eletrificação rural</v>
      </c>
      <c r="AG34" s="9" t="str">
        <f t="shared" si="4"/>
        <v>Não se aplica</v>
      </c>
      <c r="AH34" s="9">
        <v>1</v>
      </c>
      <c r="AI34" s="9">
        <f ca="1">TarifaMedia!$G$20</f>
        <v>1</v>
      </c>
      <c r="AJ34" s="15">
        <f>'TE BE'!$AB34+'TE BF'!$AB34+'TE CVA'!$AB34</f>
        <v>290.52986273778561</v>
      </c>
      <c r="AK34" s="9">
        <v>262.52999999999997</v>
      </c>
      <c r="AL34" s="9">
        <f t="shared" ca="1" si="5"/>
        <v>-27.999862737785634</v>
      </c>
      <c r="AO34" s="81" t="s">
        <v>785</v>
      </c>
    </row>
    <row r="35" spans="1:41" ht="11.25" customHeight="1" x14ac:dyDescent="0.25">
      <c r="A35" s="150"/>
      <c r="B35" s="150"/>
      <c r="C35" s="150"/>
      <c r="D35" s="22" t="s">
        <v>86</v>
      </c>
      <c r="E35" s="22" t="s">
        <v>25</v>
      </c>
      <c r="F35" s="22" t="s">
        <v>25</v>
      </c>
      <c r="G35" s="23" t="s">
        <v>72</v>
      </c>
      <c r="H35" s="23" t="s">
        <v>68</v>
      </c>
      <c r="I35" s="23">
        <f>'MERCADO TE'!$U$32</f>
        <v>0</v>
      </c>
      <c r="J35" s="15"/>
      <c r="L35" s="20">
        <f>'TE BE'!$L$35*'TE BE'!$L$49</f>
        <v>1.527092298150929E-6</v>
      </c>
      <c r="M35" s="20">
        <f>'TE BE'!$M$35*'TE BE'!$M$49</f>
        <v>0</v>
      </c>
      <c r="N35" s="20">
        <f>'TE BE'!$N$35*'TE BE'!$N$49</f>
        <v>0</v>
      </c>
      <c r="O35" s="20">
        <f>'TE BE'!$O$35*'TE BE'!$O$49</f>
        <v>-9.9289898267227242E-3</v>
      </c>
      <c r="P35" s="20">
        <f>'TE BE'!$P$35*'TE BE'!$P$49</f>
        <v>0</v>
      </c>
      <c r="Q35" s="20">
        <f>SUM($L$35:$P$35)</f>
        <v>-9.927462734424573E-3</v>
      </c>
      <c r="R35" s="20">
        <f>'TE BE'!$R$35*'TE BE'!$R$49</f>
        <v>7.7913831276053429</v>
      </c>
      <c r="S35" s="20">
        <f>SUM($R$35:$R$35)</f>
        <v>7.7913831276053429</v>
      </c>
      <c r="T35" s="20">
        <f>'TE BE'!$T$35*'TE BE'!$T$49</f>
        <v>0</v>
      </c>
      <c r="U35" s="20">
        <f>'TE BE'!$U$35*'TE BE'!$U$49</f>
        <v>0</v>
      </c>
      <c r="V35" s="20">
        <f>'TE BE'!$V$35*'TE BE'!$V$49</f>
        <v>0</v>
      </c>
      <c r="W35" s="20">
        <f>SUM($T$35:$V$35)</f>
        <v>0</v>
      </c>
      <c r="X35" s="20">
        <f>'TE BE'!$AB$35*'TE BE'!$X$49</f>
        <v>0</v>
      </c>
      <c r="Y35" s="20">
        <f>SUM($X$35:$X$35)</f>
        <v>0</v>
      </c>
      <c r="Z35" s="20">
        <f>'TE BE'!$Z$35*'TE BE'!$Z$49</f>
        <v>0</v>
      </c>
      <c r="AA35" s="20">
        <f>SUM($Z$35:$Z$35)</f>
        <v>0</v>
      </c>
      <c r="AB35" s="20">
        <f ca="1">SUMIF($L$4:$AA$4,"SUBTOTAL",$L$35:$AA$35)+AL35</f>
        <v>-20.218407072914715</v>
      </c>
      <c r="AC35" s="9" t="str">
        <f t="shared" si="0"/>
        <v>B2</v>
      </c>
      <c r="AD35" s="9" t="str">
        <f t="shared" si="1"/>
        <v>Energia convencional pré-pagamento</v>
      </c>
      <c r="AE35" s="9" t="str">
        <f t="shared" si="2"/>
        <v>Rural</v>
      </c>
      <c r="AF35" s="9" t="str">
        <f t="shared" si="3"/>
        <v>Serviço público de irrigação rural</v>
      </c>
      <c r="AG35" s="9" t="str">
        <f t="shared" si="4"/>
        <v>Não se aplica</v>
      </c>
      <c r="AH35" s="9">
        <v>1</v>
      </c>
      <c r="AI35" s="9">
        <f ca="1">TarifaMedia!$G$20</f>
        <v>1</v>
      </c>
      <c r="AJ35" s="15">
        <f>'TE BE'!$AB35+'TE BF'!$AB35+'TE CVA'!$AB35</f>
        <v>290.52986273778561</v>
      </c>
      <c r="AK35" s="9">
        <v>262.52999999999997</v>
      </c>
      <c r="AL35" s="9">
        <f t="shared" ca="1" si="5"/>
        <v>-27.999862737785634</v>
      </c>
      <c r="AO35" s="81" t="s">
        <v>785</v>
      </c>
    </row>
    <row r="36" spans="1:41" ht="11.25" customHeight="1" x14ac:dyDescent="0.25">
      <c r="A36" s="150" t="s">
        <v>32</v>
      </c>
      <c r="B36" s="150" t="s">
        <v>67</v>
      </c>
      <c r="C36" s="150" t="s">
        <v>25</v>
      </c>
      <c r="D36" s="150" t="s">
        <v>25</v>
      </c>
      <c r="E36" s="150" t="s">
        <v>25</v>
      </c>
      <c r="F36" s="150" t="s">
        <v>25</v>
      </c>
      <c r="G36" s="23" t="s">
        <v>69</v>
      </c>
      <c r="H36" s="23" t="s">
        <v>68</v>
      </c>
      <c r="I36" s="23">
        <f>'MERCADO TE'!$U$33</f>
        <v>8.897000000000002</v>
      </c>
      <c r="J36" s="15"/>
      <c r="L36" s="20">
        <f>'TE BE'!$L$36*'TE BE'!$L$49</f>
        <v>1.527092298150929E-6</v>
      </c>
      <c r="M36" s="20">
        <f>'TE BE'!$M$36*'TE BE'!$M$49</f>
        <v>0</v>
      </c>
      <c r="N36" s="20">
        <f>'TE BE'!$N$36*'TE BE'!$N$49</f>
        <v>0</v>
      </c>
      <c r="O36" s="20">
        <f>'TE BE'!$O$36*'TE BE'!$O$49</f>
        <v>-9.9289898267227242E-3</v>
      </c>
      <c r="P36" s="20">
        <f>'TE BE'!$P$36*'TE BE'!$P$49</f>
        <v>0</v>
      </c>
      <c r="Q36" s="20">
        <f>SUM($L$36:$P$36)</f>
        <v>-9.927462734424573E-3</v>
      </c>
      <c r="R36" s="20">
        <f>'TE BE'!$R$36*'TE BE'!$R$49</f>
        <v>12.642621678755839</v>
      </c>
      <c r="S36" s="20">
        <f>SUM($R$36:$R$36)</f>
        <v>12.642621678755839</v>
      </c>
      <c r="T36" s="20">
        <f>'TE BE'!$T$36*'TE BE'!$T$49</f>
        <v>0</v>
      </c>
      <c r="U36" s="20">
        <f>'TE BE'!$U$36*'TE BE'!$U$49</f>
        <v>0</v>
      </c>
      <c r="V36" s="20">
        <f>'TE BE'!$V$36*'TE BE'!$V$49</f>
        <v>0</v>
      </c>
      <c r="W36" s="20">
        <f>SUM($T$36:$V$36)</f>
        <v>0</v>
      </c>
      <c r="X36" s="20">
        <f>'TE BE'!$AB$36*'TE BE'!$X$49</f>
        <v>0</v>
      </c>
      <c r="Y36" s="20">
        <f>SUM($X$36:$X$36)</f>
        <v>0</v>
      </c>
      <c r="Z36" s="20">
        <f>'TE BE'!$Z$36*'TE BE'!$Z$49</f>
        <v>0</v>
      </c>
      <c r="AA36" s="20">
        <f>SUM($Z$36:$Z$36)</f>
        <v>0</v>
      </c>
      <c r="AB36" s="20">
        <f ca="1">SUMIF($L$4:$AA$4,"SUBTOTAL",$L$36:$AA$36)+AL36</f>
        <v>-57.192407721355288</v>
      </c>
      <c r="AC36" s="9" t="str">
        <f t="shared" si="0"/>
        <v>B3</v>
      </c>
      <c r="AD36" s="9" t="str">
        <f t="shared" si="1"/>
        <v>Energia horária</v>
      </c>
      <c r="AE36" s="9" t="str">
        <f t="shared" si="2"/>
        <v>Não se aplica</v>
      </c>
      <c r="AF36" s="9" t="str">
        <f t="shared" si="3"/>
        <v>Não se aplica</v>
      </c>
      <c r="AG36" s="9" t="str">
        <f t="shared" si="4"/>
        <v>Não se aplica</v>
      </c>
      <c r="AH36" s="9">
        <v>1</v>
      </c>
      <c r="AI36" s="9">
        <f ca="1">TarifaMedia!$G$20</f>
        <v>1</v>
      </c>
      <c r="AJ36" s="15">
        <f>'TE BE'!$AB36+'TE BF'!$AB36+'TE CVA'!$AB36</f>
        <v>469.66510193737668</v>
      </c>
      <c r="AK36" s="9">
        <v>399.84</v>
      </c>
      <c r="AL36" s="9">
        <f t="shared" ca="1" si="5"/>
        <v>-69.825101937376701</v>
      </c>
      <c r="AO36" s="81" t="s">
        <v>792</v>
      </c>
    </row>
    <row r="37" spans="1:41" ht="11.25" customHeight="1" x14ac:dyDescent="0.25">
      <c r="A37" s="150"/>
      <c r="B37" s="150"/>
      <c r="C37" s="150"/>
      <c r="D37" s="150"/>
      <c r="E37" s="150"/>
      <c r="F37" s="150"/>
      <c r="G37" s="23" t="s">
        <v>82</v>
      </c>
      <c r="H37" s="23" t="s">
        <v>68</v>
      </c>
      <c r="I37" s="23">
        <f>'MERCADO TE'!$U$34</f>
        <v>7.0329999999999995</v>
      </c>
      <c r="J37" s="15"/>
      <c r="L37" s="20">
        <f>'TE BE'!$L$37*'TE BE'!$L$49</f>
        <v>1.527092298150929E-6</v>
      </c>
      <c r="M37" s="20">
        <f>'TE BE'!$M$37*'TE BE'!$M$49</f>
        <v>0</v>
      </c>
      <c r="N37" s="20">
        <f>'TE BE'!$N$37*'TE BE'!$N$49</f>
        <v>0</v>
      </c>
      <c r="O37" s="20">
        <f>'TE BE'!$O$37*'TE BE'!$O$49</f>
        <v>-9.9289898267227242E-3</v>
      </c>
      <c r="P37" s="20">
        <f>'TE BE'!$P$37*'TE BE'!$P$49</f>
        <v>0</v>
      </c>
      <c r="Q37" s="20">
        <f>SUM($L$37:$P$37)</f>
        <v>-9.927462734424573E-3</v>
      </c>
      <c r="R37" s="20">
        <f>'TE BE'!$R$37*'TE BE'!$R$49</f>
        <v>7.3503614411371156</v>
      </c>
      <c r="S37" s="20">
        <f>SUM($R$37:$R$37)</f>
        <v>7.3503614411371156</v>
      </c>
      <c r="T37" s="20">
        <f>'TE BE'!$T$37*'TE BE'!$T$49</f>
        <v>0</v>
      </c>
      <c r="U37" s="20">
        <f>'TE BE'!$U$37*'TE BE'!$U$49</f>
        <v>0</v>
      </c>
      <c r="V37" s="20">
        <f>'TE BE'!$V$37*'TE BE'!$V$49</f>
        <v>0</v>
      </c>
      <c r="W37" s="20">
        <f>SUM($T$37:$V$37)</f>
        <v>0</v>
      </c>
      <c r="X37" s="20">
        <f>'TE BE'!$AB$37*'TE BE'!$X$49</f>
        <v>0</v>
      </c>
      <c r="Y37" s="20">
        <f>SUM($X$37:$X$37)</f>
        <v>0</v>
      </c>
      <c r="Z37" s="20">
        <f>'TE BE'!$Z$37*'TE BE'!$Z$49</f>
        <v>0</v>
      </c>
      <c r="AA37" s="20">
        <f>SUM($Z$37:$Z$37)</f>
        <v>0</v>
      </c>
      <c r="AB37" s="20">
        <f ca="1">SUMIF($L$4:$AA$4,"SUBTOTAL",$L$37:$AA$37)+AL37</f>
        <v>-16.864407013965526</v>
      </c>
      <c r="AC37" s="9" t="str">
        <f t="shared" si="0"/>
        <v>B3</v>
      </c>
      <c r="AD37" s="9" t="str">
        <f t="shared" si="1"/>
        <v>Energia horária</v>
      </c>
      <c r="AE37" s="9" t="str">
        <f t="shared" si="2"/>
        <v>Não se aplica</v>
      </c>
      <c r="AF37" s="9" t="str">
        <f t="shared" si="3"/>
        <v>Não se aplica</v>
      </c>
      <c r="AG37" s="9" t="str">
        <f t="shared" si="4"/>
        <v>Não se aplica</v>
      </c>
      <c r="AH37" s="9">
        <v>1</v>
      </c>
      <c r="AI37" s="9">
        <f ca="1">TarifaMedia!$G$20</f>
        <v>1</v>
      </c>
      <c r="AJ37" s="15">
        <f>'TE BE'!$AB37+'TE BF'!$AB37+'TE CVA'!$AB37</f>
        <v>274.24484099236821</v>
      </c>
      <c r="AK37" s="9">
        <v>250.04</v>
      </c>
      <c r="AL37" s="9">
        <f t="shared" ca="1" si="5"/>
        <v>-24.204840992368219</v>
      </c>
      <c r="AO37" s="81" t="s">
        <v>793</v>
      </c>
    </row>
    <row r="38" spans="1:41" ht="11.25" customHeight="1" x14ac:dyDescent="0.25">
      <c r="A38" s="150"/>
      <c r="B38" s="150"/>
      <c r="C38" s="150"/>
      <c r="D38" s="150"/>
      <c r="E38" s="150"/>
      <c r="F38" s="150"/>
      <c r="G38" s="23" t="s">
        <v>70</v>
      </c>
      <c r="H38" s="23" t="s">
        <v>68</v>
      </c>
      <c r="I38" s="23">
        <f>'MERCADO TE'!$U$35</f>
        <v>183.905</v>
      </c>
      <c r="J38" s="15"/>
      <c r="L38" s="20">
        <f>'TE BE'!$L$38*'TE BE'!$L$49</f>
        <v>1.527092298150929E-6</v>
      </c>
      <c r="M38" s="20">
        <f>'TE BE'!$M$38*'TE BE'!$M$49</f>
        <v>0</v>
      </c>
      <c r="N38" s="20">
        <f>'TE BE'!$N$38*'TE BE'!$N$49</f>
        <v>0</v>
      </c>
      <c r="O38" s="20">
        <f>'TE BE'!$O$38*'TE BE'!$O$49</f>
        <v>-9.9289898267227242E-3</v>
      </c>
      <c r="P38" s="20">
        <f>'TE BE'!$P$38*'TE BE'!$P$49</f>
        <v>0</v>
      </c>
      <c r="Q38" s="20">
        <f>SUM($L$38:$P$38)</f>
        <v>-9.927462734424573E-3</v>
      </c>
      <c r="R38" s="20">
        <f>'TE BE'!$R$38*'TE BE'!$R$49</f>
        <v>7.3503614411371156</v>
      </c>
      <c r="S38" s="20">
        <f>SUM($R$38:$R$38)</f>
        <v>7.3503614411371156</v>
      </c>
      <c r="T38" s="20">
        <f>'TE BE'!$T$38*'TE BE'!$T$49</f>
        <v>0</v>
      </c>
      <c r="U38" s="20">
        <f>'TE BE'!$U$38*'TE BE'!$U$49</f>
        <v>0</v>
      </c>
      <c r="V38" s="20">
        <f>'TE BE'!$V$38*'TE BE'!$V$49</f>
        <v>0</v>
      </c>
      <c r="W38" s="20">
        <f>SUM($T$38:$V$38)</f>
        <v>0</v>
      </c>
      <c r="X38" s="20">
        <f>'TE BE'!$AB$38*'TE BE'!$X$49</f>
        <v>0</v>
      </c>
      <c r="Y38" s="20">
        <f>SUM($X$38:$X$38)</f>
        <v>0</v>
      </c>
      <c r="Z38" s="20">
        <f>'TE BE'!$Z$38*'TE BE'!$Z$49</f>
        <v>0</v>
      </c>
      <c r="AA38" s="20">
        <f>SUM($Z$38:$Z$38)</f>
        <v>0</v>
      </c>
      <c r="AB38" s="20">
        <f ca="1">SUMIF($L$4:$AA$4,"SUBTOTAL",$L$38:$AA$38)+AL38</f>
        <v>-16.864407013965526</v>
      </c>
      <c r="AC38" s="9" t="str">
        <f t="shared" si="0"/>
        <v>B3</v>
      </c>
      <c r="AD38" s="9" t="str">
        <f t="shared" si="1"/>
        <v>Energia horária</v>
      </c>
      <c r="AE38" s="9" t="str">
        <f t="shared" si="2"/>
        <v>Não se aplica</v>
      </c>
      <c r="AF38" s="9" t="str">
        <f t="shared" si="3"/>
        <v>Não se aplica</v>
      </c>
      <c r="AG38" s="9" t="str">
        <f t="shared" si="4"/>
        <v>Não se aplica</v>
      </c>
      <c r="AH38" s="9">
        <v>1</v>
      </c>
      <c r="AI38" s="9">
        <f ca="1">TarifaMedia!$G$20</f>
        <v>1</v>
      </c>
      <c r="AJ38" s="15">
        <f>'TE BE'!$AB38+'TE BF'!$AB38+'TE CVA'!$AB38</f>
        <v>274.24484099236821</v>
      </c>
      <c r="AK38" s="9">
        <v>250.04</v>
      </c>
      <c r="AL38" s="9">
        <f t="shared" ca="1" si="5"/>
        <v>-24.204840992368219</v>
      </c>
      <c r="AO38" s="81" t="s">
        <v>794</v>
      </c>
    </row>
    <row r="39" spans="1:41" ht="11.25" customHeight="1" x14ac:dyDescent="0.25">
      <c r="A39" s="150"/>
      <c r="B39" s="22" t="s">
        <v>71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72</v>
      </c>
      <c r="H39" s="23" t="s">
        <v>68</v>
      </c>
      <c r="I39" s="23">
        <f>'MERCADO TE'!$U$36</f>
        <v>4632.741</v>
      </c>
      <c r="J39" s="15"/>
      <c r="L39" s="20">
        <f>'TE BE'!$L$39*'TE BE'!$L$49</f>
        <v>1.527092298150929E-6</v>
      </c>
      <c r="M39" s="20">
        <f>'TE BE'!$M$39*'TE BE'!$M$49</f>
        <v>0</v>
      </c>
      <c r="N39" s="20">
        <f>'TE BE'!$N$39*'TE BE'!$N$49</f>
        <v>0</v>
      </c>
      <c r="O39" s="20">
        <f>'TE BE'!$O$39*'TE BE'!$O$49</f>
        <v>-9.9289898267227242E-3</v>
      </c>
      <c r="P39" s="20">
        <f>'TE BE'!$P$39*'TE BE'!$P$49</f>
        <v>0</v>
      </c>
      <c r="Q39" s="20">
        <f>SUM($L$39:$P$39)</f>
        <v>-9.927462734424573E-3</v>
      </c>
      <c r="R39" s="20">
        <f>'TE BE'!$R$39*'TE BE'!$R$49</f>
        <v>7.7913831276053429</v>
      </c>
      <c r="S39" s="20">
        <f>SUM($R$39:$R$39)</f>
        <v>7.7913831276053429</v>
      </c>
      <c r="T39" s="20">
        <f>'TE BE'!$T$39*'TE BE'!$T$49</f>
        <v>0</v>
      </c>
      <c r="U39" s="20">
        <f>'TE BE'!$U$39*'TE BE'!$U$49</f>
        <v>0</v>
      </c>
      <c r="V39" s="20">
        <f>'TE BE'!$V$39*'TE BE'!$V$49</f>
        <v>0</v>
      </c>
      <c r="W39" s="20">
        <f>SUM($T$39:$V$39)</f>
        <v>0</v>
      </c>
      <c r="X39" s="20">
        <f>'TE BE'!$AB$39*'TE BE'!$X$49</f>
        <v>0</v>
      </c>
      <c r="Y39" s="20">
        <f>SUM($X$39:$X$39)</f>
        <v>0</v>
      </c>
      <c r="Z39" s="20">
        <f>'TE BE'!$Z$39*'TE BE'!$Z$49</f>
        <v>0</v>
      </c>
      <c r="AA39" s="20">
        <f>SUM($Z$39:$Z$39)</f>
        <v>0</v>
      </c>
      <c r="AB39" s="20">
        <f ca="1">SUMIF($L$4:$AA$4,"SUBTOTAL",$L$39:$AA$39)+AL39</f>
        <v>-20.218407072914715</v>
      </c>
      <c r="AC39" s="9" t="str">
        <f t="shared" si="0"/>
        <v>B3</v>
      </c>
      <c r="AD39" s="9" t="str">
        <f t="shared" si="1"/>
        <v>Energia convencional</v>
      </c>
      <c r="AE39" s="9" t="str">
        <f t="shared" si="2"/>
        <v>Não se aplica</v>
      </c>
      <c r="AF39" s="9" t="str">
        <f t="shared" si="3"/>
        <v>Não se aplica</v>
      </c>
      <c r="AG39" s="9" t="str">
        <f t="shared" si="4"/>
        <v>Não se aplica</v>
      </c>
      <c r="AH39" s="9">
        <v>1</v>
      </c>
      <c r="AI39" s="9">
        <f ca="1">TarifaMedia!$G$20</f>
        <v>1</v>
      </c>
      <c r="AJ39" s="15">
        <f>'TE BE'!$AB39+'TE BF'!$AB39+'TE CVA'!$AB39</f>
        <v>290.52986273778561</v>
      </c>
      <c r="AK39" s="9">
        <v>262.52999999999997</v>
      </c>
      <c r="AL39" s="9">
        <f t="shared" ca="1" si="5"/>
        <v>-27.999862737785634</v>
      </c>
      <c r="AO39" s="81" t="s">
        <v>795</v>
      </c>
    </row>
    <row r="40" spans="1:41" ht="11.25" customHeight="1" x14ac:dyDescent="0.25">
      <c r="A40" s="150"/>
      <c r="B40" s="22" t="s">
        <v>83</v>
      </c>
      <c r="C40" s="22" t="s">
        <v>25</v>
      </c>
      <c r="D40" s="22" t="s">
        <v>25</v>
      </c>
      <c r="E40" s="22" t="s">
        <v>25</v>
      </c>
      <c r="F40" s="22" t="s">
        <v>25</v>
      </c>
      <c r="G40" s="23" t="s">
        <v>72</v>
      </c>
      <c r="H40" s="23" t="s">
        <v>68</v>
      </c>
      <c r="I40" s="23">
        <f>'MERCADO TE'!$U$37</f>
        <v>0</v>
      </c>
      <c r="J40" s="15"/>
      <c r="L40" s="20">
        <f>'TE BE'!$L$40*'TE BE'!$L$49</f>
        <v>1.527092298150929E-6</v>
      </c>
      <c r="M40" s="20">
        <f>'TE BE'!$M$40*'TE BE'!$M$49</f>
        <v>0</v>
      </c>
      <c r="N40" s="20">
        <f>'TE BE'!$N$40*'TE BE'!$N$49</f>
        <v>0</v>
      </c>
      <c r="O40" s="20">
        <f>'TE BE'!$O$40*'TE BE'!$O$49</f>
        <v>-9.9289898267227242E-3</v>
      </c>
      <c r="P40" s="20">
        <f>'TE BE'!$P$40*'TE BE'!$P$49</f>
        <v>0</v>
      </c>
      <c r="Q40" s="20">
        <f>SUM($L$40:$P$40)</f>
        <v>-9.927462734424573E-3</v>
      </c>
      <c r="R40" s="20">
        <f>'TE BE'!$R$40*'TE BE'!$R$49</f>
        <v>7.7913831276053429</v>
      </c>
      <c r="S40" s="20">
        <f>SUM($R$40:$R$40)</f>
        <v>7.7913831276053429</v>
      </c>
      <c r="T40" s="20">
        <f>'TE BE'!$T$40*'TE BE'!$T$49</f>
        <v>0</v>
      </c>
      <c r="U40" s="20">
        <f>'TE BE'!$U$40*'TE BE'!$U$49</f>
        <v>0</v>
      </c>
      <c r="V40" s="20">
        <f>'TE BE'!$V$40*'TE BE'!$V$49</f>
        <v>0</v>
      </c>
      <c r="W40" s="20">
        <f>SUM($T$40:$V$40)</f>
        <v>0</v>
      </c>
      <c r="X40" s="20">
        <f>'TE BE'!$AB$40*'TE BE'!$X$49</f>
        <v>0</v>
      </c>
      <c r="Y40" s="20">
        <f>SUM($X$40:$X$40)</f>
        <v>0</v>
      </c>
      <c r="Z40" s="20">
        <f>'TE BE'!$Z$40*'TE BE'!$Z$49</f>
        <v>0</v>
      </c>
      <c r="AA40" s="20">
        <f>SUM($Z$40:$Z$40)</f>
        <v>0</v>
      </c>
      <c r="AB40" s="20">
        <f ca="1">SUMIF($L$4:$AA$4,"SUBTOTAL",$L$40:$AA$40)+AL40</f>
        <v>-20.218407072914715</v>
      </c>
      <c r="AC40" s="9" t="str">
        <f t="shared" si="0"/>
        <v>B3</v>
      </c>
      <c r="AD40" s="9" t="str">
        <f t="shared" si="1"/>
        <v>Energia convencional pré-pagamento</v>
      </c>
      <c r="AE40" s="9" t="str">
        <f t="shared" si="2"/>
        <v>Não se aplica</v>
      </c>
      <c r="AF40" s="9" t="str">
        <f t="shared" si="3"/>
        <v>Não se aplica</v>
      </c>
      <c r="AG40" s="9" t="str">
        <f t="shared" si="4"/>
        <v>Não se aplica</v>
      </c>
      <c r="AH40" s="9">
        <v>1</v>
      </c>
      <c r="AI40" s="9">
        <f ca="1">TarifaMedia!$G$20</f>
        <v>1</v>
      </c>
      <c r="AJ40" s="15">
        <f>'TE BE'!$AB40+'TE BF'!$AB40+'TE CVA'!$AB40</f>
        <v>290.52986273778561</v>
      </c>
      <c r="AK40" s="9">
        <v>262.52999999999997</v>
      </c>
      <c r="AL40" s="9">
        <f t="shared" ca="1" si="5"/>
        <v>-27.999862737785634</v>
      </c>
      <c r="AO40" s="81" t="s">
        <v>796</v>
      </c>
    </row>
    <row r="41" spans="1:41" ht="11.25" customHeight="1" x14ac:dyDescent="0.25">
      <c r="A41" s="150" t="s">
        <v>44</v>
      </c>
      <c r="B41" s="150" t="s">
        <v>71</v>
      </c>
      <c r="C41" s="150" t="s">
        <v>45</v>
      </c>
      <c r="D41" s="22" t="s">
        <v>46</v>
      </c>
      <c r="E41" s="22" t="s">
        <v>25</v>
      </c>
      <c r="F41" s="22" t="s">
        <v>25</v>
      </c>
      <c r="G41" s="23" t="s">
        <v>72</v>
      </c>
      <c r="H41" s="23" t="s">
        <v>68</v>
      </c>
      <c r="I41" s="23">
        <f>'MERCADO TE'!$U$38</f>
        <v>356.69600000000003</v>
      </c>
      <c r="J41" s="15"/>
      <c r="L41" s="20">
        <f>'TE BE'!$L$41*'TE BE'!$L$49</f>
        <v>8.3990076398301097E-7</v>
      </c>
      <c r="M41" s="20">
        <f>'TE BE'!$M$41*'TE BE'!$M$49</f>
        <v>0</v>
      </c>
      <c r="N41" s="20">
        <f>'TE BE'!$N$41*'TE BE'!$N$49</f>
        <v>0</v>
      </c>
      <c r="O41" s="20">
        <f>'TE BE'!$O$41*'TE BE'!$O$49</f>
        <v>-5.4609444046974992E-3</v>
      </c>
      <c r="P41" s="20">
        <f>'TE BE'!$P$41*'TE BE'!$P$49</f>
        <v>0</v>
      </c>
      <c r="Q41" s="20">
        <f>SUM($L$41:$P$41)</f>
        <v>-5.4601045039335159E-3</v>
      </c>
      <c r="R41" s="20">
        <f>'TE BE'!$R$41*'TE BE'!$R$49</f>
        <v>4.2852607201829391</v>
      </c>
      <c r="S41" s="20">
        <f>SUM($R$41:$R$41)</f>
        <v>4.2852607201829391</v>
      </c>
      <c r="T41" s="20">
        <f>'TE BE'!$T$41*'TE BE'!$T$49</f>
        <v>0</v>
      </c>
      <c r="U41" s="20">
        <f>'TE BE'!$U$41*'TE BE'!$U$49</f>
        <v>0</v>
      </c>
      <c r="V41" s="20">
        <f>'TE BE'!$V$41*'TE BE'!$V$49</f>
        <v>0</v>
      </c>
      <c r="W41" s="20">
        <f>SUM($T$41:$V$41)</f>
        <v>0</v>
      </c>
      <c r="X41" s="20">
        <f>'TE BE'!$AB$41*'TE BE'!$X$49</f>
        <v>0</v>
      </c>
      <c r="Y41" s="20">
        <f>SUM($X$41:$X$41)</f>
        <v>0</v>
      </c>
      <c r="Z41" s="20">
        <f>'TE BE'!$Z$41*'TE BE'!$Z$49</f>
        <v>0</v>
      </c>
      <c r="AA41" s="20">
        <f>SUM($Z$41:$Z$41)</f>
        <v>0</v>
      </c>
      <c r="AB41" s="20">
        <f ca="1">SUMIF($L$4:$AA$4,"SUBTOTAL",$L$41:$AA$41)+AL41</f>
        <v>-11.121623890103098</v>
      </c>
      <c r="AC41" s="9" t="str">
        <f t="shared" si="0"/>
        <v>B4</v>
      </c>
      <c r="AD41" s="9" t="str">
        <f t="shared" si="1"/>
        <v>Energia convencional</v>
      </c>
      <c r="AE41" s="9" t="str">
        <f t="shared" si="2"/>
        <v>Iluminação pública</v>
      </c>
      <c r="AF41" s="9" t="str">
        <f t="shared" si="3"/>
        <v>Iluminação pública – B4a</v>
      </c>
      <c r="AG41" s="9" t="str">
        <f t="shared" si="4"/>
        <v>Não se aplica</v>
      </c>
      <c r="AH41" s="9">
        <v>1</v>
      </c>
      <c r="AI41" s="9">
        <f ca="1">TarifaMedia!$G$20</f>
        <v>1</v>
      </c>
      <c r="AJ41" s="15">
        <f>'TE BE'!$AB41+'TE BF'!$AB41+'TE CVA'!$AB41</f>
        <v>159.79142450578209</v>
      </c>
      <c r="AK41" s="9">
        <v>144.38999999999999</v>
      </c>
      <c r="AL41" s="9">
        <f t="shared" ca="1" si="5"/>
        <v>-15.401424505782103</v>
      </c>
      <c r="AO41" s="81" t="s">
        <v>797</v>
      </c>
    </row>
    <row r="42" spans="1:41" ht="11.25" customHeight="1" x14ac:dyDescent="0.25">
      <c r="A42" s="150"/>
      <c r="B42" s="150"/>
      <c r="C42" s="150"/>
      <c r="D42" s="23" t="s">
        <v>87</v>
      </c>
      <c r="E42" s="23" t="s">
        <v>25</v>
      </c>
      <c r="F42" s="23" t="s">
        <v>25</v>
      </c>
      <c r="G42" s="23" t="s">
        <v>72</v>
      </c>
      <c r="H42" s="23" t="s">
        <v>68</v>
      </c>
      <c r="I42" s="23">
        <f>'MERCADO TE'!$U$39</f>
        <v>0</v>
      </c>
      <c r="J42" s="15"/>
      <c r="L42" s="20">
        <f>'TE BE'!$L$42*'TE BE'!$L$49</f>
        <v>9.1625537889055725E-7</v>
      </c>
      <c r="M42" s="20">
        <f>'TE BE'!$M$42*'TE BE'!$M$49</f>
        <v>0</v>
      </c>
      <c r="N42" s="20">
        <f>'TE BE'!$N$42*'TE BE'!$N$49</f>
        <v>0</v>
      </c>
      <c r="O42" s="20">
        <f>'TE BE'!$O$42*'TE BE'!$O$49</f>
        <v>-5.9573938960336345E-3</v>
      </c>
      <c r="P42" s="20">
        <f>'TE BE'!$P$42*'TE BE'!$P$49</f>
        <v>0</v>
      </c>
      <c r="Q42" s="20">
        <f>SUM($L$42:$P$42)</f>
        <v>-5.9564776406547436E-3</v>
      </c>
      <c r="R42" s="20">
        <f>'TE BE'!$R$42*'TE BE'!$R$49</f>
        <v>4.674829876563205</v>
      </c>
      <c r="S42" s="20">
        <f>SUM($R$42:$R$42)</f>
        <v>4.674829876563205</v>
      </c>
      <c r="T42" s="20">
        <f>'TE BE'!$T$42*'TE BE'!$T$49</f>
        <v>0</v>
      </c>
      <c r="U42" s="20">
        <f>'TE BE'!$U$42*'TE BE'!$U$49</f>
        <v>0</v>
      </c>
      <c r="V42" s="20">
        <f>'TE BE'!$V$42*'TE BE'!$V$49</f>
        <v>0</v>
      </c>
      <c r="W42" s="20">
        <f>SUM($T$42:$V$42)</f>
        <v>0</v>
      </c>
      <c r="X42" s="20">
        <f>'TE BE'!$AB$42*'TE BE'!$X$49</f>
        <v>0</v>
      </c>
      <c r="Y42" s="20">
        <f>SUM($X$42:$X$42)</f>
        <v>0</v>
      </c>
      <c r="Z42" s="20">
        <f>'TE BE'!$Z$42*'TE BE'!$Z$49</f>
        <v>0</v>
      </c>
      <c r="AA42" s="20">
        <f>SUM($Z$42:$Z$42)</f>
        <v>0</v>
      </c>
      <c r="AB42" s="20">
        <f ca="1">SUMIF($L$4:$AA$4,"SUBTOTAL",$L$42:$AA$42)+AL42</f>
        <v>-12.129044243748787</v>
      </c>
      <c r="AC42" s="9" t="str">
        <f t="shared" si="0"/>
        <v>B4</v>
      </c>
      <c r="AD42" s="9" t="str">
        <f t="shared" si="1"/>
        <v>Energia convencional</v>
      </c>
      <c r="AE42" s="9" t="str">
        <f t="shared" si="2"/>
        <v>Iluminação pública</v>
      </c>
      <c r="AF42" s="9" t="str">
        <f t="shared" si="3"/>
        <v>Iluminação pública – B4b</v>
      </c>
      <c r="AG42" s="9" t="str">
        <f t="shared" si="4"/>
        <v>Não se aplica</v>
      </c>
      <c r="AH42" s="9">
        <v>1</v>
      </c>
      <c r="AI42" s="9">
        <f ca="1">TarifaMedia!$G$20</f>
        <v>1</v>
      </c>
      <c r="AJ42" s="15">
        <f>'TE BE'!$AB42+'TE BF'!$AB42+'TE CVA'!$AB42</f>
        <v>174.31791764267135</v>
      </c>
      <c r="AK42" s="9">
        <v>157.52000000000001</v>
      </c>
      <c r="AL42" s="9">
        <f t="shared" ca="1" si="5"/>
        <v>-16.797917642671337</v>
      </c>
      <c r="AO42" s="81" t="s">
        <v>798</v>
      </c>
    </row>
    <row r="44" spans="1:41" ht="11.25" customHeight="1" x14ac:dyDescent="0.25">
      <c r="K44" s="25" t="s">
        <v>542</v>
      </c>
      <c r="L44" s="20">
        <f t="shared" ref="L44:AB44" si="6">SUMPRODUCT($I$5:$I$42,L$5:L$42)</f>
        <v>2.2651100147363584E-2</v>
      </c>
      <c r="M44" s="20">
        <f t="shared" si="6"/>
        <v>0</v>
      </c>
      <c r="N44" s="20">
        <f t="shared" si="6"/>
        <v>0</v>
      </c>
      <c r="O44" s="20">
        <f t="shared" si="6"/>
        <v>-147.27501618570966</v>
      </c>
      <c r="P44" s="20">
        <f t="shared" si="6"/>
        <v>0</v>
      </c>
      <c r="Q44" s="20">
        <f t="shared" si="6"/>
        <v>-147.25236508556227</v>
      </c>
      <c r="R44" s="20">
        <f t="shared" si="6"/>
        <v>114967.26282738739</v>
      </c>
      <c r="S44" s="20">
        <f t="shared" si="6"/>
        <v>114967.26282738739</v>
      </c>
      <c r="T44" s="20">
        <f t="shared" si="6"/>
        <v>0</v>
      </c>
      <c r="U44" s="20">
        <f t="shared" si="6"/>
        <v>0</v>
      </c>
      <c r="V44" s="20">
        <f t="shared" si="6"/>
        <v>0</v>
      </c>
      <c r="W44" s="20">
        <f t="shared" si="6"/>
        <v>0</v>
      </c>
      <c r="X44" s="20">
        <f t="shared" si="6"/>
        <v>0</v>
      </c>
      <c r="Y44" s="20">
        <f t="shared" si="6"/>
        <v>0</v>
      </c>
      <c r="Z44" s="20">
        <f t="shared" si="6"/>
        <v>0</v>
      </c>
      <c r="AA44" s="20">
        <f t="shared" si="6"/>
        <v>0</v>
      </c>
      <c r="AB44" s="20">
        <f t="shared" ca="1" si="6"/>
        <v>-295333.71561132785</v>
      </c>
    </row>
    <row r="45" spans="1:41" ht="11.25" customHeight="1" x14ac:dyDescent="0.25">
      <c r="K45" s="25" t="s">
        <v>461</v>
      </c>
      <c r="L45" s="20">
        <f>CUSTOS!$D$30</f>
        <v>42091.705015032829</v>
      </c>
      <c r="M45" s="20">
        <f>CUSTOS!$D$31</f>
        <v>0</v>
      </c>
      <c r="N45" s="20">
        <f>CUSTOS!$D$32</f>
        <v>0</v>
      </c>
      <c r="O45" s="20">
        <f>CUSTOS!$D$33</f>
        <v>1.0000000000000001E-9</v>
      </c>
      <c r="P45" s="20">
        <f>CUSTOS!$D$34</f>
        <v>0</v>
      </c>
      <c r="Q45" s="20">
        <f>CUSTOS!$D$35</f>
        <v>42091.705015033825</v>
      </c>
      <c r="R45" s="20">
        <f>CUSTOS!$D$36</f>
        <v>4175116.283213472</v>
      </c>
      <c r="S45" s="20">
        <f>CUSTOS!$D$37</f>
        <v>4175116.283213472</v>
      </c>
      <c r="T45" s="20">
        <f>CUSTOS!$D$38</f>
        <v>0</v>
      </c>
      <c r="U45" s="20">
        <f>CUSTOS!$D$39</f>
        <v>0</v>
      </c>
      <c r="V45" s="20">
        <f>CUSTOS!$D$40</f>
        <v>0</v>
      </c>
      <c r="W45" s="20">
        <f>CUSTOS!$D$41</f>
        <v>0</v>
      </c>
      <c r="X45" s="20">
        <f>CUSTOS!$D$42</f>
        <v>0</v>
      </c>
      <c r="Y45" s="20">
        <f>CUSTOS!$D$43</f>
        <v>0</v>
      </c>
      <c r="Z45" s="20">
        <f>CUSTOS!$D$44</f>
        <v>0</v>
      </c>
      <c r="AA45" s="20">
        <f>CUSTOS!$D$45</f>
        <v>0</v>
      </c>
      <c r="AB45" s="20">
        <f>CUSTOS!$D$46</f>
        <v>4217207.9882285055</v>
      </c>
    </row>
    <row r="46" spans="1:41" ht="11.25" customHeight="1" x14ac:dyDescent="0.25">
      <c r="K46" s="25" t="s">
        <v>462</v>
      </c>
      <c r="L46" s="20">
        <f>CUSTOS!$E$30</f>
        <v>2.2651100147363584E-2</v>
      </c>
      <c r="M46" s="20">
        <f>CUSTOS!$E$31</f>
        <v>0</v>
      </c>
      <c r="N46" s="20">
        <f>CUSTOS!$E$32</f>
        <v>0</v>
      </c>
      <c r="O46" s="20">
        <f>CUSTOS!$E$33</f>
        <v>-147.27501618570966</v>
      </c>
      <c r="P46" s="20">
        <f>CUSTOS!$E$34</f>
        <v>0</v>
      </c>
      <c r="Q46" s="20">
        <f>CUSTOS!$E$35</f>
        <v>-147.2523650855623</v>
      </c>
      <c r="R46" s="20">
        <f>CUSTOS!$E$36</f>
        <v>114967.26282738737</v>
      </c>
      <c r="S46" s="20">
        <f>CUSTOS!$E$37</f>
        <v>114967.26282738737</v>
      </c>
      <c r="T46" s="20">
        <f>CUSTOS!$E$38</f>
        <v>0</v>
      </c>
      <c r="U46" s="20">
        <f>CUSTOS!$E$39</f>
        <v>0</v>
      </c>
      <c r="V46" s="20">
        <f>CUSTOS!$E$40</f>
        <v>0</v>
      </c>
      <c r="W46" s="20">
        <f>CUSTOS!$E$41</f>
        <v>0</v>
      </c>
      <c r="X46" s="20">
        <f>CUSTOS!$E$42</f>
        <v>0</v>
      </c>
      <c r="Y46" s="20">
        <f>CUSTOS!$E$43</f>
        <v>0</v>
      </c>
      <c r="Z46" s="20">
        <f>CUSTOS!$E$44</f>
        <v>0</v>
      </c>
      <c r="AA46" s="20">
        <f>CUSTOS!$E$45</f>
        <v>0</v>
      </c>
      <c r="AB46" s="20">
        <f>CUSTOS!$E$46</f>
        <v>114820.01046230181</v>
      </c>
    </row>
    <row r="47" spans="1:41" ht="11.25" customHeight="1" x14ac:dyDescent="0.25">
      <c r="K47" s="25" t="s">
        <v>463</v>
      </c>
      <c r="L47" s="20">
        <f>CUSTOS!$F$30</f>
        <v>0</v>
      </c>
      <c r="M47" s="20">
        <f>CUSTOS!$F$31</f>
        <v>0</v>
      </c>
      <c r="N47" s="20">
        <f>CUSTOS!$F$32</f>
        <v>0</v>
      </c>
      <c r="O47" s="20">
        <f>CUSTOS!$F$33</f>
        <v>0</v>
      </c>
      <c r="P47" s="20">
        <f>CUSTOS!$F$34</f>
        <v>0</v>
      </c>
      <c r="Q47" s="20">
        <f>CUSTOS!$F$35</f>
        <v>0</v>
      </c>
      <c r="R47" s="20">
        <f>CUSTOS!$F$36</f>
        <v>-44840.210847179369</v>
      </c>
      <c r="S47" s="20">
        <f>CUSTOS!$F$37</f>
        <v>-44840.210847179369</v>
      </c>
      <c r="T47" s="20">
        <f>CUSTOS!$F$38</f>
        <v>0</v>
      </c>
      <c r="U47" s="20">
        <f>CUSTOS!$F$39</f>
        <v>0</v>
      </c>
      <c r="V47" s="20">
        <f>CUSTOS!$F$40</f>
        <v>0</v>
      </c>
      <c r="W47" s="20">
        <f>CUSTOS!$F$41</f>
        <v>0</v>
      </c>
      <c r="X47" s="20">
        <f>CUSTOS!$F$42</f>
        <v>0</v>
      </c>
      <c r="Y47" s="20">
        <f>CUSTOS!$F$43</f>
        <v>0</v>
      </c>
      <c r="Z47" s="20">
        <f>CUSTOS!$F$44</f>
        <v>0</v>
      </c>
      <c r="AA47" s="20">
        <f>CUSTOS!$F$45</f>
        <v>0</v>
      </c>
      <c r="AB47" s="20">
        <f>CUSTOS!$F$46</f>
        <v>-44840.210847179369</v>
      </c>
    </row>
    <row r="48" spans="1:41" ht="11.25" customHeight="1" x14ac:dyDescent="0.25">
      <c r="K48" s="25" t="s">
        <v>543</v>
      </c>
      <c r="L48" s="20">
        <f>'TR TE'!$L$48*L49</f>
        <v>0</v>
      </c>
      <c r="M48" s="20">
        <f>'TR TE'!$M$48*M49</f>
        <v>0</v>
      </c>
      <c r="N48" s="20">
        <f>'TR TE'!$N$48*N49</f>
        <v>0</v>
      </c>
      <c r="O48" s="20">
        <f>'TR TE'!$O$48*O49</f>
        <v>0</v>
      </c>
      <c r="P48" s="20">
        <f>'TR TE'!$P$48*P49</f>
        <v>0</v>
      </c>
      <c r="Q48" s="20"/>
      <c r="R48" s="20">
        <f>'TR TE'!$R$48*R49</f>
        <v>-3.0607558742057348</v>
      </c>
      <c r="S48" s="20"/>
      <c r="T48" s="20">
        <f>'TR TE'!$T$48*T49</f>
        <v>0</v>
      </c>
      <c r="U48" s="20">
        <f>'TR TE'!$U$48*U49</f>
        <v>0</v>
      </c>
      <c r="V48" s="20">
        <f>'TR TE'!$V$48*V49</f>
        <v>0</v>
      </c>
      <c r="W48" s="20"/>
      <c r="X48" s="20"/>
      <c r="Y48" s="20"/>
      <c r="Z48" s="20">
        <f>'TR TE'!$Z$48*Z49</f>
        <v>0</v>
      </c>
      <c r="AA48" s="20"/>
      <c r="AB48" s="20"/>
    </row>
    <row r="49" spans="11:28" ht="11.25" customHeight="1" x14ac:dyDescent="0.25">
      <c r="K49" s="25" t="s">
        <v>538</v>
      </c>
      <c r="L49" s="20">
        <f>IF(L45&lt;&gt;0,L47/L45,0)</f>
        <v>0</v>
      </c>
      <c r="M49" s="20">
        <f>IF(M45&lt;&gt;0,M47/M45,0)</f>
        <v>0</v>
      </c>
      <c r="N49" s="20">
        <f>IF(N45&lt;&gt;0,N47/N45,0)</f>
        <v>0</v>
      </c>
      <c r="O49" s="20">
        <f>IF(O45&lt;&gt;0,O47/O45,0)</f>
        <v>0</v>
      </c>
      <c r="P49" s="20">
        <f>IF(P45&lt;&gt;0,P47/P45,0)</f>
        <v>0</v>
      </c>
      <c r="Q49" s="20"/>
      <c r="R49" s="20">
        <f>IF(R45&lt;&gt;0,R47/R45,0)</f>
        <v>-1.0739871133042334E-2</v>
      </c>
      <c r="S49" s="20"/>
      <c r="T49" s="20">
        <f>IF(T45&lt;&gt;0,T47/T45,0)</f>
        <v>0</v>
      </c>
      <c r="U49" s="20">
        <f>IF(U45&lt;&gt;0,U47/U45,0)</f>
        <v>0</v>
      </c>
      <c r="V49" s="20">
        <f>IF(V45&lt;&gt;0,V47/V45,0)</f>
        <v>0</v>
      </c>
      <c r="W49" s="20"/>
      <c r="X49" s="20">
        <f>IF($AB45&lt;&gt;0,X47/($AB45-SUM('TR TE'!$L48:'TR TE'!$AA48)*0),0)</f>
        <v>0</v>
      </c>
      <c r="Y49" s="20"/>
      <c r="Z49" s="20">
        <f>IF(Z45&lt;&gt;0,Z47/Z45,0)</f>
        <v>0</v>
      </c>
      <c r="AA49" s="20"/>
      <c r="AB49" s="20"/>
    </row>
    <row r="50" spans="11:28" ht="11.25" customHeight="1" x14ac:dyDescent="0.25"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</sheetData>
  <mergeCells count="72">
    <mergeCell ref="AJ1:AJ4"/>
    <mergeCell ref="AK1:AK4"/>
    <mergeCell ref="AL1:AL4"/>
    <mergeCell ref="AO1:AO4"/>
    <mergeCell ref="AD1:AD4"/>
    <mergeCell ref="AE1:AE4"/>
    <mergeCell ref="AF1:AF4"/>
    <mergeCell ref="AG1:AG4"/>
    <mergeCell ref="AH1:AH4"/>
    <mergeCell ref="AI1:AI4"/>
    <mergeCell ref="E36:E38"/>
    <mergeCell ref="F36:F38"/>
    <mergeCell ref="A41:A42"/>
    <mergeCell ref="B41:B42"/>
    <mergeCell ref="C41:C42"/>
    <mergeCell ref="AC1:AC4"/>
    <mergeCell ref="B33:B35"/>
    <mergeCell ref="C33:C35"/>
    <mergeCell ref="A36:A40"/>
    <mergeCell ref="B36:B38"/>
    <mergeCell ref="C36:C38"/>
    <mergeCell ref="D36:D38"/>
    <mergeCell ref="F25:F27"/>
    <mergeCell ref="B29:B31"/>
    <mergeCell ref="C29:C31"/>
    <mergeCell ref="D29:D31"/>
    <mergeCell ref="E29:E31"/>
    <mergeCell ref="F29:F31"/>
    <mergeCell ref="A21:A35"/>
    <mergeCell ref="B21:B23"/>
    <mergeCell ref="C21:C23"/>
    <mergeCell ref="D21:D23"/>
    <mergeCell ref="E21:E23"/>
    <mergeCell ref="F21:F23"/>
    <mergeCell ref="B25:B27"/>
    <mergeCell ref="C25:C27"/>
    <mergeCell ref="D25:D27"/>
    <mergeCell ref="E25:E27"/>
    <mergeCell ref="A8:A20"/>
    <mergeCell ref="B8:B10"/>
    <mergeCell ref="C8:C10"/>
    <mergeCell ref="D8:D10"/>
    <mergeCell ref="E8:E10"/>
    <mergeCell ref="F8:F10"/>
    <mergeCell ref="B11:B15"/>
    <mergeCell ref="C11:C15"/>
    <mergeCell ref="B16:B20"/>
    <mergeCell ref="C16:C20"/>
    <mergeCell ref="Z3:AA3"/>
    <mergeCell ref="AB3:AB4"/>
    <mergeCell ref="A5:A7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4">
    <cfRule type="cellIs" dxfId="222" priority="33" operator="notEqual">
      <formula>$L$46</formula>
    </cfRule>
    <cfRule type="cellIs" dxfId="221" priority="34" operator="equal">
      <formula>$L$46</formula>
    </cfRule>
  </conditionalFormatting>
  <conditionalFormatting sqref="M44">
    <cfRule type="cellIs" dxfId="220" priority="31" operator="notEqual">
      <formula>$M$46</formula>
    </cfRule>
    <cfRule type="cellIs" dxfId="219" priority="32" operator="equal">
      <formula>$M$46</formula>
    </cfRule>
  </conditionalFormatting>
  <conditionalFormatting sqref="N44">
    <cfRule type="cellIs" dxfId="218" priority="29" operator="notEqual">
      <formula>$N$46</formula>
    </cfRule>
    <cfRule type="cellIs" dxfId="217" priority="30" operator="equal">
      <formula>$N$46</formula>
    </cfRule>
  </conditionalFormatting>
  <conditionalFormatting sqref="O44">
    <cfRule type="cellIs" dxfId="216" priority="27" operator="notEqual">
      <formula>$O$46</formula>
    </cfRule>
    <cfRule type="cellIs" dxfId="215" priority="28" operator="equal">
      <formula>$O$46</formula>
    </cfRule>
  </conditionalFormatting>
  <conditionalFormatting sqref="P44">
    <cfRule type="cellIs" dxfId="214" priority="25" operator="notEqual">
      <formula>$P$46</formula>
    </cfRule>
    <cfRule type="cellIs" dxfId="213" priority="26" operator="equal">
      <formula>$P$46</formula>
    </cfRule>
  </conditionalFormatting>
  <conditionalFormatting sqref="Q44">
    <cfRule type="cellIs" dxfId="212" priority="23" operator="notEqual">
      <formula>$Q$46</formula>
    </cfRule>
    <cfRule type="cellIs" dxfId="211" priority="24" operator="equal">
      <formula>$Q$46</formula>
    </cfRule>
  </conditionalFormatting>
  <conditionalFormatting sqref="R44">
    <cfRule type="cellIs" dxfId="210" priority="21" operator="notEqual">
      <formula>$R$46</formula>
    </cfRule>
    <cfRule type="cellIs" dxfId="209" priority="22" operator="equal">
      <formula>$R$46</formula>
    </cfRule>
  </conditionalFormatting>
  <conditionalFormatting sqref="S44">
    <cfRule type="cellIs" dxfId="208" priority="19" operator="notEqual">
      <formula>$S$46</formula>
    </cfRule>
    <cfRule type="cellIs" dxfId="207" priority="20" operator="equal">
      <formula>$S$46</formula>
    </cfRule>
  </conditionalFormatting>
  <conditionalFormatting sqref="T44">
    <cfRule type="cellIs" dxfId="206" priority="17" operator="notEqual">
      <formula>$T$46</formula>
    </cfRule>
    <cfRule type="cellIs" dxfId="205" priority="18" operator="equal">
      <formula>$T$46</formula>
    </cfRule>
  </conditionalFormatting>
  <conditionalFormatting sqref="U44">
    <cfRule type="cellIs" dxfId="204" priority="15" operator="notEqual">
      <formula>$U$46</formula>
    </cfRule>
    <cfRule type="cellIs" dxfId="203" priority="16" operator="equal">
      <formula>$U$46</formula>
    </cfRule>
  </conditionalFormatting>
  <conditionalFormatting sqref="V44">
    <cfRule type="cellIs" dxfId="202" priority="13" operator="notEqual">
      <formula>$V$46</formula>
    </cfRule>
    <cfRule type="cellIs" dxfId="201" priority="14" operator="equal">
      <formula>$V$46</formula>
    </cfRule>
  </conditionalFormatting>
  <conditionalFormatting sqref="W44">
    <cfRule type="cellIs" dxfId="200" priority="11" operator="notEqual">
      <formula>$W$46</formula>
    </cfRule>
    <cfRule type="cellIs" dxfId="199" priority="12" operator="equal">
      <formula>$W$46</formula>
    </cfRule>
  </conditionalFormatting>
  <conditionalFormatting sqref="X44">
    <cfRule type="cellIs" dxfId="198" priority="9" operator="notEqual">
      <formula>$X$46</formula>
    </cfRule>
    <cfRule type="cellIs" dxfId="197" priority="10" operator="equal">
      <formula>$X$46</formula>
    </cfRule>
  </conditionalFormatting>
  <conditionalFormatting sqref="Y44">
    <cfRule type="cellIs" dxfId="196" priority="7" operator="notEqual">
      <formula>$Y$46</formula>
    </cfRule>
    <cfRule type="cellIs" dxfId="195" priority="8" operator="equal">
      <formula>$Y$46</formula>
    </cfRule>
  </conditionalFormatting>
  <conditionalFormatting sqref="Z44">
    <cfRule type="cellIs" dxfId="194" priority="5" operator="notEqual">
      <formula>$Z$46</formula>
    </cfRule>
    <cfRule type="cellIs" dxfId="193" priority="6" operator="equal">
      <formula>$Z$46</formula>
    </cfRule>
  </conditionalFormatting>
  <conditionalFormatting sqref="AA44">
    <cfRule type="cellIs" dxfId="192" priority="3" operator="notEqual">
      <formula>$AA$46</formula>
    </cfRule>
    <cfRule type="cellIs" dxfId="191" priority="4" operator="equal">
      <formula>$AA$46</formula>
    </cfRule>
  </conditionalFormatting>
  <conditionalFormatting sqref="AB44">
    <cfRule type="cellIs" dxfId="190" priority="1" operator="notEqual">
      <formula>$AB$46</formula>
    </cfRule>
    <cfRule type="cellIs" dxfId="18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AD38-E7CB-42BC-8525-09EF2B18F559}">
  <sheetPr codeName="Planilha29">
    <tabColor indexed="12" tint="-0.249977111117893"/>
  </sheetPr>
  <dimension ref="A1:J459"/>
  <sheetViews>
    <sheetView workbookViewId="0"/>
  </sheetViews>
  <sheetFormatPr defaultRowHeight="15" x14ac:dyDescent="0.25"/>
  <cols>
    <col min="1" max="1" width="40.5703125" bestFit="1" customWidth="1"/>
    <col min="2" max="2" width="29.42578125" style="58" bestFit="1" customWidth="1"/>
    <col min="3" max="3" width="30.7109375" style="58" bestFit="1" customWidth="1"/>
    <col min="4" max="4" width="31.42578125" style="58" bestFit="1" customWidth="1"/>
    <col min="5" max="5" width="32.5703125" style="58" bestFit="1" customWidth="1"/>
    <col min="6" max="6" width="28.7109375" style="58" bestFit="1" customWidth="1"/>
    <col min="7" max="7" width="30" style="58" bestFit="1" customWidth="1"/>
    <col min="8" max="8" width="22" style="92" bestFit="1" customWidth="1"/>
    <col min="9" max="9" width="19.28515625" style="92" bestFit="1" customWidth="1"/>
    <col min="10" max="10" width="16.7109375" style="92" bestFit="1" customWidth="1"/>
  </cols>
  <sheetData>
    <row r="1" spans="1:10" x14ac:dyDescent="0.25">
      <c r="A1" s="82" t="s">
        <v>605</v>
      </c>
      <c r="B1" s="58" t="s">
        <v>606</v>
      </c>
      <c r="C1" s="58" t="s">
        <v>607</v>
      </c>
      <c r="D1" s="58" t="s">
        <v>608</v>
      </c>
      <c r="E1" s="58" t="s">
        <v>609</v>
      </c>
      <c r="F1" s="58" t="s">
        <v>610</v>
      </c>
      <c r="G1" s="58" t="s">
        <v>611</v>
      </c>
      <c r="H1" s="92" t="s">
        <v>612</v>
      </c>
      <c r="I1" s="92" t="s">
        <v>613</v>
      </c>
      <c r="J1" s="92" t="s">
        <v>614</v>
      </c>
    </row>
    <row r="2" spans="1:10" x14ac:dyDescent="0.25">
      <c r="A2" s="83" t="s">
        <v>34</v>
      </c>
      <c r="B2" s="58">
        <v>469181.91609473404</v>
      </c>
      <c r="C2" s="58">
        <v>406539.6472455457</v>
      </c>
      <c r="D2" s="58">
        <v>1117112.762441684</v>
      </c>
      <c r="E2" s="58">
        <v>1375248.0452049936</v>
      </c>
      <c r="F2" s="58">
        <v>716110.51144000015</v>
      </c>
      <c r="G2" s="58">
        <v>648973.2126395728</v>
      </c>
      <c r="H2" s="92">
        <v>0.12323877559400942</v>
      </c>
      <c r="I2" s="92">
        <v>-9.3752706779046457E-2</v>
      </c>
      <c r="J2" s="92">
        <v>5.574853447711714E-2</v>
      </c>
    </row>
    <row r="3" spans="1:10" x14ac:dyDescent="0.25">
      <c r="A3" s="84" t="s">
        <v>35</v>
      </c>
      <c r="B3" s="58">
        <v>469181.91609473404</v>
      </c>
      <c r="C3" s="58">
        <v>406539.6472455457</v>
      </c>
      <c r="D3" s="58">
        <v>1117112.762441684</v>
      </c>
      <c r="E3" s="58">
        <v>1375248.0452049936</v>
      </c>
      <c r="F3" s="58">
        <v>716110.51144000015</v>
      </c>
      <c r="G3" s="58">
        <v>648973.2126395728</v>
      </c>
      <c r="H3" s="92">
        <v>0.12323877559400942</v>
      </c>
      <c r="I3" s="92">
        <v>-9.3752706779046457E-2</v>
      </c>
      <c r="J3" s="92">
        <v>5.574853447711714E-2</v>
      </c>
    </row>
    <row r="4" spans="1:10" x14ac:dyDescent="0.25">
      <c r="A4" s="85" t="s">
        <v>26</v>
      </c>
      <c r="B4" s="58">
        <v>279584.55</v>
      </c>
      <c r="C4" s="58">
        <v>242256.14933836184</v>
      </c>
      <c r="D4" s="58">
        <v>278153.87183000002</v>
      </c>
      <c r="E4" s="58">
        <v>352321.40860027913</v>
      </c>
      <c r="F4" s="58">
        <v>716110.51144000015</v>
      </c>
      <c r="G4" s="58">
        <v>648973.2126395728</v>
      </c>
      <c r="H4" s="92">
        <v>6.6050920407756175E-2</v>
      </c>
      <c r="I4" s="92">
        <v>-9.3752706779046457E-2</v>
      </c>
      <c r="J4" s="92">
        <v>-2.3784737656458499E-2</v>
      </c>
    </row>
    <row r="5" spans="1:10" x14ac:dyDescent="0.25">
      <c r="A5" s="86" t="s">
        <v>40</v>
      </c>
      <c r="B5" s="58">
        <v>44292.24</v>
      </c>
      <c r="C5" s="58">
        <v>38378.613939756549</v>
      </c>
      <c r="D5" s="58">
        <v>40241.433600000018</v>
      </c>
      <c r="E5" s="58">
        <v>51391.934147838721</v>
      </c>
      <c r="F5" s="58">
        <v>106162.86741999998</v>
      </c>
      <c r="G5" s="58">
        <v>96209.941766508244</v>
      </c>
      <c r="H5" s="92">
        <v>6.195015861223907E-2</v>
      </c>
      <c r="I5" s="92">
        <v>-9.3751477285519358E-2</v>
      </c>
      <c r="J5" s="92">
        <v>-2.4730659196392502E-2</v>
      </c>
    </row>
    <row r="6" spans="1:10" x14ac:dyDescent="0.25">
      <c r="A6" s="87" t="s">
        <v>25</v>
      </c>
      <c r="B6" s="58">
        <v>44292.24</v>
      </c>
      <c r="C6" s="58">
        <v>38378.613939756549</v>
      </c>
      <c r="D6" s="58">
        <v>40241.433600000018</v>
      </c>
      <c r="E6" s="58">
        <v>51391.934147838721</v>
      </c>
      <c r="F6" s="58">
        <v>106162.86741999998</v>
      </c>
      <c r="G6" s="58">
        <v>96209.941766508244</v>
      </c>
      <c r="H6" s="92">
        <v>6.195015861223907E-2</v>
      </c>
      <c r="I6" s="92">
        <v>-9.3751477285519358E-2</v>
      </c>
      <c r="J6" s="92">
        <v>-2.4730659196392502E-2</v>
      </c>
    </row>
    <row r="7" spans="1:10" x14ac:dyDescent="0.25">
      <c r="A7" s="88" t="s">
        <v>25</v>
      </c>
      <c r="B7" s="58">
        <v>44292.24</v>
      </c>
      <c r="C7" s="58">
        <v>38378.613939756549</v>
      </c>
      <c r="D7" s="58">
        <v>40241.433600000018</v>
      </c>
      <c r="E7" s="58">
        <v>51391.934147838721</v>
      </c>
      <c r="F7" s="58">
        <v>106162.86741999998</v>
      </c>
      <c r="G7" s="58">
        <v>96209.941766508244</v>
      </c>
      <c r="H7" s="92">
        <v>6.195015861223907E-2</v>
      </c>
      <c r="I7" s="92">
        <v>-9.3751477285519358E-2</v>
      </c>
      <c r="J7" s="92">
        <v>-2.4730659196392502E-2</v>
      </c>
    </row>
    <row r="8" spans="1:10" x14ac:dyDescent="0.25">
      <c r="A8" s="89" t="s">
        <v>25</v>
      </c>
      <c r="B8" s="58">
        <v>44292.24</v>
      </c>
      <c r="C8" s="58">
        <v>38378.613939756549</v>
      </c>
      <c r="D8" s="58">
        <v>40241.433600000018</v>
      </c>
      <c r="E8" s="58">
        <v>51391.934147838721</v>
      </c>
      <c r="F8" s="58">
        <v>106162.86741999998</v>
      </c>
      <c r="G8" s="58">
        <v>96209.941766508244</v>
      </c>
      <c r="H8" s="92">
        <v>6.195015861223907E-2</v>
      </c>
      <c r="I8" s="92">
        <v>-9.3751477285519358E-2</v>
      </c>
      <c r="J8" s="92">
        <v>-2.4730659196392502E-2</v>
      </c>
    </row>
    <row r="9" spans="1:10" x14ac:dyDescent="0.25">
      <c r="A9" s="90" t="s">
        <v>37</v>
      </c>
      <c r="B9" s="58">
        <v>0</v>
      </c>
      <c r="C9" s="58">
        <v>0</v>
      </c>
      <c r="D9" s="58">
        <v>23177.790850000001</v>
      </c>
      <c r="E9" s="58">
        <v>35967.643483723878</v>
      </c>
      <c r="F9" s="58">
        <v>99929.663299999986</v>
      </c>
      <c r="G9" s="58">
        <v>90563.038869670476</v>
      </c>
      <c r="H9" s="92">
        <v>0.55181499895723984</v>
      </c>
      <c r="I9" s="92">
        <v>-9.3732172420213811E-2</v>
      </c>
      <c r="J9" s="92">
        <v>2.780683125185357E-2</v>
      </c>
    </row>
    <row r="10" spans="1:10" x14ac:dyDescent="0.25">
      <c r="A10" s="91">
        <v>44409</v>
      </c>
      <c r="B10" s="58">
        <v>0</v>
      </c>
      <c r="C10" s="58">
        <v>0</v>
      </c>
      <c r="D10" s="58">
        <v>2958.9296399999998</v>
      </c>
      <c r="E10" s="58">
        <v>4591.7113962111471</v>
      </c>
      <c r="F10" s="58">
        <v>12757.24872</v>
      </c>
      <c r="G10" s="58">
        <v>11561.484083369407</v>
      </c>
      <c r="H10" s="92">
        <v>0.55181499895724029</v>
      </c>
      <c r="I10" s="92">
        <v>-9.3732172420213811E-2</v>
      </c>
      <c r="J10" s="92">
        <v>2.780683125185357E-2</v>
      </c>
    </row>
    <row r="11" spans="1:10" x14ac:dyDescent="0.25">
      <c r="A11" s="91">
        <v>44440</v>
      </c>
      <c r="B11" s="58">
        <v>0</v>
      </c>
      <c r="C11" s="58">
        <v>0</v>
      </c>
      <c r="D11" s="58">
        <v>2953.1038699999999</v>
      </c>
      <c r="E11" s="58">
        <v>4582.670878944672</v>
      </c>
      <c r="F11" s="58">
        <v>12732.13126</v>
      </c>
      <c r="G11" s="58">
        <v>11538.720937460886</v>
      </c>
      <c r="H11" s="92">
        <v>0.55181499895724029</v>
      </c>
      <c r="I11" s="92">
        <v>-9.3732172420213811E-2</v>
      </c>
      <c r="J11" s="92">
        <v>2.780683125185357E-2</v>
      </c>
    </row>
    <row r="12" spans="1:10" x14ac:dyDescent="0.25">
      <c r="A12" s="91">
        <v>44470</v>
      </c>
      <c r="B12" s="58">
        <v>0</v>
      </c>
      <c r="C12" s="58">
        <v>0</v>
      </c>
      <c r="D12" s="58">
        <v>2951.7702600000002</v>
      </c>
      <c r="E12" s="58">
        <v>4580.601362943913</v>
      </c>
      <c r="F12" s="58">
        <v>12726.38148</v>
      </c>
      <c r="G12" s="58">
        <v>11533.510096831224</v>
      </c>
      <c r="H12" s="92">
        <v>0.55181499895724029</v>
      </c>
      <c r="I12" s="92">
        <v>-9.3732172420213811E-2</v>
      </c>
      <c r="J12" s="92">
        <v>2.780683125185357E-2</v>
      </c>
    </row>
    <row r="13" spans="1:10" x14ac:dyDescent="0.25">
      <c r="A13" s="91">
        <v>44501</v>
      </c>
      <c r="B13" s="58">
        <v>0</v>
      </c>
      <c r="C13" s="58">
        <v>0</v>
      </c>
      <c r="D13" s="58">
        <v>3037.4722499999998</v>
      </c>
      <c r="E13" s="58">
        <v>4713.594996466396</v>
      </c>
      <c r="F13" s="58">
        <v>13095.880499999999</v>
      </c>
      <c r="G13" s="58">
        <v>11868.375170979483</v>
      </c>
      <c r="H13" s="92">
        <v>0.55181499895724029</v>
      </c>
      <c r="I13" s="92">
        <v>-9.3732172420213811E-2</v>
      </c>
      <c r="J13" s="92">
        <v>2.780683125185357E-2</v>
      </c>
    </row>
    <row r="14" spans="1:10" x14ac:dyDescent="0.25">
      <c r="A14" s="91">
        <v>44531</v>
      </c>
      <c r="B14" s="58">
        <v>0</v>
      </c>
      <c r="C14" s="58">
        <v>0</v>
      </c>
      <c r="D14" s="58">
        <v>1276.6859099999999</v>
      </c>
      <c r="E14" s="58">
        <v>1981.1803440953734</v>
      </c>
      <c r="F14" s="58">
        <v>5504.3551800000005</v>
      </c>
      <c r="G14" s="58">
        <v>4988.4200112061426</v>
      </c>
      <c r="H14" s="92">
        <v>0.55181499895724029</v>
      </c>
      <c r="I14" s="92">
        <v>-9.3732172420213922E-2</v>
      </c>
      <c r="J14" s="92">
        <v>2.780683125185357E-2</v>
      </c>
    </row>
    <row r="15" spans="1:10" x14ac:dyDescent="0.25">
      <c r="A15" s="91">
        <v>44562</v>
      </c>
      <c r="B15" s="58">
        <v>0</v>
      </c>
      <c r="C15" s="58">
        <v>0</v>
      </c>
      <c r="D15" s="58">
        <v>1272.1937499999999</v>
      </c>
      <c r="E15" s="58">
        <v>1974.2093428296578</v>
      </c>
      <c r="F15" s="58">
        <v>5484.9875000000002</v>
      </c>
      <c r="G15" s="58">
        <v>4970.8677059272823</v>
      </c>
      <c r="H15" s="92">
        <v>0.55181499895724051</v>
      </c>
      <c r="I15" s="92">
        <v>-9.3732172420213922E-2</v>
      </c>
      <c r="J15" s="92">
        <v>2.7806831251853792E-2</v>
      </c>
    </row>
    <row r="16" spans="1:10" x14ac:dyDescent="0.25">
      <c r="A16" s="91">
        <v>44593</v>
      </c>
      <c r="B16" s="58">
        <v>0</v>
      </c>
      <c r="C16" s="58">
        <v>0</v>
      </c>
      <c r="D16" s="58">
        <v>1357.1938399999999</v>
      </c>
      <c r="E16" s="58">
        <v>2106.1137574043728</v>
      </c>
      <c r="F16" s="58">
        <v>5851.4603199999992</v>
      </c>
      <c r="G16" s="58">
        <v>5302.9902323757196</v>
      </c>
      <c r="H16" s="92">
        <v>0.55181499895724029</v>
      </c>
      <c r="I16" s="92">
        <v>-9.3732172420213811E-2</v>
      </c>
      <c r="J16" s="92">
        <v>2.7806831251853792E-2</v>
      </c>
    </row>
    <row r="17" spans="1:10" x14ac:dyDescent="0.25">
      <c r="A17" s="91">
        <v>44621</v>
      </c>
      <c r="B17" s="58">
        <v>0</v>
      </c>
      <c r="C17" s="58">
        <v>0</v>
      </c>
      <c r="D17" s="58">
        <v>1594.9273699999999</v>
      </c>
      <c r="E17" s="58">
        <v>2475.0322150134239</v>
      </c>
      <c r="F17" s="58">
        <v>6876.43426</v>
      </c>
      <c r="G17" s="58">
        <v>6231.8911383054137</v>
      </c>
      <c r="H17" s="92">
        <v>0.55181499895724029</v>
      </c>
      <c r="I17" s="92">
        <v>-9.3732172420213922E-2</v>
      </c>
      <c r="J17" s="92">
        <v>2.7806831251853792E-2</v>
      </c>
    </row>
    <row r="18" spans="1:10" x14ac:dyDescent="0.25">
      <c r="A18" s="91">
        <v>44652</v>
      </c>
      <c r="B18" s="58">
        <v>0</v>
      </c>
      <c r="C18" s="58">
        <v>0</v>
      </c>
      <c r="D18" s="58">
        <v>1348.3498999999999</v>
      </c>
      <c r="E18" s="58">
        <v>2092.3895986624952</v>
      </c>
      <c r="F18" s="58">
        <v>5813.3302000000003</v>
      </c>
      <c r="G18" s="58">
        <v>5268.4341313579644</v>
      </c>
      <c r="H18" s="92">
        <v>0.55181499895724051</v>
      </c>
      <c r="I18" s="92">
        <v>-9.3732172420213811E-2</v>
      </c>
      <c r="J18" s="92">
        <v>2.7806831251853792E-2</v>
      </c>
    </row>
    <row r="19" spans="1:10" x14ac:dyDescent="0.25">
      <c r="A19" s="91">
        <v>44682</v>
      </c>
      <c r="B19" s="58">
        <v>0</v>
      </c>
      <c r="C19" s="58">
        <v>0</v>
      </c>
      <c r="D19" s="58">
        <v>1510.2782299999999</v>
      </c>
      <c r="E19" s="58">
        <v>2343.6724099125927</v>
      </c>
      <c r="F19" s="58">
        <v>6511.4745400000002</v>
      </c>
      <c r="G19" s="58">
        <v>5901.1398857068871</v>
      </c>
      <c r="H19" s="92">
        <v>0.55181499895724029</v>
      </c>
      <c r="I19" s="92">
        <v>-9.3732172420213922E-2</v>
      </c>
      <c r="J19" s="92">
        <v>2.7806831251853792E-2</v>
      </c>
    </row>
    <row r="20" spans="1:10" x14ac:dyDescent="0.25">
      <c r="A20" s="91">
        <v>44713</v>
      </c>
      <c r="B20" s="58">
        <v>0</v>
      </c>
      <c r="C20" s="58">
        <v>0</v>
      </c>
      <c r="D20" s="58">
        <v>1449.9148299999999</v>
      </c>
      <c r="E20" s="58">
        <v>2249.9995804045375</v>
      </c>
      <c r="F20" s="58">
        <v>6251.2213400000001</v>
      </c>
      <c r="G20" s="58">
        <v>5665.2807835222002</v>
      </c>
      <c r="H20" s="92">
        <v>0.55181499895724051</v>
      </c>
      <c r="I20" s="92">
        <v>-9.3732172420213811E-2</v>
      </c>
      <c r="J20" s="92">
        <v>2.7806831251853792E-2</v>
      </c>
    </row>
    <row r="21" spans="1:10" x14ac:dyDescent="0.25">
      <c r="A21" s="91">
        <v>44743</v>
      </c>
      <c r="B21" s="58">
        <v>0</v>
      </c>
      <c r="C21" s="58">
        <v>0</v>
      </c>
      <c r="D21" s="58">
        <v>1466.9709999999998</v>
      </c>
      <c r="E21" s="58">
        <v>2276.4676008353017</v>
      </c>
      <c r="F21" s="58">
        <v>6324.7579999999998</v>
      </c>
      <c r="G21" s="58">
        <v>5731.9246926278729</v>
      </c>
      <c r="H21" s="92">
        <v>0.55181499895724051</v>
      </c>
      <c r="I21" s="92">
        <v>-9.3732172420213811E-2</v>
      </c>
      <c r="J21" s="92">
        <v>2.7806831251853792E-2</v>
      </c>
    </row>
    <row r="22" spans="1:10" x14ac:dyDescent="0.25">
      <c r="A22" s="90" t="s">
        <v>25</v>
      </c>
      <c r="B22" s="58">
        <v>44292.24</v>
      </c>
      <c r="C22" s="58">
        <v>38378.613939756549</v>
      </c>
      <c r="D22" s="58">
        <v>0</v>
      </c>
      <c r="E22" s="58">
        <v>0</v>
      </c>
      <c r="F22" s="58">
        <v>0</v>
      </c>
      <c r="G22" s="58">
        <v>0</v>
      </c>
      <c r="H22" s="92">
        <v>-0.13351381777583271</v>
      </c>
      <c r="I22" s="92">
        <v>0</v>
      </c>
      <c r="J22" s="92">
        <v>-0.13351381777583271</v>
      </c>
    </row>
    <row r="23" spans="1:10" x14ac:dyDescent="0.25">
      <c r="A23" s="91">
        <v>44409</v>
      </c>
      <c r="B23" s="58">
        <v>5454.8099999999995</v>
      </c>
      <c r="C23" s="58">
        <v>4726.51749165821</v>
      </c>
      <c r="D23" s="58">
        <v>0</v>
      </c>
      <c r="E23" s="58">
        <v>0</v>
      </c>
      <c r="F23" s="58">
        <v>0</v>
      </c>
      <c r="G23" s="58">
        <v>0</v>
      </c>
      <c r="H23" s="92">
        <v>-0.1335138177758326</v>
      </c>
      <c r="I23" s="92">
        <v>0</v>
      </c>
      <c r="J23" s="92">
        <v>-0.1335138177758326</v>
      </c>
    </row>
    <row r="24" spans="1:10" x14ac:dyDescent="0.25">
      <c r="A24" s="91">
        <v>44440</v>
      </c>
      <c r="B24" s="58">
        <v>6006.42</v>
      </c>
      <c r="C24" s="58">
        <v>5204.4799346348827</v>
      </c>
      <c r="D24" s="58">
        <v>0</v>
      </c>
      <c r="E24" s="58">
        <v>0</v>
      </c>
      <c r="F24" s="58">
        <v>0</v>
      </c>
      <c r="G24" s="58">
        <v>0</v>
      </c>
      <c r="H24" s="92">
        <v>-0.13351381777583271</v>
      </c>
      <c r="I24" s="92">
        <v>0</v>
      </c>
      <c r="J24" s="92">
        <v>-0.13351381777583271</v>
      </c>
    </row>
    <row r="25" spans="1:10" x14ac:dyDescent="0.25">
      <c r="A25" s="91">
        <v>44470</v>
      </c>
      <c r="B25" s="58">
        <v>3677.4</v>
      </c>
      <c r="C25" s="58">
        <v>3186.416286511153</v>
      </c>
      <c r="D25" s="58">
        <v>0</v>
      </c>
      <c r="E25" s="58">
        <v>0</v>
      </c>
      <c r="F25" s="58">
        <v>0</v>
      </c>
      <c r="G25" s="58">
        <v>0</v>
      </c>
      <c r="H25" s="92">
        <v>-0.13351381777583271</v>
      </c>
      <c r="I25" s="92">
        <v>0</v>
      </c>
      <c r="J25" s="92">
        <v>-0.13351381777583271</v>
      </c>
    </row>
    <row r="26" spans="1:10" x14ac:dyDescent="0.25">
      <c r="A26" s="91">
        <v>44501</v>
      </c>
      <c r="B26" s="58">
        <v>4515.03</v>
      </c>
      <c r="C26" s="58">
        <v>3912.2111073275819</v>
      </c>
      <c r="D26" s="58">
        <v>0</v>
      </c>
      <c r="E26" s="58">
        <v>0</v>
      </c>
      <c r="F26" s="58">
        <v>0</v>
      </c>
      <c r="G26" s="58">
        <v>0</v>
      </c>
      <c r="H26" s="92">
        <v>-0.13351381777583271</v>
      </c>
      <c r="I26" s="92">
        <v>0</v>
      </c>
      <c r="J26" s="92">
        <v>-0.13351381777583271</v>
      </c>
    </row>
    <row r="27" spans="1:10" x14ac:dyDescent="0.25">
      <c r="A27" s="91">
        <v>44531</v>
      </c>
      <c r="B27" s="58">
        <v>3391.38</v>
      </c>
      <c r="C27" s="58">
        <v>2938.5839086713963</v>
      </c>
      <c r="D27" s="58">
        <v>0</v>
      </c>
      <c r="E27" s="58">
        <v>0</v>
      </c>
      <c r="F27" s="58">
        <v>0</v>
      </c>
      <c r="G27" s="58">
        <v>0</v>
      </c>
      <c r="H27" s="92">
        <v>-0.13351381777583282</v>
      </c>
      <c r="I27" s="92">
        <v>0</v>
      </c>
      <c r="J27" s="92">
        <v>-0.13351381777583282</v>
      </c>
    </row>
    <row r="28" spans="1:10" x14ac:dyDescent="0.25">
      <c r="A28" s="91">
        <v>44562</v>
      </c>
      <c r="B28" s="58">
        <v>2553.75</v>
      </c>
      <c r="C28" s="58">
        <v>2212.7890878549674</v>
      </c>
      <c r="D28" s="58">
        <v>0</v>
      </c>
      <c r="E28" s="58">
        <v>0</v>
      </c>
      <c r="F28" s="58">
        <v>0</v>
      </c>
      <c r="G28" s="58">
        <v>0</v>
      </c>
      <c r="H28" s="92">
        <v>-0.1335138177758326</v>
      </c>
      <c r="I28" s="92">
        <v>0</v>
      </c>
      <c r="J28" s="92">
        <v>-0.1335138177758326</v>
      </c>
    </row>
    <row r="29" spans="1:10" x14ac:dyDescent="0.25">
      <c r="A29" s="91">
        <v>44593</v>
      </c>
      <c r="B29" s="58">
        <v>3023.64</v>
      </c>
      <c r="C29" s="58">
        <v>2619.942280020281</v>
      </c>
      <c r="D29" s="58">
        <v>0</v>
      </c>
      <c r="E29" s="58">
        <v>0</v>
      </c>
      <c r="F29" s="58">
        <v>0</v>
      </c>
      <c r="G29" s="58">
        <v>0</v>
      </c>
      <c r="H29" s="92">
        <v>-0.13351381777583271</v>
      </c>
      <c r="I29" s="92">
        <v>0</v>
      </c>
      <c r="J29" s="92">
        <v>-0.13351381777583271</v>
      </c>
    </row>
    <row r="30" spans="1:10" x14ac:dyDescent="0.25">
      <c r="A30" s="91">
        <v>44621</v>
      </c>
      <c r="B30" s="58">
        <v>3227.94</v>
      </c>
      <c r="C30" s="58">
        <v>2796.9654070486786</v>
      </c>
      <c r="D30" s="58">
        <v>0</v>
      </c>
      <c r="E30" s="58">
        <v>0</v>
      </c>
      <c r="F30" s="58">
        <v>0</v>
      </c>
      <c r="G30" s="58">
        <v>0</v>
      </c>
      <c r="H30" s="92">
        <v>-0.13351381777583271</v>
      </c>
      <c r="I30" s="92">
        <v>0</v>
      </c>
      <c r="J30" s="92">
        <v>-0.13351381777583271</v>
      </c>
    </row>
    <row r="31" spans="1:10" x14ac:dyDescent="0.25">
      <c r="A31" s="91">
        <v>44652</v>
      </c>
      <c r="B31" s="58">
        <v>2901.06</v>
      </c>
      <c r="C31" s="58">
        <v>2513.7284038032426</v>
      </c>
      <c r="D31" s="58">
        <v>0</v>
      </c>
      <c r="E31" s="58">
        <v>0</v>
      </c>
      <c r="F31" s="58">
        <v>0</v>
      </c>
      <c r="G31" s="58">
        <v>0</v>
      </c>
      <c r="H31" s="92">
        <v>-0.13351381777583271</v>
      </c>
      <c r="I31" s="92">
        <v>0</v>
      </c>
      <c r="J31" s="92">
        <v>-0.13351381777583271</v>
      </c>
    </row>
    <row r="32" spans="1:10" x14ac:dyDescent="0.25">
      <c r="A32" s="91">
        <v>44682</v>
      </c>
      <c r="B32" s="58">
        <v>2901.06</v>
      </c>
      <c r="C32" s="58">
        <v>2513.7284038032426</v>
      </c>
      <c r="D32" s="58">
        <v>0</v>
      </c>
      <c r="E32" s="58">
        <v>0</v>
      </c>
      <c r="F32" s="58">
        <v>0</v>
      </c>
      <c r="G32" s="58">
        <v>0</v>
      </c>
      <c r="H32" s="92">
        <v>-0.13351381777583271</v>
      </c>
      <c r="I32" s="92">
        <v>0</v>
      </c>
      <c r="J32" s="92">
        <v>-0.13351381777583271</v>
      </c>
    </row>
    <row r="33" spans="1:10" x14ac:dyDescent="0.25">
      <c r="A33" s="91">
        <v>44713</v>
      </c>
      <c r="B33" s="58">
        <v>3513.96</v>
      </c>
      <c r="C33" s="58">
        <v>3044.7977848884348</v>
      </c>
      <c r="D33" s="58">
        <v>0</v>
      </c>
      <c r="E33" s="58">
        <v>0</v>
      </c>
      <c r="F33" s="58">
        <v>0</v>
      </c>
      <c r="G33" s="58">
        <v>0</v>
      </c>
      <c r="H33" s="92">
        <v>-0.13351381777583271</v>
      </c>
      <c r="I33" s="92">
        <v>0</v>
      </c>
      <c r="J33" s="92">
        <v>-0.13351381777583271</v>
      </c>
    </row>
    <row r="34" spans="1:10" x14ac:dyDescent="0.25">
      <c r="A34" s="91">
        <v>44743</v>
      </c>
      <c r="B34" s="58">
        <v>3125.79</v>
      </c>
      <c r="C34" s="58">
        <v>2708.4538435344798</v>
      </c>
      <c r="D34" s="58">
        <v>0</v>
      </c>
      <c r="E34" s="58">
        <v>0</v>
      </c>
      <c r="F34" s="58">
        <v>0</v>
      </c>
      <c r="G34" s="58">
        <v>0</v>
      </c>
      <c r="H34" s="92">
        <v>-0.13351381777583271</v>
      </c>
      <c r="I34" s="92">
        <v>0</v>
      </c>
      <c r="J34" s="92">
        <v>-0.13351381777583271</v>
      </c>
    </row>
    <row r="35" spans="1:10" x14ac:dyDescent="0.25">
      <c r="A35" s="90" t="s">
        <v>36</v>
      </c>
      <c r="B35" s="58">
        <v>0</v>
      </c>
      <c r="C35" s="58">
        <v>0</v>
      </c>
      <c r="D35" s="58">
        <v>17063.642749999995</v>
      </c>
      <c r="E35" s="58">
        <v>15424.290664114853</v>
      </c>
      <c r="F35" s="58">
        <v>6233.2041200000021</v>
      </c>
      <c r="G35" s="58">
        <v>5646.9028968377661</v>
      </c>
      <c r="H35" s="92">
        <v>-9.607280871402113E-2</v>
      </c>
      <c r="I35" s="92">
        <v>-9.4060969587216992E-2</v>
      </c>
      <c r="J35" s="92">
        <v>-9.5534529692660408E-2</v>
      </c>
    </row>
    <row r="36" spans="1:10" x14ac:dyDescent="0.25">
      <c r="A36" s="91">
        <v>44409</v>
      </c>
      <c r="B36" s="58">
        <v>0</v>
      </c>
      <c r="C36" s="58">
        <v>0</v>
      </c>
      <c r="D36" s="58">
        <v>3602.0564999999997</v>
      </c>
      <c r="E36" s="58">
        <v>3255.9968148984026</v>
      </c>
      <c r="F36" s="58">
        <v>1315.80072</v>
      </c>
      <c r="G36" s="58">
        <v>1192.0352284932419</v>
      </c>
      <c r="H36" s="92">
        <v>-9.6072808714021352E-2</v>
      </c>
      <c r="I36" s="92">
        <v>-9.4060969587216881E-2</v>
      </c>
      <c r="J36" s="92">
        <v>-9.5534529692660741E-2</v>
      </c>
    </row>
    <row r="37" spans="1:10" x14ac:dyDescent="0.25">
      <c r="A37" s="91">
        <v>44440</v>
      </c>
      <c r="B37" s="58">
        <v>0</v>
      </c>
      <c r="C37" s="58">
        <v>0</v>
      </c>
      <c r="D37" s="58">
        <v>3667.3420000000001</v>
      </c>
      <c r="E37" s="58">
        <v>3315.0101535451035</v>
      </c>
      <c r="F37" s="58">
        <v>1339.6489600000002</v>
      </c>
      <c r="G37" s="58">
        <v>1213.6402799158934</v>
      </c>
      <c r="H37" s="92">
        <v>-9.6072808714021352E-2</v>
      </c>
      <c r="I37" s="92">
        <v>-9.4060969587216881E-2</v>
      </c>
      <c r="J37" s="92">
        <v>-9.5534529692660519E-2</v>
      </c>
    </row>
    <row r="38" spans="1:10" x14ac:dyDescent="0.25">
      <c r="A38" s="91">
        <v>44470</v>
      </c>
      <c r="B38" s="58">
        <v>0</v>
      </c>
      <c r="C38" s="58">
        <v>0</v>
      </c>
      <c r="D38" s="58">
        <v>3491.355</v>
      </c>
      <c r="E38" s="58">
        <v>3155.9307189322576</v>
      </c>
      <c r="F38" s="58">
        <v>1275.3624000000002</v>
      </c>
      <c r="G38" s="58">
        <v>1155.40057608092</v>
      </c>
      <c r="H38" s="92">
        <v>-9.6072808714021463E-2</v>
      </c>
      <c r="I38" s="92">
        <v>-9.4060969587217103E-2</v>
      </c>
      <c r="J38" s="92">
        <v>-9.5534529692660741E-2</v>
      </c>
    </row>
    <row r="39" spans="1:10" x14ac:dyDescent="0.25">
      <c r="A39" s="91">
        <v>44501</v>
      </c>
      <c r="B39" s="58">
        <v>0</v>
      </c>
      <c r="C39" s="58">
        <v>0</v>
      </c>
      <c r="D39" s="58">
        <v>3795.0744999999997</v>
      </c>
      <c r="E39" s="58">
        <v>3430.4710335060395</v>
      </c>
      <c r="F39" s="58">
        <v>1386.3085600000002</v>
      </c>
      <c r="G39" s="58">
        <v>1255.9110326993416</v>
      </c>
      <c r="H39" s="92">
        <v>-9.6072808714021352E-2</v>
      </c>
      <c r="I39" s="92">
        <v>-9.4060969587216992E-2</v>
      </c>
      <c r="J39" s="92">
        <v>-9.553452969266063E-2</v>
      </c>
    </row>
    <row r="40" spans="1:10" x14ac:dyDescent="0.25">
      <c r="A40" s="91">
        <v>44531</v>
      </c>
      <c r="B40" s="58">
        <v>0</v>
      </c>
      <c r="C40" s="58">
        <v>0</v>
      </c>
      <c r="D40" s="58">
        <v>288.10775000000001</v>
      </c>
      <c r="E40" s="58">
        <v>260.4284292452229</v>
      </c>
      <c r="F40" s="58">
        <v>105.24332000000001</v>
      </c>
      <c r="G40" s="58">
        <v>95.344031278222275</v>
      </c>
      <c r="H40" s="92">
        <v>-9.6072808714021463E-2</v>
      </c>
      <c r="I40" s="92">
        <v>-9.4060969587216881E-2</v>
      </c>
      <c r="J40" s="92">
        <v>-9.5534529692660852E-2</v>
      </c>
    </row>
    <row r="41" spans="1:10" x14ac:dyDescent="0.25">
      <c r="A41" s="91">
        <v>44562</v>
      </c>
      <c r="B41" s="58">
        <v>0</v>
      </c>
      <c r="C41" s="58">
        <v>0</v>
      </c>
      <c r="D41" s="58">
        <v>198.69500000000002</v>
      </c>
      <c r="E41" s="58">
        <v>179.60581327256753</v>
      </c>
      <c r="F41" s="58">
        <v>72.581600000000009</v>
      </c>
      <c r="G41" s="58">
        <v>65.754504329808469</v>
      </c>
      <c r="H41" s="92">
        <v>-9.6072808714021463E-2</v>
      </c>
      <c r="I41" s="92">
        <v>-9.4060969587216881E-2</v>
      </c>
      <c r="J41" s="92">
        <v>-9.553452969266063E-2</v>
      </c>
    </row>
    <row r="42" spans="1:10" x14ac:dyDescent="0.25">
      <c r="A42" s="91">
        <v>44593</v>
      </c>
      <c r="B42" s="58">
        <v>0</v>
      </c>
      <c r="C42" s="58">
        <v>0</v>
      </c>
      <c r="D42" s="58">
        <v>161.7945</v>
      </c>
      <c r="E42" s="58">
        <v>146.25044795051926</v>
      </c>
      <c r="F42" s="58">
        <v>59.102160000000005</v>
      </c>
      <c r="G42" s="58">
        <v>53.542953525701179</v>
      </c>
      <c r="H42" s="92">
        <v>-9.6072808714021463E-2</v>
      </c>
      <c r="I42" s="92">
        <v>-9.4060969587216881E-2</v>
      </c>
      <c r="J42" s="92">
        <v>-9.5534529692660741E-2</v>
      </c>
    </row>
    <row r="43" spans="1:10" x14ac:dyDescent="0.25">
      <c r="A43" s="91">
        <v>44621</v>
      </c>
      <c r="B43" s="58">
        <v>0</v>
      </c>
      <c r="C43" s="58">
        <v>0</v>
      </c>
      <c r="D43" s="58">
        <v>261.142</v>
      </c>
      <c r="E43" s="58">
        <v>236.05335458680301</v>
      </c>
      <c r="F43" s="58">
        <v>95.392960000000002</v>
      </c>
      <c r="G43" s="58">
        <v>86.4202056906054</v>
      </c>
      <c r="H43" s="92">
        <v>-9.6072808714021463E-2</v>
      </c>
      <c r="I43" s="92">
        <v>-9.4060969587216992E-2</v>
      </c>
      <c r="J43" s="92">
        <v>-9.5534529692660741E-2</v>
      </c>
    </row>
    <row r="44" spans="1:10" x14ac:dyDescent="0.25">
      <c r="A44" s="91">
        <v>44652</v>
      </c>
      <c r="B44" s="58">
        <v>0</v>
      </c>
      <c r="C44" s="58">
        <v>0</v>
      </c>
      <c r="D44" s="58">
        <v>254.04575</v>
      </c>
      <c r="E44" s="58">
        <v>229.63886125563988</v>
      </c>
      <c r="F44" s="58">
        <v>92.800760000000011</v>
      </c>
      <c r="G44" s="58">
        <v>84.071830535969383</v>
      </c>
      <c r="H44" s="92">
        <v>-9.6072808714021463E-2</v>
      </c>
      <c r="I44" s="92">
        <v>-9.4060969587216992E-2</v>
      </c>
      <c r="J44" s="92">
        <v>-9.553452969266063E-2</v>
      </c>
    </row>
    <row r="45" spans="1:10" x14ac:dyDescent="0.25">
      <c r="A45" s="91">
        <v>44682</v>
      </c>
      <c r="B45" s="58">
        <v>0</v>
      </c>
      <c r="C45" s="58">
        <v>0</v>
      </c>
      <c r="D45" s="58">
        <v>245.53025</v>
      </c>
      <c r="E45" s="58">
        <v>221.94146925824413</v>
      </c>
      <c r="F45" s="58">
        <v>89.690120000000007</v>
      </c>
      <c r="G45" s="58">
        <v>81.25378035040616</v>
      </c>
      <c r="H45" s="92">
        <v>-9.6072808714021463E-2</v>
      </c>
      <c r="I45" s="92">
        <v>-9.4060969587216992E-2</v>
      </c>
      <c r="J45" s="92">
        <v>-9.5534529692660741E-2</v>
      </c>
    </row>
    <row r="46" spans="1:10" x14ac:dyDescent="0.25">
      <c r="A46" s="91">
        <v>44713</v>
      </c>
      <c r="B46" s="58">
        <v>0</v>
      </c>
      <c r="C46" s="58">
        <v>0</v>
      </c>
      <c r="D46" s="58">
        <v>455.57925</v>
      </c>
      <c r="E46" s="58">
        <v>411.81047186067269</v>
      </c>
      <c r="F46" s="58">
        <v>166.41924000000003</v>
      </c>
      <c r="G46" s="58">
        <v>150.76568492763226</v>
      </c>
      <c r="H46" s="92">
        <v>-9.6072808714021352E-2</v>
      </c>
      <c r="I46" s="92">
        <v>-9.4060969587216992E-2</v>
      </c>
      <c r="J46" s="92">
        <v>-9.553452969266063E-2</v>
      </c>
    </row>
    <row r="47" spans="1:10" x14ac:dyDescent="0.25">
      <c r="A47" s="91">
        <v>44743</v>
      </c>
      <c r="B47" s="58">
        <v>0</v>
      </c>
      <c r="C47" s="58">
        <v>0</v>
      </c>
      <c r="D47" s="58">
        <v>642.92025000000001</v>
      </c>
      <c r="E47" s="58">
        <v>581.15309580337919</v>
      </c>
      <c r="F47" s="58">
        <v>234.85332000000002</v>
      </c>
      <c r="G47" s="58">
        <v>212.76278901002311</v>
      </c>
      <c r="H47" s="92">
        <v>-9.6072808714021352E-2</v>
      </c>
      <c r="I47" s="92">
        <v>-9.4060969587216881E-2</v>
      </c>
      <c r="J47" s="92">
        <v>-9.5534529692660741E-2</v>
      </c>
    </row>
    <row r="48" spans="1:10" x14ac:dyDescent="0.25">
      <c r="A48" s="86" t="s">
        <v>33</v>
      </c>
      <c r="B48" s="58">
        <v>235292.31</v>
      </c>
      <c r="C48" s="58">
        <v>203877.53539860528</v>
      </c>
      <c r="D48" s="58">
        <v>237912.43822999994</v>
      </c>
      <c r="E48" s="58">
        <v>300929.47445244039</v>
      </c>
      <c r="F48" s="58">
        <v>609947.64402000012</v>
      </c>
      <c r="G48" s="58">
        <v>552763.27087306464</v>
      </c>
      <c r="H48" s="92">
        <v>6.6783483765225471E-2</v>
      </c>
      <c r="I48" s="92">
        <v>-9.375292077537789E-2</v>
      </c>
      <c r="J48" s="92">
        <v>-2.3618201565108299E-2</v>
      </c>
    </row>
    <row r="49" spans="1:10" x14ac:dyDescent="0.25">
      <c r="A49" s="87" t="s">
        <v>25</v>
      </c>
      <c r="B49" s="58">
        <v>235292.31</v>
      </c>
      <c r="C49" s="58">
        <v>203877.53539860528</v>
      </c>
      <c r="D49" s="58">
        <v>237912.43822999994</v>
      </c>
      <c r="E49" s="58">
        <v>300929.47445244039</v>
      </c>
      <c r="F49" s="58">
        <v>609947.64402000012</v>
      </c>
      <c r="G49" s="58">
        <v>552763.27087306464</v>
      </c>
      <c r="H49" s="92">
        <v>6.6783483765225471E-2</v>
      </c>
      <c r="I49" s="92">
        <v>-9.375292077537789E-2</v>
      </c>
      <c r="J49" s="92">
        <v>-2.3618201565108299E-2</v>
      </c>
    </row>
    <row r="50" spans="1:10" x14ac:dyDescent="0.25">
      <c r="A50" s="88" t="s">
        <v>25</v>
      </c>
      <c r="B50" s="58">
        <v>235292.31</v>
      </c>
      <c r="C50" s="58">
        <v>203877.53539860528</v>
      </c>
      <c r="D50" s="58">
        <v>237912.43822999994</v>
      </c>
      <c r="E50" s="58">
        <v>300929.47445244039</v>
      </c>
      <c r="F50" s="58">
        <v>609947.64402000012</v>
      </c>
      <c r="G50" s="58">
        <v>552763.27087306464</v>
      </c>
      <c r="H50" s="92">
        <v>6.6783483765225471E-2</v>
      </c>
      <c r="I50" s="92">
        <v>-9.375292077537789E-2</v>
      </c>
      <c r="J50" s="92">
        <v>-2.3618201565108299E-2</v>
      </c>
    </row>
    <row r="51" spans="1:10" x14ac:dyDescent="0.25">
      <c r="A51" s="89" t="s">
        <v>25</v>
      </c>
      <c r="B51" s="58">
        <v>235292.31</v>
      </c>
      <c r="C51" s="58">
        <v>203877.53539860528</v>
      </c>
      <c r="D51" s="58">
        <v>237912.43822999994</v>
      </c>
      <c r="E51" s="58">
        <v>300929.47445244039</v>
      </c>
      <c r="F51" s="58">
        <v>609947.64402000012</v>
      </c>
      <c r="G51" s="58">
        <v>552763.27087306464</v>
      </c>
      <c r="H51" s="92">
        <v>6.6783483765225471E-2</v>
      </c>
      <c r="I51" s="92">
        <v>-9.375292077537789E-2</v>
      </c>
      <c r="J51" s="92">
        <v>-2.3618201565108299E-2</v>
      </c>
    </row>
    <row r="52" spans="1:10" x14ac:dyDescent="0.25">
      <c r="A52" s="90" t="s">
        <v>37</v>
      </c>
      <c r="B52" s="58">
        <v>0</v>
      </c>
      <c r="C52" s="58">
        <v>0</v>
      </c>
      <c r="D52" s="58">
        <v>132544.47972999996</v>
      </c>
      <c r="E52" s="58">
        <v>205684.51167399791</v>
      </c>
      <c r="F52" s="58">
        <v>571457.62154000008</v>
      </c>
      <c r="G52" s="58">
        <v>517893.65722696751</v>
      </c>
      <c r="H52" s="92">
        <v>0.55181499895724073</v>
      </c>
      <c r="I52" s="92">
        <v>-9.3732172420213811E-2</v>
      </c>
      <c r="J52" s="92">
        <v>2.7806831251854014E-2</v>
      </c>
    </row>
    <row r="53" spans="1:10" x14ac:dyDescent="0.25">
      <c r="A53" s="91">
        <v>44409</v>
      </c>
      <c r="B53" s="58">
        <v>0</v>
      </c>
      <c r="C53" s="58">
        <v>0</v>
      </c>
      <c r="D53" s="58">
        <v>12641.64014</v>
      </c>
      <c r="E53" s="58">
        <v>19617.486780671908</v>
      </c>
      <c r="F53" s="58">
        <v>54503.67772</v>
      </c>
      <c r="G53" s="58">
        <v>49394.929602413191</v>
      </c>
      <c r="H53" s="92">
        <v>0.55181499895724051</v>
      </c>
      <c r="I53" s="92">
        <v>-9.3732172420213811E-2</v>
      </c>
      <c r="J53" s="92">
        <v>2.7806831251853792E-2</v>
      </c>
    </row>
    <row r="54" spans="1:10" x14ac:dyDescent="0.25">
      <c r="A54" s="91">
        <v>44440</v>
      </c>
      <c r="B54" s="58">
        <v>0</v>
      </c>
      <c r="C54" s="58">
        <v>0</v>
      </c>
      <c r="D54" s="58">
        <v>12171.086379999999</v>
      </c>
      <c r="E54" s="58">
        <v>18887.274398088182</v>
      </c>
      <c r="F54" s="58">
        <v>52474.913239999994</v>
      </c>
      <c r="G54" s="58">
        <v>47556.325624452555</v>
      </c>
      <c r="H54" s="92">
        <v>0.55181499895724051</v>
      </c>
      <c r="I54" s="92">
        <v>-9.3732172420213811E-2</v>
      </c>
      <c r="J54" s="92">
        <v>2.7806831251853792E-2</v>
      </c>
    </row>
    <row r="55" spans="1:10" x14ac:dyDescent="0.25">
      <c r="A55" s="91">
        <v>44470</v>
      </c>
      <c r="B55" s="58">
        <v>0</v>
      </c>
      <c r="C55" s="58">
        <v>0</v>
      </c>
      <c r="D55" s="58">
        <v>13416.046410000001</v>
      </c>
      <c r="E55" s="58">
        <v>20819.222045744438</v>
      </c>
      <c r="F55" s="58">
        <v>57842.484180000007</v>
      </c>
      <c r="G55" s="58">
        <v>52420.782479626752</v>
      </c>
      <c r="H55" s="92">
        <v>0.55181499895724029</v>
      </c>
      <c r="I55" s="92">
        <v>-9.3732172420213922E-2</v>
      </c>
      <c r="J55" s="92">
        <v>2.780683125185357E-2</v>
      </c>
    </row>
    <row r="56" spans="1:10" x14ac:dyDescent="0.25">
      <c r="A56" s="91">
        <v>44501</v>
      </c>
      <c r="B56" s="58">
        <v>0</v>
      </c>
      <c r="C56" s="58">
        <v>0</v>
      </c>
      <c r="D56" s="58">
        <v>14505.53559</v>
      </c>
      <c r="E56" s="58">
        <v>22509.907696470062</v>
      </c>
      <c r="F56" s="58">
        <v>62539.751820000005</v>
      </c>
      <c r="G56" s="58">
        <v>56677.765019290375</v>
      </c>
      <c r="H56" s="92">
        <v>0.55181499895724029</v>
      </c>
      <c r="I56" s="92">
        <v>-9.3732172420213922E-2</v>
      </c>
      <c r="J56" s="92">
        <v>2.780683125185357E-2</v>
      </c>
    </row>
    <row r="57" spans="1:10" x14ac:dyDescent="0.25">
      <c r="A57" s="91">
        <v>44531</v>
      </c>
      <c r="B57" s="58">
        <v>0</v>
      </c>
      <c r="C57" s="58">
        <v>0</v>
      </c>
      <c r="D57" s="58">
        <v>11139.223189999999</v>
      </c>
      <c r="E57" s="58">
        <v>17286.013622974318</v>
      </c>
      <c r="F57" s="58">
        <v>48026.096619999997</v>
      </c>
      <c r="G57" s="58">
        <v>43524.506250944309</v>
      </c>
      <c r="H57" s="92">
        <v>0.55181499895724051</v>
      </c>
      <c r="I57" s="92">
        <v>-9.3732172420213811E-2</v>
      </c>
      <c r="J57" s="92">
        <v>2.7806831251853792E-2</v>
      </c>
    </row>
    <row r="58" spans="1:10" x14ac:dyDescent="0.25">
      <c r="A58" s="91">
        <v>44562</v>
      </c>
      <c r="B58" s="58">
        <v>0</v>
      </c>
      <c r="C58" s="58">
        <v>0</v>
      </c>
      <c r="D58" s="58">
        <v>9403.7754399999994</v>
      </c>
      <c r="E58" s="58">
        <v>14592.919774617721</v>
      </c>
      <c r="F58" s="58">
        <v>40543.81712</v>
      </c>
      <c r="G58" s="58">
        <v>36743.55706313454</v>
      </c>
      <c r="H58" s="92">
        <v>0.55181499895724029</v>
      </c>
      <c r="I58" s="92">
        <v>-9.3732172420213922E-2</v>
      </c>
      <c r="J58" s="92">
        <v>2.7806831251853792E-2</v>
      </c>
    </row>
    <row r="59" spans="1:10" x14ac:dyDescent="0.25">
      <c r="A59" s="91">
        <v>44593</v>
      </c>
      <c r="B59" s="58">
        <v>0</v>
      </c>
      <c r="C59" s="58">
        <v>0</v>
      </c>
      <c r="D59" s="58">
        <v>9732.9665399999994</v>
      </c>
      <c r="E59" s="58">
        <v>15103.763461120954</v>
      </c>
      <c r="F59" s="58">
        <v>41963.104919999998</v>
      </c>
      <c r="G59" s="58">
        <v>38029.811934351033</v>
      </c>
      <c r="H59" s="92">
        <v>0.55181499895724029</v>
      </c>
      <c r="I59" s="92">
        <v>-9.3732172420213811E-2</v>
      </c>
      <c r="J59" s="92">
        <v>2.780683125185357E-2</v>
      </c>
    </row>
    <row r="60" spans="1:10" x14ac:dyDescent="0.25">
      <c r="A60" s="91">
        <v>44621</v>
      </c>
      <c r="B60" s="58">
        <v>0</v>
      </c>
      <c r="C60" s="58">
        <v>0</v>
      </c>
      <c r="D60" s="58">
        <v>10578.054139999998</v>
      </c>
      <c r="E60" s="58">
        <v>16415.18307423373</v>
      </c>
      <c r="F60" s="58">
        <v>45606.649719999994</v>
      </c>
      <c r="G60" s="58">
        <v>41331.839364936663</v>
      </c>
      <c r="H60" s="92">
        <v>0.55181499895724029</v>
      </c>
      <c r="I60" s="92">
        <v>-9.37321724202137E-2</v>
      </c>
      <c r="J60" s="92">
        <v>2.7806831251853792E-2</v>
      </c>
    </row>
    <row r="61" spans="1:10" x14ac:dyDescent="0.25">
      <c r="A61" s="91">
        <v>44652</v>
      </c>
      <c r="B61" s="58">
        <v>0</v>
      </c>
      <c r="C61" s="58">
        <v>0</v>
      </c>
      <c r="D61" s="58">
        <v>8407.6389600000002</v>
      </c>
      <c r="E61" s="58">
        <v>13047.100243945253</v>
      </c>
      <c r="F61" s="58">
        <v>36249.034080000005</v>
      </c>
      <c r="G61" s="58">
        <v>32851.333367547231</v>
      </c>
      <c r="H61" s="92">
        <v>0.55181499895724029</v>
      </c>
      <c r="I61" s="92">
        <v>-9.3732172420214033E-2</v>
      </c>
      <c r="J61" s="92">
        <v>2.7806831251853348E-2</v>
      </c>
    </row>
    <row r="62" spans="1:10" x14ac:dyDescent="0.25">
      <c r="A62" s="91">
        <v>44682</v>
      </c>
      <c r="B62" s="58">
        <v>0</v>
      </c>
      <c r="C62" s="58">
        <v>0</v>
      </c>
      <c r="D62" s="58">
        <v>10396.823559999999</v>
      </c>
      <c r="E62" s="58">
        <v>16133.946741920012</v>
      </c>
      <c r="F62" s="58">
        <v>44825.284879999999</v>
      </c>
      <c r="G62" s="58">
        <v>40623.713548842636</v>
      </c>
      <c r="H62" s="92">
        <v>0.55181499895724051</v>
      </c>
      <c r="I62" s="92">
        <v>-9.3732172420213811E-2</v>
      </c>
      <c r="J62" s="92">
        <v>2.7806831251853792E-2</v>
      </c>
    </row>
    <row r="63" spans="1:10" x14ac:dyDescent="0.25">
      <c r="A63" s="91">
        <v>44713</v>
      </c>
      <c r="B63" s="58">
        <v>0</v>
      </c>
      <c r="C63" s="58">
        <v>0</v>
      </c>
      <c r="D63" s="58">
        <v>10060.402889999999</v>
      </c>
      <c r="E63" s="58">
        <v>15611.884100254767</v>
      </c>
      <c r="F63" s="58">
        <v>43374.827219999999</v>
      </c>
      <c r="G63" s="58">
        <v>39309.210436317975</v>
      </c>
      <c r="H63" s="92">
        <v>0.55181499895724029</v>
      </c>
      <c r="I63" s="92">
        <v>-9.3732172420213811E-2</v>
      </c>
      <c r="J63" s="92">
        <v>2.7806831251853792E-2</v>
      </c>
    </row>
    <row r="64" spans="1:10" x14ac:dyDescent="0.25">
      <c r="A64" s="91">
        <v>44743</v>
      </c>
      <c r="B64" s="58">
        <v>0</v>
      </c>
      <c r="C64" s="58">
        <v>0</v>
      </c>
      <c r="D64" s="58">
        <v>10091.286489999999</v>
      </c>
      <c r="E64" s="58">
        <v>15659.809733956563</v>
      </c>
      <c r="F64" s="58">
        <v>43507.980019999995</v>
      </c>
      <c r="G64" s="58">
        <v>39429.88253511014</v>
      </c>
      <c r="H64" s="92">
        <v>0.55181499895724051</v>
      </c>
      <c r="I64" s="92">
        <v>-9.3732172420213811E-2</v>
      </c>
      <c r="J64" s="92">
        <v>2.7806831251853792E-2</v>
      </c>
    </row>
    <row r="65" spans="1:10" x14ac:dyDescent="0.25">
      <c r="A65" s="90" t="s">
        <v>25</v>
      </c>
      <c r="B65" s="58">
        <v>235292.31</v>
      </c>
      <c r="C65" s="58">
        <v>203877.53539860528</v>
      </c>
      <c r="D65" s="58">
        <v>0</v>
      </c>
      <c r="E65" s="58">
        <v>0</v>
      </c>
      <c r="F65" s="58">
        <v>0</v>
      </c>
      <c r="G65" s="58">
        <v>0</v>
      </c>
      <c r="H65" s="92">
        <v>-0.1335138177758326</v>
      </c>
      <c r="I65" s="92">
        <v>0</v>
      </c>
      <c r="J65" s="92">
        <v>-0.1335138177758326</v>
      </c>
    </row>
    <row r="66" spans="1:10" x14ac:dyDescent="0.25">
      <c r="A66" s="91">
        <v>44409</v>
      </c>
      <c r="B66" s="58">
        <v>21655.8</v>
      </c>
      <c r="C66" s="58">
        <v>18764.451465010123</v>
      </c>
      <c r="D66" s="58">
        <v>0</v>
      </c>
      <c r="E66" s="58">
        <v>0</v>
      </c>
      <c r="F66" s="58">
        <v>0</v>
      </c>
      <c r="G66" s="58">
        <v>0</v>
      </c>
      <c r="H66" s="92">
        <v>-0.1335138177758326</v>
      </c>
      <c r="I66" s="92">
        <v>0</v>
      </c>
      <c r="J66" s="92">
        <v>-0.1335138177758326</v>
      </c>
    </row>
    <row r="67" spans="1:10" x14ac:dyDescent="0.25">
      <c r="A67" s="91">
        <v>44440</v>
      </c>
      <c r="B67" s="58">
        <v>21594.51</v>
      </c>
      <c r="C67" s="58">
        <v>18711.344526901601</v>
      </c>
      <c r="D67" s="58">
        <v>0</v>
      </c>
      <c r="E67" s="58">
        <v>0</v>
      </c>
      <c r="F67" s="58">
        <v>0</v>
      </c>
      <c r="G67" s="58">
        <v>0</v>
      </c>
      <c r="H67" s="92">
        <v>-0.13351381777583271</v>
      </c>
      <c r="I67" s="92">
        <v>0</v>
      </c>
      <c r="J67" s="92">
        <v>-0.13351381777583271</v>
      </c>
    </row>
    <row r="68" spans="1:10" x14ac:dyDescent="0.25">
      <c r="A68" s="91">
        <v>44470</v>
      </c>
      <c r="B68" s="58">
        <v>19510.650000000001</v>
      </c>
      <c r="C68" s="58">
        <v>16905.70863121195</v>
      </c>
      <c r="D68" s="58">
        <v>0</v>
      </c>
      <c r="E68" s="58">
        <v>0</v>
      </c>
      <c r="F68" s="58">
        <v>0</v>
      </c>
      <c r="G68" s="58">
        <v>0</v>
      </c>
      <c r="H68" s="92">
        <v>-0.13351381777583271</v>
      </c>
      <c r="I68" s="92">
        <v>0</v>
      </c>
      <c r="J68" s="92">
        <v>-0.13351381777583271</v>
      </c>
    </row>
    <row r="69" spans="1:10" x14ac:dyDescent="0.25">
      <c r="A69" s="91">
        <v>44501</v>
      </c>
      <c r="B69" s="58">
        <v>20082.689999999999</v>
      </c>
      <c r="C69" s="58">
        <v>17401.373386891461</v>
      </c>
      <c r="D69" s="58">
        <v>0</v>
      </c>
      <c r="E69" s="58">
        <v>0</v>
      </c>
      <c r="F69" s="58">
        <v>0</v>
      </c>
      <c r="G69" s="58">
        <v>0</v>
      </c>
      <c r="H69" s="92">
        <v>-0.13351381777583271</v>
      </c>
      <c r="I69" s="92">
        <v>0</v>
      </c>
      <c r="J69" s="92">
        <v>-0.13351381777583271</v>
      </c>
    </row>
    <row r="70" spans="1:10" x14ac:dyDescent="0.25">
      <c r="A70" s="91">
        <v>44531</v>
      </c>
      <c r="B70" s="58">
        <v>22043.97</v>
      </c>
      <c r="C70" s="58">
        <v>19100.795406364075</v>
      </c>
      <c r="D70" s="58">
        <v>0</v>
      </c>
      <c r="E70" s="58">
        <v>0</v>
      </c>
      <c r="F70" s="58">
        <v>0</v>
      </c>
      <c r="G70" s="58">
        <v>0</v>
      </c>
      <c r="H70" s="92">
        <v>-0.13351381777583282</v>
      </c>
      <c r="I70" s="92">
        <v>0</v>
      </c>
      <c r="J70" s="92">
        <v>-0.13351381777583282</v>
      </c>
    </row>
    <row r="71" spans="1:10" x14ac:dyDescent="0.25">
      <c r="A71" s="91">
        <v>44562</v>
      </c>
      <c r="B71" s="58">
        <v>17855.82</v>
      </c>
      <c r="C71" s="58">
        <v>15471.821302281931</v>
      </c>
      <c r="D71" s="58">
        <v>0</v>
      </c>
      <c r="E71" s="58">
        <v>0</v>
      </c>
      <c r="F71" s="58">
        <v>0</v>
      </c>
      <c r="G71" s="58">
        <v>0</v>
      </c>
      <c r="H71" s="92">
        <v>-0.13351381777583271</v>
      </c>
      <c r="I71" s="92">
        <v>0</v>
      </c>
      <c r="J71" s="92">
        <v>-0.13351381777583271</v>
      </c>
    </row>
    <row r="72" spans="1:10" x14ac:dyDescent="0.25">
      <c r="A72" s="91">
        <v>44593</v>
      </c>
      <c r="B72" s="58">
        <v>19122.48</v>
      </c>
      <c r="C72" s="58">
        <v>16569.364689857994</v>
      </c>
      <c r="D72" s="58">
        <v>0</v>
      </c>
      <c r="E72" s="58">
        <v>0</v>
      </c>
      <c r="F72" s="58">
        <v>0</v>
      </c>
      <c r="G72" s="58">
        <v>0</v>
      </c>
      <c r="H72" s="92">
        <v>-0.13351381777583271</v>
      </c>
      <c r="I72" s="92">
        <v>0</v>
      </c>
      <c r="J72" s="92">
        <v>-0.13351381777583271</v>
      </c>
    </row>
    <row r="73" spans="1:10" x14ac:dyDescent="0.25">
      <c r="A73" s="91">
        <v>44621</v>
      </c>
      <c r="B73" s="58">
        <v>18121.41</v>
      </c>
      <c r="C73" s="58">
        <v>15701.951367418847</v>
      </c>
      <c r="D73" s="58">
        <v>0</v>
      </c>
      <c r="E73" s="58">
        <v>0</v>
      </c>
      <c r="F73" s="58">
        <v>0</v>
      </c>
      <c r="G73" s="58">
        <v>0</v>
      </c>
      <c r="H73" s="92">
        <v>-0.13351381777583271</v>
      </c>
      <c r="I73" s="92">
        <v>0</v>
      </c>
      <c r="J73" s="92">
        <v>-0.13351381777583271</v>
      </c>
    </row>
    <row r="74" spans="1:10" x14ac:dyDescent="0.25">
      <c r="A74" s="91">
        <v>44652</v>
      </c>
      <c r="B74" s="58">
        <v>18856.89</v>
      </c>
      <c r="C74" s="58">
        <v>16339.234624721077</v>
      </c>
      <c r="D74" s="58">
        <v>0</v>
      </c>
      <c r="E74" s="58">
        <v>0</v>
      </c>
      <c r="F74" s="58">
        <v>0</v>
      </c>
      <c r="G74" s="58">
        <v>0</v>
      </c>
      <c r="H74" s="92">
        <v>-0.13351381777583271</v>
      </c>
      <c r="I74" s="92">
        <v>0</v>
      </c>
      <c r="J74" s="92">
        <v>-0.13351381777583271</v>
      </c>
    </row>
    <row r="75" spans="1:10" x14ac:dyDescent="0.25">
      <c r="A75" s="91">
        <v>44682</v>
      </c>
      <c r="B75" s="58">
        <v>18427.86</v>
      </c>
      <c r="C75" s="58">
        <v>15967.486057961443</v>
      </c>
      <c r="D75" s="58">
        <v>0</v>
      </c>
      <c r="E75" s="58">
        <v>0</v>
      </c>
      <c r="F75" s="58">
        <v>0</v>
      </c>
      <c r="G75" s="58">
        <v>0</v>
      </c>
      <c r="H75" s="92">
        <v>-0.13351381777583271</v>
      </c>
      <c r="I75" s="92">
        <v>0</v>
      </c>
      <c r="J75" s="92">
        <v>-0.13351381777583271</v>
      </c>
    </row>
    <row r="76" spans="1:10" x14ac:dyDescent="0.25">
      <c r="A76" s="91">
        <v>44713</v>
      </c>
      <c r="B76" s="58">
        <v>19020.329999999998</v>
      </c>
      <c r="C76" s="58">
        <v>16480.853126343794</v>
      </c>
      <c r="D76" s="58">
        <v>0</v>
      </c>
      <c r="E76" s="58">
        <v>0</v>
      </c>
      <c r="F76" s="58">
        <v>0</v>
      </c>
      <c r="G76" s="58">
        <v>0</v>
      </c>
      <c r="H76" s="92">
        <v>-0.13351381777583271</v>
      </c>
      <c r="I76" s="92">
        <v>0</v>
      </c>
      <c r="J76" s="92">
        <v>-0.13351381777583271</v>
      </c>
    </row>
    <row r="77" spans="1:10" x14ac:dyDescent="0.25">
      <c r="A77" s="91">
        <v>44743</v>
      </c>
      <c r="B77" s="58">
        <v>18999.900000000001</v>
      </c>
      <c r="C77" s="58">
        <v>16463.150813640957</v>
      </c>
      <c r="D77" s="58">
        <v>0</v>
      </c>
      <c r="E77" s="58">
        <v>0</v>
      </c>
      <c r="F77" s="58">
        <v>0</v>
      </c>
      <c r="G77" s="58">
        <v>0</v>
      </c>
      <c r="H77" s="92">
        <v>-0.13351381777583271</v>
      </c>
      <c r="I77" s="92">
        <v>0</v>
      </c>
      <c r="J77" s="92">
        <v>-0.13351381777583271</v>
      </c>
    </row>
    <row r="78" spans="1:10" x14ac:dyDescent="0.25">
      <c r="A78" s="90" t="s">
        <v>36</v>
      </c>
      <c r="B78" s="58">
        <v>0</v>
      </c>
      <c r="C78" s="58">
        <v>0</v>
      </c>
      <c r="D78" s="58">
        <v>105367.95850000001</v>
      </c>
      <c r="E78" s="58">
        <v>95244.962778442554</v>
      </c>
      <c r="F78" s="58">
        <v>38490.02248</v>
      </c>
      <c r="G78" s="58">
        <v>34869.613646097423</v>
      </c>
      <c r="H78" s="92">
        <v>-9.6072808714021463E-2</v>
      </c>
      <c r="I78" s="92">
        <v>-9.4060969587216992E-2</v>
      </c>
      <c r="J78" s="92">
        <v>-9.553452969266063E-2</v>
      </c>
    </row>
    <row r="79" spans="1:10" x14ac:dyDescent="0.25">
      <c r="A79" s="91">
        <v>44409</v>
      </c>
      <c r="B79" s="58">
        <v>0</v>
      </c>
      <c r="C79" s="58">
        <v>0</v>
      </c>
      <c r="D79" s="58">
        <v>13436.03975</v>
      </c>
      <c r="E79" s="58">
        <v>12145.201673224263</v>
      </c>
      <c r="F79" s="58">
        <v>4908.0714800000005</v>
      </c>
      <c r="G79" s="58">
        <v>4446.4135177878343</v>
      </c>
      <c r="H79" s="92">
        <v>-9.6072808714021352E-2</v>
      </c>
      <c r="I79" s="92">
        <v>-9.4060969587216769E-2</v>
      </c>
      <c r="J79" s="92">
        <v>-9.553452969266063E-2</v>
      </c>
    </row>
    <row r="80" spans="1:10" x14ac:dyDescent="0.25">
      <c r="A80" s="91">
        <v>44440</v>
      </c>
      <c r="B80" s="58">
        <v>0</v>
      </c>
      <c r="C80" s="58">
        <v>0</v>
      </c>
      <c r="D80" s="58">
        <v>12321.9285</v>
      </c>
      <c r="E80" s="58">
        <v>11138.126220231652</v>
      </c>
      <c r="F80" s="58">
        <v>4501.0960800000003</v>
      </c>
      <c r="G80" s="58">
        <v>4077.718618509979</v>
      </c>
      <c r="H80" s="92">
        <v>-9.6072808714021352E-2</v>
      </c>
      <c r="I80" s="92">
        <v>-9.4060969587216881E-2</v>
      </c>
      <c r="J80" s="92">
        <v>-9.553452969266063E-2</v>
      </c>
    </row>
    <row r="81" spans="1:10" x14ac:dyDescent="0.25">
      <c r="A81" s="91">
        <v>44470</v>
      </c>
      <c r="B81" s="58">
        <v>0</v>
      </c>
      <c r="C81" s="58">
        <v>0</v>
      </c>
      <c r="D81" s="58">
        <v>11024.734</v>
      </c>
      <c r="E81" s="58">
        <v>9965.5568392950318</v>
      </c>
      <c r="F81" s="58">
        <v>4027.2419200000004</v>
      </c>
      <c r="G81" s="58">
        <v>3648.4356402425151</v>
      </c>
      <c r="H81" s="92">
        <v>-9.6072808714021463E-2</v>
      </c>
      <c r="I81" s="92">
        <v>-9.4060969587216992E-2</v>
      </c>
      <c r="J81" s="92">
        <v>-9.5534529692660741E-2</v>
      </c>
    </row>
    <row r="82" spans="1:10" x14ac:dyDescent="0.25">
      <c r="A82" s="91">
        <v>44501</v>
      </c>
      <c r="B82" s="58">
        <v>0</v>
      </c>
      <c r="C82" s="58">
        <v>0</v>
      </c>
      <c r="D82" s="58">
        <v>11099.954249999999</v>
      </c>
      <c r="E82" s="58">
        <v>10033.550468605361</v>
      </c>
      <c r="F82" s="58">
        <v>4054.7192400000004</v>
      </c>
      <c r="G82" s="58">
        <v>3673.3284168816567</v>
      </c>
      <c r="H82" s="92">
        <v>-9.6072808714021352E-2</v>
      </c>
      <c r="I82" s="92">
        <v>-9.4060969587216992E-2</v>
      </c>
      <c r="J82" s="92">
        <v>-9.553452969266063E-2</v>
      </c>
    </row>
    <row r="83" spans="1:10" x14ac:dyDescent="0.25">
      <c r="A83" s="91">
        <v>44531</v>
      </c>
      <c r="B83" s="58">
        <v>0</v>
      </c>
      <c r="C83" s="58">
        <v>0</v>
      </c>
      <c r="D83" s="58">
        <v>8024.4394999999995</v>
      </c>
      <c r="E83" s="58">
        <v>7253.5090588792627</v>
      </c>
      <c r="F83" s="58">
        <v>2931.2597600000004</v>
      </c>
      <c r="G83" s="58">
        <v>2655.5426248624076</v>
      </c>
      <c r="H83" s="92">
        <v>-9.6072808714021352E-2</v>
      </c>
      <c r="I83" s="92">
        <v>-9.4060969587216881E-2</v>
      </c>
      <c r="J83" s="92">
        <v>-9.5534529692660519E-2</v>
      </c>
    </row>
    <row r="84" spans="1:10" x14ac:dyDescent="0.25">
      <c r="A84" s="91">
        <v>44562</v>
      </c>
      <c r="B84" s="58">
        <v>0</v>
      </c>
      <c r="C84" s="58">
        <v>0</v>
      </c>
      <c r="D84" s="58">
        <v>6788.2727500000001</v>
      </c>
      <c r="E84" s="58">
        <v>6136.1043205906462</v>
      </c>
      <c r="F84" s="58">
        <v>2479.6985200000004</v>
      </c>
      <c r="G84" s="58">
        <v>2246.4556729248134</v>
      </c>
      <c r="H84" s="92">
        <v>-9.6072808714021352E-2</v>
      </c>
      <c r="I84" s="92">
        <v>-9.4060969587216992E-2</v>
      </c>
      <c r="J84" s="92">
        <v>-9.5534529692660519E-2</v>
      </c>
    </row>
    <row r="85" spans="1:10" x14ac:dyDescent="0.25">
      <c r="A85" s="91">
        <v>44593</v>
      </c>
      <c r="B85" s="58">
        <v>0</v>
      </c>
      <c r="C85" s="58">
        <v>0</v>
      </c>
      <c r="D85" s="58">
        <v>6903.232</v>
      </c>
      <c r="E85" s="58">
        <v>6240.0191125554884</v>
      </c>
      <c r="F85" s="58">
        <v>2521.6921600000001</v>
      </c>
      <c r="G85" s="58">
        <v>2284.4993504299168</v>
      </c>
      <c r="H85" s="92">
        <v>-9.6072808714021463E-2</v>
      </c>
      <c r="I85" s="92">
        <v>-9.4060969587216881E-2</v>
      </c>
      <c r="J85" s="92">
        <v>-9.5534529692660741E-2</v>
      </c>
    </row>
    <row r="86" spans="1:10" x14ac:dyDescent="0.25">
      <c r="A86" s="91">
        <v>44621</v>
      </c>
      <c r="B86" s="58">
        <v>0</v>
      </c>
      <c r="C86" s="58">
        <v>0</v>
      </c>
      <c r="D86" s="58">
        <v>7903.8032499999999</v>
      </c>
      <c r="E86" s="58">
        <v>7144.4626722494895</v>
      </c>
      <c r="F86" s="58">
        <v>2887.1923600000005</v>
      </c>
      <c r="G86" s="58">
        <v>2615.6202472335949</v>
      </c>
      <c r="H86" s="92">
        <v>-9.6072808714021352E-2</v>
      </c>
      <c r="I86" s="92">
        <v>-9.4060969587217103E-2</v>
      </c>
      <c r="J86" s="92">
        <v>-9.553452969266063E-2</v>
      </c>
    </row>
    <row r="87" spans="1:10" x14ac:dyDescent="0.25">
      <c r="A87" s="91">
        <v>44652</v>
      </c>
      <c r="B87" s="58">
        <v>0</v>
      </c>
      <c r="C87" s="58">
        <v>0</v>
      </c>
      <c r="D87" s="58">
        <v>5579.0717500000001</v>
      </c>
      <c r="E87" s="58">
        <v>5043.0746569604498</v>
      </c>
      <c r="F87" s="58">
        <v>2037.9876400000003</v>
      </c>
      <c r="G87" s="58">
        <v>1846.2925465748363</v>
      </c>
      <c r="H87" s="92">
        <v>-9.6072808714021352E-2</v>
      </c>
      <c r="I87" s="92">
        <v>-9.4060969587216881E-2</v>
      </c>
      <c r="J87" s="92">
        <v>-9.5534529692660519E-2</v>
      </c>
    </row>
    <row r="88" spans="1:10" x14ac:dyDescent="0.25">
      <c r="A88" s="91">
        <v>44682</v>
      </c>
      <c r="B88" s="58">
        <v>0</v>
      </c>
      <c r="C88" s="58">
        <v>0</v>
      </c>
      <c r="D88" s="58">
        <v>8067.0169999999998</v>
      </c>
      <c r="E88" s="58">
        <v>7291.9960188662417</v>
      </c>
      <c r="F88" s="58">
        <v>2946.8129600000002</v>
      </c>
      <c r="G88" s="58">
        <v>2669.6328757902238</v>
      </c>
      <c r="H88" s="92">
        <v>-9.6072808714021352E-2</v>
      </c>
      <c r="I88" s="92">
        <v>-9.4060969587216769E-2</v>
      </c>
      <c r="J88" s="92">
        <v>-9.5534529692660519E-2</v>
      </c>
    </row>
    <row r="89" spans="1:10" x14ac:dyDescent="0.25">
      <c r="A89" s="91">
        <v>44713</v>
      </c>
      <c r="B89" s="58">
        <v>0</v>
      </c>
      <c r="C89" s="58">
        <v>0</v>
      </c>
      <c r="D89" s="58">
        <v>7875.4182500000006</v>
      </c>
      <c r="E89" s="58">
        <v>7118.8046989248378</v>
      </c>
      <c r="F89" s="58">
        <v>2876.8235600000007</v>
      </c>
      <c r="G89" s="58">
        <v>2606.2267466150511</v>
      </c>
      <c r="H89" s="92">
        <v>-9.6072808714021352E-2</v>
      </c>
      <c r="I89" s="92">
        <v>-9.4060969587217103E-2</v>
      </c>
      <c r="J89" s="92">
        <v>-9.553452969266063E-2</v>
      </c>
    </row>
    <row r="90" spans="1:10" x14ac:dyDescent="0.25">
      <c r="A90" s="91">
        <v>44743</v>
      </c>
      <c r="B90" s="58">
        <v>0</v>
      </c>
      <c r="C90" s="58">
        <v>0</v>
      </c>
      <c r="D90" s="58">
        <v>6344.0474999999997</v>
      </c>
      <c r="E90" s="58">
        <v>5734.5570380598338</v>
      </c>
      <c r="F90" s="58">
        <v>2317.4268000000002</v>
      </c>
      <c r="G90" s="58">
        <v>2099.4473882445986</v>
      </c>
      <c r="H90" s="92">
        <v>-9.6072808714021463E-2</v>
      </c>
      <c r="I90" s="92">
        <v>-9.4060969587216992E-2</v>
      </c>
      <c r="J90" s="92">
        <v>-9.553452969266063E-2</v>
      </c>
    </row>
    <row r="91" spans="1:10" x14ac:dyDescent="0.25">
      <c r="A91" s="85" t="s">
        <v>51</v>
      </c>
      <c r="B91" s="58">
        <v>189597.366094734</v>
      </c>
      <c r="C91" s="58">
        <v>164283.49790718386</v>
      </c>
      <c r="D91" s="58">
        <v>838958.89061168372</v>
      </c>
      <c r="E91" s="58">
        <v>1022926.6366047144</v>
      </c>
      <c r="F91" s="58">
        <v>0</v>
      </c>
      <c r="G91" s="58">
        <v>0</v>
      </c>
      <c r="H91" s="92">
        <v>0.15424910088390553</v>
      </c>
      <c r="I91" s="92">
        <v>0</v>
      </c>
      <c r="J91" s="92">
        <v>0.15424910088390553</v>
      </c>
    </row>
    <row r="92" spans="1:10" x14ac:dyDescent="0.25">
      <c r="A92" s="86" t="s">
        <v>33</v>
      </c>
      <c r="B92" s="58">
        <v>189597.366094734</v>
      </c>
      <c r="C92" s="58">
        <v>164283.49790718386</v>
      </c>
      <c r="D92" s="58">
        <v>838958.89061168372</v>
      </c>
      <c r="E92" s="58">
        <v>1022926.6366047144</v>
      </c>
      <c r="F92" s="58">
        <v>0</v>
      </c>
      <c r="G92" s="58">
        <v>0</v>
      </c>
      <c r="H92" s="92">
        <v>0.15424910088390553</v>
      </c>
      <c r="I92" s="92">
        <v>0</v>
      </c>
      <c r="J92" s="92">
        <v>0.15424910088390553</v>
      </c>
    </row>
    <row r="93" spans="1:10" x14ac:dyDescent="0.25">
      <c r="A93" s="87" t="s">
        <v>25</v>
      </c>
      <c r="B93" s="58">
        <v>189597.366094734</v>
      </c>
      <c r="C93" s="58">
        <v>164283.49790718386</v>
      </c>
      <c r="D93" s="58">
        <v>838958.89061168372</v>
      </c>
      <c r="E93" s="58">
        <v>1022926.6366047144</v>
      </c>
      <c r="F93" s="58">
        <v>0</v>
      </c>
      <c r="G93" s="58">
        <v>0</v>
      </c>
      <c r="H93" s="92">
        <v>0.15424910088390553</v>
      </c>
      <c r="I93" s="92">
        <v>0</v>
      </c>
      <c r="J93" s="92">
        <v>0.15424910088390553</v>
      </c>
    </row>
    <row r="94" spans="1:10" x14ac:dyDescent="0.25">
      <c r="A94" s="88" t="s">
        <v>50</v>
      </c>
      <c r="B94" s="58">
        <v>189597.366094734</v>
      </c>
      <c r="C94" s="58">
        <v>164283.49790718386</v>
      </c>
      <c r="D94" s="58">
        <v>838958.89061168372</v>
      </c>
      <c r="E94" s="58">
        <v>1022926.6366047144</v>
      </c>
      <c r="F94" s="58">
        <v>0</v>
      </c>
      <c r="G94" s="58">
        <v>0</v>
      </c>
      <c r="H94" s="92">
        <v>0.15424910088390553</v>
      </c>
      <c r="I94" s="92">
        <v>0</v>
      </c>
      <c r="J94" s="92">
        <v>0.15424910088390553</v>
      </c>
    </row>
    <row r="95" spans="1:10" x14ac:dyDescent="0.25">
      <c r="A95" s="89" t="s">
        <v>25</v>
      </c>
      <c r="B95" s="58">
        <v>189597.366094734</v>
      </c>
      <c r="C95" s="58">
        <v>164283.49790718386</v>
      </c>
      <c r="D95" s="58">
        <v>838958.89061168372</v>
      </c>
      <c r="E95" s="58">
        <v>1022926.6366047144</v>
      </c>
      <c r="F95" s="58">
        <v>0</v>
      </c>
      <c r="G95" s="58">
        <v>0</v>
      </c>
      <c r="H95" s="92">
        <v>0.15424910088390553</v>
      </c>
      <c r="I95" s="92">
        <v>0</v>
      </c>
      <c r="J95" s="92">
        <v>0.15424910088390553</v>
      </c>
    </row>
    <row r="96" spans="1:10" x14ac:dyDescent="0.25">
      <c r="A96" s="90" t="s">
        <v>37</v>
      </c>
      <c r="B96" s="58">
        <v>0</v>
      </c>
      <c r="C96" s="58">
        <v>0</v>
      </c>
      <c r="D96" s="58">
        <v>408356.01453999995</v>
      </c>
      <c r="E96" s="58">
        <v>633692.98827757291</v>
      </c>
      <c r="F96" s="58">
        <v>0</v>
      </c>
      <c r="G96" s="58">
        <v>0</v>
      </c>
      <c r="H96" s="92">
        <v>0.55181499895724051</v>
      </c>
      <c r="I96" s="92">
        <v>0</v>
      </c>
      <c r="J96" s="92">
        <v>0.55181499895724051</v>
      </c>
    </row>
    <row r="97" spans="1:10" x14ac:dyDescent="0.25">
      <c r="A97" s="91">
        <v>44409</v>
      </c>
      <c r="B97" s="58">
        <v>0</v>
      </c>
      <c r="C97" s="58">
        <v>0</v>
      </c>
      <c r="D97" s="58">
        <v>28035.991699999999</v>
      </c>
      <c r="E97" s="58">
        <v>43506.672430700703</v>
      </c>
      <c r="F97" s="58">
        <v>0</v>
      </c>
      <c r="G97" s="58">
        <v>0</v>
      </c>
      <c r="H97" s="92">
        <v>0.55181499895724051</v>
      </c>
      <c r="I97" s="92">
        <v>0</v>
      </c>
      <c r="J97" s="92">
        <v>0.55181499895724051</v>
      </c>
    </row>
    <row r="98" spans="1:10" x14ac:dyDescent="0.25">
      <c r="A98" s="91">
        <v>44440</v>
      </c>
      <c r="B98" s="58">
        <v>0</v>
      </c>
      <c r="C98" s="58">
        <v>0</v>
      </c>
      <c r="D98" s="58">
        <v>26264.887429999999</v>
      </c>
      <c r="E98" s="58">
        <v>40758.246259797488</v>
      </c>
      <c r="F98" s="58">
        <v>0</v>
      </c>
      <c r="G98" s="58">
        <v>0</v>
      </c>
      <c r="H98" s="92">
        <v>0.55181499895724051</v>
      </c>
      <c r="I98" s="92">
        <v>0</v>
      </c>
      <c r="J98" s="92">
        <v>0.55181499895724051</v>
      </c>
    </row>
    <row r="99" spans="1:10" x14ac:dyDescent="0.25">
      <c r="A99" s="91">
        <v>44470</v>
      </c>
      <c r="B99" s="58">
        <v>0</v>
      </c>
      <c r="C99" s="58">
        <v>0</v>
      </c>
      <c r="D99" s="58">
        <v>26947.976509999997</v>
      </c>
      <c r="E99" s="58">
        <v>41818.274139765381</v>
      </c>
      <c r="F99" s="58">
        <v>0</v>
      </c>
      <c r="G99" s="58">
        <v>0</v>
      </c>
      <c r="H99" s="92">
        <v>0.55181499895724029</v>
      </c>
      <c r="I99" s="92">
        <v>0</v>
      </c>
      <c r="J99" s="92">
        <v>0.55181499895724029</v>
      </c>
    </row>
    <row r="100" spans="1:10" x14ac:dyDescent="0.25">
      <c r="A100" s="91">
        <v>44501</v>
      </c>
      <c r="B100" s="58">
        <v>0</v>
      </c>
      <c r="C100" s="58">
        <v>0</v>
      </c>
      <c r="D100" s="58">
        <v>34562.538659999998</v>
      </c>
      <c r="E100" s="58">
        <v>53634.665894627477</v>
      </c>
      <c r="F100" s="58">
        <v>0</v>
      </c>
      <c r="G100" s="58">
        <v>0</v>
      </c>
      <c r="H100" s="92">
        <v>0.55181499895724029</v>
      </c>
      <c r="I100" s="92">
        <v>0</v>
      </c>
      <c r="J100" s="92">
        <v>0.55181499895724029</v>
      </c>
    </row>
    <row r="101" spans="1:10" x14ac:dyDescent="0.25">
      <c r="A101" s="91">
        <v>44531</v>
      </c>
      <c r="B101" s="58">
        <v>0</v>
      </c>
      <c r="C101" s="58">
        <v>0</v>
      </c>
      <c r="D101" s="58">
        <v>35967.882839999998</v>
      </c>
      <c r="E101" s="58">
        <v>55815.50007184875</v>
      </c>
      <c r="F101" s="58">
        <v>0</v>
      </c>
      <c r="G101" s="58">
        <v>0</v>
      </c>
      <c r="H101" s="92">
        <v>0.55181499895724051</v>
      </c>
      <c r="I101" s="92">
        <v>0</v>
      </c>
      <c r="J101" s="92">
        <v>0.55181499895724051</v>
      </c>
    </row>
    <row r="102" spans="1:10" x14ac:dyDescent="0.25">
      <c r="A102" s="91">
        <v>44562</v>
      </c>
      <c r="B102" s="58">
        <v>0</v>
      </c>
      <c r="C102" s="58">
        <v>0</v>
      </c>
      <c r="D102" s="58">
        <v>35782.651429999998</v>
      </c>
      <c r="E102" s="58">
        <v>55528.055191532745</v>
      </c>
      <c r="F102" s="58">
        <v>0</v>
      </c>
      <c r="G102" s="58">
        <v>0</v>
      </c>
      <c r="H102" s="92">
        <v>0.55181499895724051</v>
      </c>
      <c r="I102" s="92">
        <v>0</v>
      </c>
      <c r="J102" s="92">
        <v>0.55181499895724051</v>
      </c>
    </row>
    <row r="103" spans="1:10" x14ac:dyDescent="0.25">
      <c r="A103" s="91">
        <v>44593</v>
      </c>
      <c r="B103" s="58">
        <v>0</v>
      </c>
      <c r="C103" s="58">
        <v>0</v>
      </c>
      <c r="D103" s="58">
        <v>35878.601159999998</v>
      </c>
      <c r="E103" s="58">
        <v>55676.95142169264</v>
      </c>
      <c r="F103" s="58">
        <v>0</v>
      </c>
      <c r="G103" s="58">
        <v>0</v>
      </c>
      <c r="H103" s="92">
        <v>0.55181499895724029</v>
      </c>
      <c r="I103" s="92">
        <v>0</v>
      </c>
      <c r="J103" s="92">
        <v>0.55181499895724029</v>
      </c>
    </row>
    <row r="104" spans="1:10" x14ac:dyDescent="0.25">
      <c r="A104" s="91">
        <v>44621</v>
      </c>
      <c r="B104" s="58">
        <v>0</v>
      </c>
      <c r="C104" s="58">
        <v>0</v>
      </c>
      <c r="D104" s="58">
        <v>40250.104550000004</v>
      </c>
      <c r="E104" s="58">
        <v>62460.715950287071</v>
      </c>
      <c r="F104" s="58">
        <v>0</v>
      </c>
      <c r="G104" s="58">
        <v>0</v>
      </c>
      <c r="H104" s="92">
        <v>0.55181499895724029</v>
      </c>
      <c r="I104" s="92">
        <v>0</v>
      </c>
      <c r="J104" s="92">
        <v>0.55181499895724029</v>
      </c>
    </row>
    <row r="105" spans="1:10" x14ac:dyDescent="0.25">
      <c r="A105" s="91">
        <v>44652</v>
      </c>
      <c r="B105" s="58">
        <v>0</v>
      </c>
      <c r="C105" s="58">
        <v>0</v>
      </c>
      <c r="D105" s="58">
        <v>35494.521479999996</v>
      </c>
      <c r="E105" s="58">
        <v>55080.930813473948</v>
      </c>
      <c r="F105" s="58">
        <v>0</v>
      </c>
      <c r="G105" s="58">
        <v>0</v>
      </c>
      <c r="H105" s="92">
        <v>0.55181499895724051</v>
      </c>
      <c r="I105" s="92">
        <v>0</v>
      </c>
      <c r="J105" s="92">
        <v>0.55181499895724051</v>
      </c>
    </row>
    <row r="106" spans="1:10" x14ac:dyDescent="0.25">
      <c r="A106" s="91">
        <v>44682</v>
      </c>
      <c r="B106" s="58">
        <v>0</v>
      </c>
      <c r="C106" s="58">
        <v>0</v>
      </c>
      <c r="D106" s="58">
        <v>36159.220780000003</v>
      </c>
      <c r="E106" s="58">
        <v>56112.421157010329</v>
      </c>
      <c r="F106" s="58">
        <v>0</v>
      </c>
      <c r="G106" s="58">
        <v>0</v>
      </c>
      <c r="H106" s="92">
        <v>0.55181499895724029</v>
      </c>
      <c r="I106" s="92">
        <v>0</v>
      </c>
      <c r="J106" s="92">
        <v>0.55181499895724029</v>
      </c>
    </row>
    <row r="107" spans="1:10" x14ac:dyDescent="0.25">
      <c r="A107" s="91">
        <v>44713</v>
      </c>
      <c r="B107" s="58">
        <v>0</v>
      </c>
      <c r="C107" s="58">
        <v>0</v>
      </c>
      <c r="D107" s="58">
        <v>36127.635279999995</v>
      </c>
      <c r="E107" s="58">
        <v>56063.40630436076</v>
      </c>
      <c r="F107" s="58">
        <v>0</v>
      </c>
      <c r="G107" s="58">
        <v>0</v>
      </c>
      <c r="H107" s="92">
        <v>0.55181499895724051</v>
      </c>
      <c r="I107" s="92">
        <v>0</v>
      </c>
      <c r="J107" s="92">
        <v>0.55181499895724051</v>
      </c>
    </row>
    <row r="108" spans="1:10" x14ac:dyDescent="0.25">
      <c r="A108" s="91">
        <v>44743</v>
      </c>
      <c r="B108" s="58">
        <v>0</v>
      </c>
      <c r="C108" s="58">
        <v>0</v>
      </c>
      <c r="D108" s="58">
        <v>36884.002720000004</v>
      </c>
      <c r="E108" s="58">
        <v>57237.148642475659</v>
      </c>
      <c r="F108" s="58">
        <v>0</v>
      </c>
      <c r="G108" s="58">
        <v>0</v>
      </c>
      <c r="H108" s="92">
        <v>0.55181499895724051</v>
      </c>
      <c r="I108" s="92">
        <v>0</v>
      </c>
      <c r="J108" s="92">
        <v>0.55181499895724051</v>
      </c>
    </row>
    <row r="109" spans="1:10" x14ac:dyDescent="0.25">
      <c r="A109" s="90" t="s">
        <v>25</v>
      </c>
      <c r="B109" s="58">
        <v>189597.366094734</v>
      </c>
      <c r="C109" s="58">
        <v>164283.49790718386</v>
      </c>
      <c r="D109" s="58">
        <v>0</v>
      </c>
      <c r="E109" s="58">
        <v>0</v>
      </c>
      <c r="F109" s="58">
        <v>0</v>
      </c>
      <c r="G109" s="58">
        <v>0</v>
      </c>
      <c r="H109" s="92">
        <v>-0.1335138177758326</v>
      </c>
      <c r="I109" s="92">
        <v>0</v>
      </c>
      <c r="J109" s="92">
        <v>-0.1335138177758326</v>
      </c>
    </row>
    <row r="110" spans="1:10" x14ac:dyDescent="0.25">
      <c r="A110" s="91">
        <v>44409</v>
      </c>
      <c r="B110" s="58">
        <v>14364.204617879999</v>
      </c>
      <c r="C110" s="58">
        <v>12446.384820033594</v>
      </c>
      <c r="D110" s="58">
        <v>0</v>
      </c>
      <c r="E110" s="58">
        <v>0</v>
      </c>
      <c r="F110" s="58">
        <v>0</v>
      </c>
      <c r="G110" s="58">
        <v>0</v>
      </c>
      <c r="H110" s="92">
        <v>-0.13351381777583271</v>
      </c>
      <c r="I110" s="92">
        <v>0</v>
      </c>
      <c r="J110" s="92">
        <v>-0.13351381777583271</v>
      </c>
    </row>
    <row r="111" spans="1:10" x14ac:dyDescent="0.25">
      <c r="A111" s="91">
        <v>44440</v>
      </c>
      <c r="B111" s="58">
        <v>14510.375527049999</v>
      </c>
      <c r="C111" s="58">
        <v>12573.039893072542</v>
      </c>
      <c r="D111" s="58">
        <v>0</v>
      </c>
      <c r="E111" s="58">
        <v>0</v>
      </c>
      <c r="F111" s="58">
        <v>0</v>
      </c>
      <c r="G111" s="58">
        <v>0</v>
      </c>
      <c r="H111" s="92">
        <v>-0.13351381777583271</v>
      </c>
      <c r="I111" s="92">
        <v>0</v>
      </c>
      <c r="J111" s="92">
        <v>-0.13351381777583271</v>
      </c>
    </row>
    <row r="112" spans="1:10" x14ac:dyDescent="0.25">
      <c r="A112" s="91">
        <v>44470</v>
      </c>
      <c r="B112" s="58">
        <v>14582.249227259999</v>
      </c>
      <c r="C112" s="58">
        <v>12635.31746116983</v>
      </c>
      <c r="D112" s="58">
        <v>0</v>
      </c>
      <c r="E112" s="58">
        <v>0</v>
      </c>
      <c r="F112" s="58">
        <v>0</v>
      </c>
      <c r="G112" s="58">
        <v>0</v>
      </c>
      <c r="H112" s="92">
        <v>-0.13351381777583271</v>
      </c>
      <c r="I112" s="92">
        <v>0</v>
      </c>
      <c r="J112" s="92">
        <v>-0.13351381777583271</v>
      </c>
    </row>
    <row r="113" spans="1:10" x14ac:dyDescent="0.25">
      <c r="A113" s="91">
        <v>44501</v>
      </c>
      <c r="B113" s="58">
        <v>14279.0941566171</v>
      </c>
      <c r="C113" s="58">
        <v>12372.637781386567</v>
      </c>
      <c r="D113" s="58">
        <v>0</v>
      </c>
      <c r="E113" s="58">
        <v>0</v>
      </c>
      <c r="F113" s="58">
        <v>0</v>
      </c>
      <c r="G113" s="58">
        <v>0</v>
      </c>
      <c r="H113" s="92">
        <v>-0.13351381777583271</v>
      </c>
      <c r="I113" s="92">
        <v>0</v>
      </c>
      <c r="J113" s="92">
        <v>-0.13351381777583271</v>
      </c>
    </row>
    <row r="114" spans="1:10" x14ac:dyDescent="0.25">
      <c r="A114" s="91">
        <v>44531</v>
      </c>
      <c r="B114" s="58">
        <v>16622.572874378402</v>
      </c>
      <c r="C114" s="58">
        <v>14403.229708663142</v>
      </c>
      <c r="D114" s="58">
        <v>0</v>
      </c>
      <c r="E114" s="58">
        <v>0</v>
      </c>
      <c r="F114" s="58">
        <v>0</v>
      </c>
      <c r="G114" s="58">
        <v>0</v>
      </c>
      <c r="H114" s="92">
        <v>-0.13351381777583282</v>
      </c>
      <c r="I114" s="92">
        <v>0</v>
      </c>
      <c r="J114" s="92">
        <v>-0.13351381777583282</v>
      </c>
    </row>
    <row r="115" spans="1:10" x14ac:dyDescent="0.25">
      <c r="A115" s="91">
        <v>44562</v>
      </c>
      <c r="B115" s="58">
        <v>16396.2975614364</v>
      </c>
      <c r="C115" s="58">
        <v>14207.165276620452</v>
      </c>
      <c r="D115" s="58">
        <v>0</v>
      </c>
      <c r="E115" s="58">
        <v>0</v>
      </c>
      <c r="F115" s="58">
        <v>0</v>
      </c>
      <c r="G115" s="58">
        <v>0</v>
      </c>
      <c r="H115" s="92">
        <v>-0.1335138177758326</v>
      </c>
      <c r="I115" s="92">
        <v>0</v>
      </c>
      <c r="J115" s="92">
        <v>-0.1335138177758326</v>
      </c>
    </row>
    <row r="116" spans="1:10" x14ac:dyDescent="0.25">
      <c r="A116" s="91">
        <v>44593</v>
      </c>
      <c r="B116" s="58">
        <v>16405.221124749598</v>
      </c>
      <c r="C116" s="58">
        <v>14214.89742092754</v>
      </c>
      <c r="D116" s="58">
        <v>0</v>
      </c>
      <c r="E116" s="58">
        <v>0</v>
      </c>
      <c r="F116" s="58">
        <v>0</v>
      </c>
      <c r="G116" s="58">
        <v>0</v>
      </c>
      <c r="H116" s="92">
        <v>-0.1335138177758326</v>
      </c>
      <c r="I116" s="92">
        <v>0</v>
      </c>
      <c r="J116" s="92">
        <v>-0.1335138177758326</v>
      </c>
    </row>
    <row r="117" spans="1:10" x14ac:dyDescent="0.25">
      <c r="A117" s="91">
        <v>44621</v>
      </c>
      <c r="B117" s="58">
        <v>16676.741803589099</v>
      </c>
      <c r="C117" s="58">
        <v>14450.166337330093</v>
      </c>
      <c r="D117" s="58">
        <v>0</v>
      </c>
      <c r="E117" s="58">
        <v>0</v>
      </c>
      <c r="F117" s="58">
        <v>0</v>
      </c>
      <c r="G117" s="58">
        <v>0</v>
      </c>
      <c r="H117" s="92">
        <v>-0.13351381777583271</v>
      </c>
      <c r="I117" s="92">
        <v>0</v>
      </c>
      <c r="J117" s="92">
        <v>-0.13351381777583271</v>
      </c>
    </row>
    <row r="118" spans="1:10" x14ac:dyDescent="0.25">
      <c r="A118" s="91">
        <v>44652</v>
      </c>
      <c r="B118" s="58">
        <v>16801.0524262332</v>
      </c>
      <c r="C118" s="58">
        <v>14557.87977415489</v>
      </c>
      <c r="D118" s="58">
        <v>0</v>
      </c>
      <c r="E118" s="58">
        <v>0</v>
      </c>
      <c r="F118" s="58">
        <v>0</v>
      </c>
      <c r="G118" s="58">
        <v>0</v>
      </c>
      <c r="H118" s="92">
        <v>-0.1335138177758326</v>
      </c>
      <c r="I118" s="92">
        <v>0</v>
      </c>
      <c r="J118" s="92">
        <v>-0.1335138177758326</v>
      </c>
    </row>
    <row r="119" spans="1:10" x14ac:dyDescent="0.25">
      <c r="A119" s="91">
        <v>44682</v>
      </c>
      <c r="B119" s="58">
        <v>16422.563328420601</v>
      </c>
      <c r="C119" s="58">
        <v>14229.924200777779</v>
      </c>
      <c r="D119" s="58">
        <v>0</v>
      </c>
      <c r="E119" s="58">
        <v>0</v>
      </c>
      <c r="F119" s="58">
        <v>0</v>
      </c>
      <c r="G119" s="58">
        <v>0</v>
      </c>
      <c r="H119" s="92">
        <v>-0.13351381777583282</v>
      </c>
      <c r="I119" s="92">
        <v>0</v>
      </c>
      <c r="J119" s="92">
        <v>-0.13351381777583282</v>
      </c>
    </row>
    <row r="120" spans="1:10" x14ac:dyDescent="0.25">
      <c r="A120" s="91">
        <v>44713</v>
      </c>
      <c r="B120" s="58">
        <v>16555.235501421899</v>
      </c>
      <c r="C120" s="58">
        <v>14344.88280544906</v>
      </c>
      <c r="D120" s="58">
        <v>0</v>
      </c>
      <c r="E120" s="58">
        <v>0</v>
      </c>
      <c r="F120" s="58">
        <v>0</v>
      </c>
      <c r="G120" s="58">
        <v>0</v>
      </c>
      <c r="H120" s="92">
        <v>-0.1335138177758326</v>
      </c>
      <c r="I120" s="92">
        <v>0</v>
      </c>
      <c r="J120" s="92">
        <v>-0.1335138177758326</v>
      </c>
    </row>
    <row r="121" spans="1:10" x14ac:dyDescent="0.25">
      <c r="A121" s="91">
        <v>44743</v>
      </c>
      <c r="B121" s="58">
        <v>15981.7579456977</v>
      </c>
      <c r="C121" s="58">
        <v>13847.972427598352</v>
      </c>
      <c r="D121" s="58">
        <v>0</v>
      </c>
      <c r="E121" s="58">
        <v>0</v>
      </c>
      <c r="F121" s="58">
        <v>0</v>
      </c>
      <c r="G121" s="58">
        <v>0</v>
      </c>
      <c r="H121" s="92">
        <v>-0.1335138177758326</v>
      </c>
      <c r="I121" s="92">
        <v>0</v>
      </c>
      <c r="J121" s="92">
        <v>-0.1335138177758326</v>
      </c>
    </row>
    <row r="122" spans="1:10" x14ac:dyDescent="0.25">
      <c r="A122" s="90" t="s">
        <v>36</v>
      </c>
      <c r="B122" s="58">
        <v>0</v>
      </c>
      <c r="C122" s="58">
        <v>0</v>
      </c>
      <c r="D122" s="58">
        <v>430602.87607168377</v>
      </c>
      <c r="E122" s="58">
        <v>389233.64832714142</v>
      </c>
      <c r="F122" s="58">
        <v>0</v>
      </c>
      <c r="G122" s="58">
        <v>0</v>
      </c>
      <c r="H122" s="92">
        <v>-9.6072808714021463E-2</v>
      </c>
      <c r="I122" s="92">
        <v>0</v>
      </c>
      <c r="J122" s="92">
        <v>-9.6072808714021463E-2</v>
      </c>
    </row>
    <row r="123" spans="1:10" x14ac:dyDescent="0.25">
      <c r="A123" s="91">
        <v>44409</v>
      </c>
      <c r="B123" s="58">
        <v>0</v>
      </c>
      <c r="C123" s="58">
        <v>0</v>
      </c>
      <c r="D123" s="58">
        <v>30081.019281533991</v>
      </c>
      <c r="E123" s="58">
        <v>27191.051270176387</v>
      </c>
      <c r="F123" s="58">
        <v>0</v>
      </c>
      <c r="G123" s="58">
        <v>0</v>
      </c>
      <c r="H123" s="92">
        <v>-9.6072808714021352E-2</v>
      </c>
      <c r="I123" s="92">
        <v>0</v>
      </c>
      <c r="J123" s="92">
        <v>-9.6072808714021352E-2</v>
      </c>
    </row>
    <row r="124" spans="1:10" x14ac:dyDescent="0.25">
      <c r="A124" s="91">
        <v>44440</v>
      </c>
      <c r="B124" s="58">
        <v>0</v>
      </c>
      <c r="C124" s="58">
        <v>0</v>
      </c>
      <c r="D124" s="58">
        <v>27898.2877368384</v>
      </c>
      <c r="E124" s="58">
        <v>25218.020875648395</v>
      </c>
      <c r="F124" s="58">
        <v>0</v>
      </c>
      <c r="G124" s="58">
        <v>0</v>
      </c>
      <c r="H124" s="92">
        <v>-9.6072808714021352E-2</v>
      </c>
      <c r="I124" s="92">
        <v>0</v>
      </c>
      <c r="J124" s="92">
        <v>-9.6072808714021352E-2</v>
      </c>
    </row>
    <row r="125" spans="1:10" x14ac:dyDescent="0.25">
      <c r="A125" s="91">
        <v>44470</v>
      </c>
      <c r="B125" s="58">
        <v>0</v>
      </c>
      <c r="C125" s="58">
        <v>0</v>
      </c>
      <c r="D125" s="58">
        <v>28259.618601874627</v>
      </c>
      <c r="E125" s="58">
        <v>25544.637669605523</v>
      </c>
      <c r="F125" s="58">
        <v>0</v>
      </c>
      <c r="G125" s="58">
        <v>0</v>
      </c>
      <c r="H125" s="92">
        <v>-9.6072808714021463E-2</v>
      </c>
      <c r="I125" s="92">
        <v>0</v>
      </c>
      <c r="J125" s="92">
        <v>-9.6072808714021463E-2</v>
      </c>
    </row>
    <row r="126" spans="1:10" x14ac:dyDescent="0.25">
      <c r="A126" s="91">
        <v>44501</v>
      </c>
      <c r="B126" s="58">
        <v>0</v>
      </c>
      <c r="C126" s="58">
        <v>0</v>
      </c>
      <c r="D126" s="58">
        <v>34108.467468904433</v>
      </c>
      <c r="E126" s="58">
        <v>30831.571198235953</v>
      </c>
      <c r="F126" s="58">
        <v>0</v>
      </c>
      <c r="G126" s="58">
        <v>0</v>
      </c>
      <c r="H126" s="92">
        <v>-9.6072808714021463E-2</v>
      </c>
      <c r="I126" s="92">
        <v>0</v>
      </c>
      <c r="J126" s="92">
        <v>-9.6072808714021463E-2</v>
      </c>
    </row>
    <row r="127" spans="1:10" x14ac:dyDescent="0.25">
      <c r="A127" s="91">
        <v>44531</v>
      </c>
      <c r="B127" s="58">
        <v>0</v>
      </c>
      <c r="C127" s="58">
        <v>0</v>
      </c>
      <c r="D127" s="58">
        <v>40796.6339317089</v>
      </c>
      <c r="E127" s="58">
        <v>36877.186723811879</v>
      </c>
      <c r="F127" s="58">
        <v>0</v>
      </c>
      <c r="G127" s="58">
        <v>0</v>
      </c>
      <c r="H127" s="92">
        <v>-9.6072808714021352E-2</v>
      </c>
      <c r="I127" s="92">
        <v>0</v>
      </c>
      <c r="J127" s="92">
        <v>-9.6072808714021352E-2</v>
      </c>
    </row>
    <row r="128" spans="1:10" x14ac:dyDescent="0.25">
      <c r="A128" s="91">
        <v>44562</v>
      </c>
      <c r="B128" s="58">
        <v>0</v>
      </c>
      <c r="C128" s="58">
        <v>0</v>
      </c>
      <c r="D128" s="58">
        <v>39501.746175691173</v>
      </c>
      <c r="E128" s="58">
        <v>35706.702471484168</v>
      </c>
      <c r="F128" s="58">
        <v>0</v>
      </c>
      <c r="G128" s="58">
        <v>0</v>
      </c>
      <c r="H128" s="92">
        <v>-9.6072808714021352E-2</v>
      </c>
      <c r="I128" s="92">
        <v>0</v>
      </c>
      <c r="J128" s="92">
        <v>-9.6072808714021352E-2</v>
      </c>
    </row>
    <row r="129" spans="1:10" x14ac:dyDescent="0.25">
      <c r="A129" s="91">
        <v>44593</v>
      </c>
      <c r="B129" s="58">
        <v>0</v>
      </c>
      <c r="C129" s="58">
        <v>0</v>
      </c>
      <c r="D129" s="58">
        <v>39398.537252474227</v>
      </c>
      <c r="E129" s="58">
        <v>35613.409119405027</v>
      </c>
      <c r="F129" s="58">
        <v>0</v>
      </c>
      <c r="G129" s="58">
        <v>0</v>
      </c>
      <c r="H129" s="92">
        <v>-9.6072808714021352E-2</v>
      </c>
      <c r="I129" s="92">
        <v>0</v>
      </c>
      <c r="J129" s="92">
        <v>-9.6072808714021352E-2</v>
      </c>
    </row>
    <row r="130" spans="1:10" x14ac:dyDescent="0.25">
      <c r="A130" s="91">
        <v>44621</v>
      </c>
      <c r="B130" s="58">
        <v>0</v>
      </c>
      <c r="C130" s="58">
        <v>0</v>
      </c>
      <c r="D130" s="58">
        <v>43032.36728783587</v>
      </c>
      <c r="E130" s="58">
        <v>38898.126896880101</v>
      </c>
      <c r="F130" s="58">
        <v>0</v>
      </c>
      <c r="G130" s="58">
        <v>0</v>
      </c>
      <c r="H130" s="92">
        <v>-9.6072808714021463E-2</v>
      </c>
      <c r="I130" s="92">
        <v>0</v>
      </c>
      <c r="J130" s="92">
        <v>-9.6072808714021463E-2</v>
      </c>
    </row>
    <row r="131" spans="1:10" x14ac:dyDescent="0.25">
      <c r="A131" s="91">
        <v>44652</v>
      </c>
      <c r="B131" s="58">
        <v>0</v>
      </c>
      <c r="C131" s="58">
        <v>0</v>
      </c>
      <c r="D131" s="58">
        <v>35948.219620764939</v>
      </c>
      <c r="E131" s="58">
        <v>32494.573193529555</v>
      </c>
      <c r="F131" s="58">
        <v>0</v>
      </c>
      <c r="G131" s="58">
        <v>0</v>
      </c>
      <c r="H131" s="92">
        <v>-9.6072808714021463E-2</v>
      </c>
      <c r="I131" s="92">
        <v>0</v>
      </c>
      <c r="J131" s="92">
        <v>-9.6072808714021463E-2</v>
      </c>
    </row>
    <row r="132" spans="1:10" x14ac:dyDescent="0.25">
      <c r="A132" s="91">
        <v>44682</v>
      </c>
      <c r="B132" s="58">
        <v>0</v>
      </c>
      <c r="C132" s="58">
        <v>0</v>
      </c>
      <c r="D132" s="58">
        <v>36560.132237199723</v>
      </c>
      <c r="E132" s="58">
        <v>33047.697646215907</v>
      </c>
      <c r="F132" s="58">
        <v>0</v>
      </c>
      <c r="G132" s="58">
        <v>0</v>
      </c>
      <c r="H132" s="92">
        <v>-9.6072808714021352E-2</v>
      </c>
      <c r="I132" s="92">
        <v>0</v>
      </c>
      <c r="J132" s="92">
        <v>-9.6072808714021352E-2</v>
      </c>
    </row>
    <row r="133" spans="1:10" x14ac:dyDescent="0.25">
      <c r="A133" s="91">
        <v>44713</v>
      </c>
      <c r="B133" s="58">
        <v>0</v>
      </c>
      <c r="C133" s="58">
        <v>0</v>
      </c>
      <c r="D133" s="58">
        <v>38561.563394270437</v>
      </c>
      <c r="E133" s="58">
        <v>34856.845690579088</v>
      </c>
      <c r="F133" s="58">
        <v>0</v>
      </c>
      <c r="G133" s="58">
        <v>0</v>
      </c>
      <c r="H133" s="92">
        <v>-9.6072808714021241E-2</v>
      </c>
      <c r="I133" s="92">
        <v>0</v>
      </c>
      <c r="J133" s="92">
        <v>-9.6072808714021241E-2</v>
      </c>
    </row>
    <row r="134" spans="1:10" x14ac:dyDescent="0.25">
      <c r="A134" s="91">
        <v>44743</v>
      </c>
      <c r="B134" s="58">
        <v>0</v>
      </c>
      <c r="C134" s="58">
        <v>0</v>
      </c>
      <c r="D134" s="58">
        <v>36456.283082587062</v>
      </c>
      <c r="E134" s="58">
        <v>32953.825571569461</v>
      </c>
      <c r="F134" s="58">
        <v>0</v>
      </c>
      <c r="G134" s="58">
        <v>0</v>
      </c>
      <c r="H134" s="92">
        <v>-9.6072808714021352E-2</v>
      </c>
      <c r="I134" s="92">
        <v>0</v>
      </c>
      <c r="J134" s="92">
        <v>-9.6072808714021352E-2</v>
      </c>
    </row>
    <row r="135" spans="1:10" x14ac:dyDescent="0.25">
      <c r="A135" s="83" t="s">
        <v>22</v>
      </c>
      <c r="B135" s="58">
        <v>0</v>
      </c>
      <c r="C135" s="58">
        <v>0</v>
      </c>
      <c r="D135" s="58">
        <v>2892558.20743</v>
      </c>
      <c r="E135" s="58">
        <v>3493875.1925037899</v>
      </c>
      <c r="F135" s="58">
        <v>2328803.5828400003</v>
      </c>
      <c r="G135" s="58">
        <v>2110449.4944879944</v>
      </c>
      <c r="H135" s="92">
        <v>0.20788414336112937</v>
      </c>
      <c r="I135" s="92">
        <v>-9.3762346451614853E-2</v>
      </c>
      <c r="J135" s="92">
        <v>7.3345405299328981E-2</v>
      </c>
    </row>
    <row r="136" spans="1:10" x14ac:dyDescent="0.25">
      <c r="A136" s="84" t="s">
        <v>23</v>
      </c>
      <c r="B136" s="58">
        <v>0</v>
      </c>
      <c r="C136" s="58">
        <v>0</v>
      </c>
      <c r="D136" s="58">
        <v>2892558.20743</v>
      </c>
      <c r="E136" s="58">
        <v>3493875.1925037899</v>
      </c>
      <c r="F136" s="58">
        <v>2328803.5828400003</v>
      </c>
      <c r="G136" s="58">
        <v>2110449.4944879944</v>
      </c>
      <c r="H136" s="92">
        <v>0.20788414336112937</v>
      </c>
      <c r="I136" s="92">
        <v>-9.3762346451614853E-2</v>
      </c>
      <c r="J136" s="92">
        <v>7.3345405299328981E-2</v>
      </c>
    </row>
    <row r="137" spans="1:10" x14ac:dyDescent="0.25">
      <c r="A137" s="85" t="s">
        <v>26</v>
      </c>
      <c r="B137" s="58">
        <v>0</v>
      </c>
      <c r="C137" s="58">
        <v>0</v>
      </c>
      <c r="D137" s="58">
        <v>2892558.20743</v>
      </c>
      <c r="E137" s="58">
        <v>3493875.1925037899</v>
      </c>
      <c r="F137" s="58">
        <v>2328803.5828400003</v>
      </c>
      <c r="G137" s="58">
        <v>2110449.4944879944</v>
      </c>
      <c r="H137" s="92">
        <v>0.20788414336112937</v>
      </c>
      <c r="I137" s="92">
        <v>-9.3762346451614853E-2</v>
      </c>
      <c r="J137" s="92">
        <v>7.3345405299328981E-2</v>
      </c>
    </row>
    <row r="138" spans="1:10" x14ac:dyDescent="0.25">
      <c r="A138" s="86" t="s">
        <v>24</v>
      </c>
      <c r="B138" s="58">
        <v>0</v>
      </c>
      <c r="C138" s="58">
        <v>0</v>
      </c>
      <c r="D138" s="58">
        <v>2892558.20743</v>
      </c>
      <c r="E138" s="58">
        <v>3493875.1925037899</v>
      </c>
      <c r="F138" s="58">
        <v>2328803.5828400003</v>
      </c>
      <c r="G138" s="58">
        <v>2110449.4944879944</v>
      </c>
      <c r="H138" s="92">
        <v>0.20788414336112937</v>
      </c>
      <c r="I138" s="92">
        <v>-9.3762346451614853E-2</v>
      </c>
      <c r="J138" s="92">
        <v>7.3345405299328981E-2</v>
      </c>
    </row>
    <row r="139" spans="1:10" x14ac:dyDescent="0.25">
      <c r="A139" s="87" t="s">
        <v>24</v>
      </c>
      <c r="B139" s="58">
        <v>0</v>
      </c>
      <c r="C139" s="58">
        <v>0</v>
      </c>
      <c r="D139" s="58">
        <v>2696957.5041599995</v>
      </c>
      <c r="E139" s="58">
        <v>3275771.0131596806</v>
      </c>
      <c r="F139" s="58">
        <v>2138409.6944000004</v>
      </c>
      <c r="G139" s="58">
        <v>1937907.3837781756</v>
      </c>
      <c r="H139" s="92">
        <v>0.21461721517928001</v>
      </c>
      <c r="I139" s="92">
        <v>-9.3762346451614964E-2</v>
      </c>
      <c r="J139" s="92">
        <v>7.8238359744533748E-2</v>
      </c>
    </row>
    <row r="140" spans="1:10" x14ac:dyDescent="0.25">
      <c r="A140" s="88" t="s">
        <v>25</v>
      </c>
      <c r="B140" s="58">
        <v>0</v>
      </c>
      <c r="C140" s="58">
        <v>0</v>
      </c>
      <c r="D140" s="58">
        <v>2696957.5041599995</v>
      </c>
      <c r="E140" s="58">
        <v>3275771.0131596806</v>
      </c>
      <c r="F140" s="58">
        <v>2138409.6944000004</v>
      </c>
      <c r="G140" s="58">
        <v>1937907.3837781756</v>
      </c>
      <c r="H140" s="92">
        <v>0.21461721517928001</v>
      </c>
      <c r="I140" s="92">
        <v>-9.3762346451614964E-2</v>
      </c>
      <c r="J140" s="92">
        <v>7.8238359744533748E-2</v>
      </c>
    </row>
    <row r="141" spans="1:10" x14ac:dyDescent="0.25">
      <c r="A141" s="89" t="s">
        <v>25</v>
      </c>
      <c r="B141" s="58">
        <v>0</v>
      </c>
      <c r="C141" s="58">
        <v>0</v>
      </c>
      <c r="D141" s="58">
        <v>2696957.5041599995</v>
      </c>
      <c r="E141" s="58">
        <v>3275771.0131596806</v>
      </c>
      <c r="F141" s="58">
        <v>2138409.6944000004</v>
      </c>
      <c r="G141" s="58">
        <v>1937907.3837781756</v>
      </c>
      <c r="H141" s="92">
        <v>0.21461721517928001</v>
      </c>
      <c r="I141" s="92">
        <v>-9.3762346451614964E-2</v>
      </c>
      <c r="J141" s="92">
        <v>7.8238359744533748E-2</v>
      </c>
    </row>
    <row r="142" spans="1:10" x14ac:dyDescent="0.25">
      <c r="A142" s="90" t="s">
        <v>25</v>
      </c>
      <c r="B142" s="58">
        <v>0</v>
      </c>
      <c r="C142" s="58">
        <v>0</v>
      </c>
      <c r="D142" s="58">
        <v>2696957.5041599995</v>
      </c>
      <c r="E142" s="58">
        <v>3275771.0131596806</v>
      </c>
      <c r="F142" s="58">
        <v>2138409.6944000004</v>
      </c>
      <c r="G142" s="58">
        <v>1937907.3837781756</v>
      </c>
      <c r="H142" s="92">
        <v>0.21461721517928001</v>
      </c>
      <c r="I142" s="92">
        <v>-9.3762346451614964E-2</v>
      </c>
      <c r="J142" s="92">
        <v>7.8238359744533748E-2</v>
      </c>
    </row>
    <row r="143" spans="1:10" x14ac:dyDescent="0.25">
      <c r="A143" s="91">
        <v>44409</v>
      </c>
      <c r="B143" s="58">
        <v>0</v>
      </c>
      <c r="C143" s="58">
        <v>0</v>
      </c>
      <c r="D143" s="58">
        <v>220376.62151999999</v>
      </c>
      <c r="E143" s="58">
        <v>267673.23832124053</v>
      </c>
      <c r="F143" s="58">
        <v>174735.9768</v>
      </c>
      <c r="G143" s="58">
        <v>158352.32160571706</v>
      </c>
      <c r="H143" s="92">
        <v>0.21461721517927979</v>
      </c>
      <c r="I143" s="92">
        <v>-9.3762346451614853E-2</v>
      </c>
      <c r="J143" s="92">
        <v>7.8238359744533748E-2</v>
      </c>
    </row>
    <row r="144" spans="1:10" x14ac:dyDescent="0.25">
      <c r="A144" s="91">
        <v>44440</v>
      </c>
      <c r="B144" s="58">
        <v>0</v>
      </c>
      <c r="C144" s="58">
        <v>0</v>
      </c>
      <c r="D144" s="58">
        <v>204267.31157999998</v>
      </c>
      <c r="E144" s="58">
        <v>248106.59314345784</v>
      </c>
      <c r="F144" s="58">
        <v>161962.9522</v>
      </c>
      <c r="G144" s="58">
        <v>146776.92576349727</v>
      </c>
      <c r="H144" s="92">
        <v>0.21461721517927979</v>
      </c>
      <c r="I144" s="92">
        <v>-9.3762346451614742E-2</v>
      </c>
      <c r="J144" s="92">
        <v>7.8238359744533748E-2</v>
      </c>
    </row>
    <row r="145" spans="1:10" x14ac:dyDescent="0.25">
      <c r="A145" s="91">
        <v>44470</v>
      </c>
      <c r="B145" s="58">
        <v>0</v>
      </c>
      <c r="C145" s="58">
        <v>0</v>
      </c>
      <c r="D145" s="58">
        <v>228562.88915999996</v>
      </c>
      <c r="E145" s="58">
        <v>277616.41992484959</v>
      </c>
      <c r="F145" s="58">
        <v>181226.84439999997</v>
      </c>
      <c r="G145" s="58">
        <v>164234.59022903428</v>
      </c>
      <c r="H145" s="92">
        <v>0.21461721517928001</v>
      </c>
      <c r="I145" s="92">
        <v>-9.3762346451614853E-2</v>
      </c>
      <c r="J145" s="92">
        <v>7.8238359744533748E-2</v>
      </c>
    </row>
    <row r="146" spans="1:10" x14ac:dyDescent="0.25">
      <c r="A146" s="91">
        <v>44501</v>
      </c>
      <c r="B146" s="58">
        <v>0</v>
      </c>
      <c r="C146" s="58">
        <v>0</v>
      </c>
      <c r="D146" s="58">
        <v>226995.66731999998</v>
      </c>
      <c r="E146" s="58">
        <v>275712.84529798065</v>
      </c>
      <c r="F146" s="58">
        <v>179984.19880000001</v>
      </c>
      <c r="G146" s="58">
        <v>163108.45799629806</v>
      </c>
      <c r="H146" s="92">
        <v>0.21461721517927979</v>
      </c>
      <c r="I146" s="92">
        <v>-9.3762346451614964E-2</v>
      </c>
      <c r="J146" s="92">
        <v>7.8238359744533525E-2</v>
      </c>
    </row>
    <row r="147" spans="1:10" x14ac:dyDescent="0.25">
      <c r="A147" s="91">
        <v>44531</v>
      </c>
      <c r="B147" s="58">
        <v>0</v>
      </c>
      <c r="C147" s="58">
        <v>0</v>
      </c>
      <c r="D147" s="58">
        <v>215185.7046</v>
      </c>
      <c r="E147" s="58">
        <v>261368.26126764319</v>
      </c>
      <c r="F147" s="58">
        <v>170620.114</v>
      </c>
      <c r="G147" s="58">
        <v>154622.37175951799</v>
      </c>
      <c r="H147" s="92">
        <v>0.21461721517928001</v>
      </c>
      <c r="I147" s="92">
        <v>-9.3762346451614742E-2</v>
      </c>
      <c r="J147" s="92">
        <v>7.823835974453397E-2</v>
      </c>
    </row>
    <row r="148" spans="1:10" x14ac:dyDescent="0.25">
      <c r="A148" s="91">
        <v>44562</v>
      </c>
      <c r="B148" s="58">
        <v>0</v>
      </c>
      <c r="C148" s="58">
        <v>0</v>
      </c>
      <c r="D148" s="58">
        <v>207860.68115999998</v>
      </c>
      <c r="E148" s="58">
        <v>252471.16169582741</v>
      </c>
      <c r="F148" s="58">
        <v>164812.12440000003</v>
      </c>
      <c r="G148" s="58">
        <v>149358.95289258054</v>
      </c>
      <c r="H148" s="92">
        <v>0.21461721517928001</v>
      </c>
      <c r="I148" s="92">
        <v>-9.3762346451615186E-2</v>
      </c>
      <c r="J148" s="92">
        <v>7.8238359744533525E-2</v>
      </c>
    </row>
    <row r="149" spans="1:10" x14ac:dyDescent="0.25">
      <c r="A149" s="91">
        <v>44593</v>
      </c>
      <c r="B149" s="58">
        <v>0</v>
      </c>
      <c r="C149" s="58">
        <v>0</v>
      </c>
      <c r="D149" s="58">
        <v>278032.67513999995</v>
      </c>
      <c r="E149" s="58">
        <v>337703.27360739221</v>
      </c>
      <c r="F149" s="58">
        <v>220451.29260000002</v>
      </c>
      <c r="G149" s="58">
        <v>199781.26212753248</v>
      </c>
      <c r="H149" s="92">
        <v>0.21461721517928023</v>
      </c>
      <c r="I149" s="92">
        <v>-9.3762346451614964E-2</v>
      </c>
      <c r="J149" s="92">
        <v>7.8238359744533748E-2</v>
      </c>
    </row>
    <row r="150" spans="1:10" x14ac:dyDescent="0.25">
      <c r="A150" s="91">
        <v>44621</v>
      </c>
      <c r="B150" s="58">
        <v>0</v>
      </c>
      <c r="C150" s="58">
        <v>0</v>
      </c>
      <c r="D150" s="58">
        <v>221422.24476</v>
      </c>
      <c r="E150" s="58">
        <v>268943.27030913613</v>
      </c>
      <c r="F150" s="58">
        <v>175565.04840000003</v>
      </c>
      <c r="G150" s="58">
        <v>159103.65750712471</v>
      </c>
      <c r="H150" s="92">
        <v>0.21461721517928001</v>
      </c>
      <c r="I150" s="92">
        <v>-9.3762346451614742E-2</v>
      </c>
      <c r="J150" s="92">
        <v>7.823835974453397E-2</v>
      </c>
    </row>
    <row r="151" spans="1:10" x14ac:dyDescent="0.25">
      <c r="A151" s="91">
        <v>44652</v>
      </c>
      <c r="B151" s="58">
        <v>0</v>
      </c>
      <c r="C151" s="58">
        <v>0</v>
      </c>
      <c r="D151" s="58">
        <v>240054.63629999998</v>
      </c>
      <c r="E151" s="58">
        <v>291574.49383358087</v>
      </c>
      <c r="F151" s="58">
        <v>190338.617</v>
      </c>
      <c r="G151" s="58">
        <v>172492.02164972477</v>
      </c>
      <c r="H151" s="92">
        <v>0.21461721517928001</v>
      </c>
      <c r="I151" s="92">
        <v>-9.3762346451614853E-2</v>
      </c>
      <c r="J151" s="92">
        <v>7.823835974453397E-2</v>
      </c>
    </row>
    <row r="152" spans="1:10" x14ac:dyDescent="0.25">
      <c r="A152" s="91">
        <v>44682</v>
      </c>
      <c r="B152" s="58">
        <v>0</v>
      </c>
      <c r="C152" s="58">
        <v>0</v>
      </c>
      <c r="D152" s="58">
        <v>213442.19051999997</v>
      </c>
      <c r="E152" s="58">
        <v>259250.55905116766</v>
      </c>
      <c r="F152" s="58">
        <v>169237.6868</v>
      </c>
      <c r="G152" s="58">
        <v>153369.5641775885</v>
      </c>
      <c r="H152" s="92">
        <v>0.21461721517927979</v>
      </c>
      <c r="I152" s="92">
        <v>-9.3762346451614853E-2</v>
      </c>
      <c r="J152" s="92">
        <v>7.8238359744533748E-2</v>
      </c>
    </row>
    <row r="153" spans="1:10" x14ac:dyDescent="0.25">
      <c r="A153" s="91">
        <v>44713</v>
      </c>
      <c r="B153" s="58">
        <v>0</v>
      </c>
      <c r="C153" s="58">
        <v>0</v>
      </c>
      <c r="D153" s="58">
        <v>205913.37972</v>
      </c>
      <c r="E153" s="58">
        <v>250105.93584365997</v>
      </c>
      <c r="F153" s="58">
        <v>163268.11480000001</v>
      </c>
      <c r="G153" s="58">
        <v>147959.71325562036</v>
      </c>
      <c r="H153" s="92">
        <v>0.21461721517927979</v>
      </c>
      <c r="I153" s="92">
        <v>-9.3762346451614964E-2</v>
      </c>
      <c r="J153" s="92">
        <v>7.8238359744533748E-2</v>
      </c>
    </row>
    <row r="154" spans="1:10" x14ac:dyDescent="0.25">
      <c r="A154" s="91">
        <v>44743</v>
      </c>
      <c r="B154" s="58">
        <v>0</v>
      </c>
      <c r="C154" s="58">
        <v>0</v>
      </c>
      <c r="D154" s="58">
        <v>234843.50237999999</v>
      </c>
      <c r="E154" s="58">
        <v>285244.9608637442</v>
      </c>
      <c r="F154" s="58">
        <v>186206.72420000003</v>
      </c>
      <c r="G154" s="58">
        <v>168747.54481393931</v>
      </c>
      <c r="H154" s="92">
        <v>0.21461721517928001</v>
      </c>
      <c r="I154" s="92">
        <v>-9.3762346451614964E-2</v>
      </c>
      <c r="J154" s="92">
        <v>7.8238359744533748E-2</v>
      </c>
    </row>
    <row r="155" spans="1:10" x14ac:dyDescent="0.25">
      <c r="A155" s="87" t="s">
        <v>28</v>
      </c>
      <c r="B155" s="58">
        <v>0</v>
      </c>
      <c r="C155" s="58">
        <v>0</v>
      </c>
      <c r="D155" s="58">
        <v>14687.824799999999</v>
      </c>
      <c r="E155" s="58">
        <v>16377.441700927804</v>
      </c>
      <c r="F155" s="58">
        <v>14296.676099999999</v>
      </c>
      <c r="G155" s="58">
        <v>12956.186202405275</v>
      </c>
      <c r="H155" s="92">
        <v>0.1150352025527841</v>
      </c>
      <c r="I155" s="92">
        <v>-9.3762346451614964E-2</v>
      </c>
      <c r="J155" s="92">
        <v>1.2045299815153232E-2</v>
      </c>
    </row>
    <row r="156" spans="1:10" x14ac:dyDescent="0.25">
      <c r="A156" s="88" t="s">
        <v>25</v>
      </c>
      <c r="B156" s="58">
        <v>0</v>
      </c>
      <c r="C156" s="58">
        <v>0</v>
      </c>
      <c r="D156" s="58">
        <v>14687.824799999999</v>
      </c>
      <c r="E156" s="58">
        <v>16377.441700927804</v>
      </c>
      <c r="F156" s="58">
        <v>14296.676099999999</v>
      </c>
      <c r="G156" s="58">
        <v>12956.186202405275</v>
      </c>
      <c r="H156" s="92">
        <v>0.1150352025527841</v>
      </c>
      <c r="I156" s="92">
        <v>-9.3762346451614964E-2</v>
      </c>
      <c r="J156" s="92">
        <v>1.2045299815153232E-2</v>
      </c>
    </row>
    <row r="157" spans="1:10" x14ac:dyDescent="0.25">
      <c r="A157" s="89" t="s">
        <v>25</v>
      </c>
      <c r="B157" s="58">
        <v>0</v>
      </c>
      <c r="C157" s="58">
        <v>0</v>
      </c>
      <c r="D157" s="58">
        <v>14687.824799999999</v>
      </c>
      <c r="E157" s="58">
        <v>16377.441700927804</v>
      </c>
      <c r="F157" s="58">
        <v>14296.676099999999</v>
      </c>
      <c r="G157" s="58">
        <v>12956.186202405275</v>
      </c>
      <c r="H157" s="92">
        <v>0.1150352025527841</v>
      </c>
      <c r="I157" s="92">
        <v>-9.3762346451614964E-2</v>
      </c>
      <c r="J157" s="92">
        <v>1.2045299815153232E-2</v>
      </c>
    </row>
    <row r="158" spans="1:10" x14ac:dyDescent="0.25">
      <c r="A158" s="90" t="s">
        <v>25</v>
      </c>
      <c r="B158" s="58">
        <v>0</v>
      </c>
      <c r="C158" s="58">
        <v>0</v>
      </c>
      <c r="D158" s="58">
        <v>14687.824799999999</v>
      </c>
      <c r="E158" s="58">
        <v>16377.441700927804</v>
      </c>
      <c r="F158" s="58">
        <v>14296.676099999999</v>
      </c>
      <c r="G158" s="58">
        <v>12956.186202405275</v>
      </c>
      <c r="H158" s="92">
        <v>0.1150352025527841</v>
      </c>
      <c r="I158" s="92">
        <v>-9.3762346451614964E-2</v>
      </c>
      <c r="J158" s="92">
        <v>1.2045299815153232E-2</v>
      </c>
    </row>
    <row r="159" spans="1:10" x14ac:dyDescent="0.25">
      <c r="A159" s="91">
        <v>44409</v>
      </c>
      <c r="B159" s="58">
        <v>0</v>
      </c>
      <c r="C159" s="58">
        <v>0</v>
      </c>
      <c r="D159" s="58">
        <v>1210.44</v>
      </c>
      <c r="E159" s="58">
        <v>1349.6832105779918</v>
      </c>
      <c r="F159" s="58">
        <v>1178.2049999999999</v>
      </c>
      <c r="G159" s="58">
        <v>1067.7337345989749</v>
      </c>
      <c r="H159" s="92">
        <v>0.11503520255278388</v>
      </c>
      <c r="I159" s="92">
        <v>-9.3762346451614964E-2</v>
      </c>
      <c r="J159" s="92">
        <v>1.2045299815153232E-2</v>
      </c>
    </row>
    <row r="160" spans="1:10" x14ac:dyDescent="0.25">
      <c r="A160" s="91">
        <v>44440</v>
      </c>
      <c r="B160" s="58">
        <v>0</v>
      </c>
      <c r="C160" s="58">
        <v>0</v>
      </c>
      <c r="D160" s="58">
        <v>1193.1479999999999</v>
      </c>
      <c r="E160" s="58">
        <v>1330.402021855449</v>
      </c>
      <c r="F160" s="58">
        <v>1161.3734999999999</v>
      </c>
      <c r="G160" s="58">
        <v>1052.4803955332754</v>
      </c>
      <c r="H160" s="92">
        <v>0.11503520255278388</v>
      </c>
      <c r="I160" s="92">
        <v>-9.3762346451614853E-2</v>
      </c>
      <c r="J160" s="92">
        <v>1.2045299815153232E-2</v>
      </c>
    </row>
    <row r="161" spans="1:10" x14ac:dyDescent="0.25">
      <c r="A161" s="91">
        <v>44470</v>
      </c>
      <c r="B161" s="58">
        <v>0</v>
      </c>
      <c r="C161" s="58">
        <v>0</v>
      </c>
      <c r="D161" s="58">
        <v>1196.6064000000001</v>
      </c>
      <c r="E161" s="58">
        <v>1334.2582595999577</v>
      </c>
      <c r="F161" s="58">
        <v>1164.7398000000001</v>
      </c>
      <c r="G161" s="58">
        <v>1055.5310633464153</v>
      </c>
      <c r="H161" s="92">
        <v>0.11503520255278388</v>
      </c>
      <c r="I161" s="92">
        <v>-9.3762346451614964E-2</v>
      </c>
      <c r="J161" s="92">
        <v>1.2045299815153232E-2</v>
      </c>
    </row>
    <row r="162" spans="1:10" x14ac:dyDescent="0.25">
      <c r="A162" s="91">
        <v>44501</v>
      </c>
      <c r="B162" s="58">
        <v>0</v>
      </c>
      <c r="C162" s="58">
        <v>0</v>
      </c>
      <c r="D162" s="58">
        <v>1220.8152</v>
      </c>
      <c r="E162" s="58">
        <v>1361.2519238115174</v>
      </c>
      <c r="F162" s="58">
        <v>1188.3038999999999</v>
      </c>
      <c r="G162" s="58">
        <v>1076.8857380383947</v>
      </c>
      <c r="H162" s="92">
        <v>0.11503520255278388</v>
      </c>
      <c r="I162" s="92">
        <v>-9.3762346451614964E-2</v>
      </c>
      <c r="J162" s="92">
        <v>1.2045299815153232E-2</v>
      </c>
    </row>
    <row r="163" spans="1:10" x14ac:dyDescent="0.25">
      <c r="A163" s="91">
        <v>44531</v>
      </c>
      <c r="B163" s="58">
        <v>0</v>
      </c>
      <c r="C163" s="58">
        <v>0</v>
      </c>
      <c r="D163" s="58">
        <v>1238.1072000000001</v>
      </c>
      <c r="E163" s="58">
        <v>1380.5331125340601</v>
      </c>
      <c r="F163" s="58">
        <v>1205.1353999999999</v>
      </c>
      <c r="G163" s="58">
        <v>1092.1390771040944</v>
      </c>
      <c r="H163" s="92">
        <v>0.11503520255278388</v>
      </c>
      <c r="I163" s="92">
        <v>-9.3762346451614853E-2</v>
      </c>
      <c r="J163" s="92">
        <v>1.2045299815153232E-2</v>
      </c>
    </row>
    <row r="164" spans="1:10" x14ac:dyDescent="0.25">
      <c r="A164" s="91">
        <v>44562</v>
      </c>
      <c r="B164" s="58">
        <v>0</v>
      </c>
      <c r="C164" s="58">
        <v>0</v>
      </c>
      <c r="D164" s="58">
        <v>1245.0240000000001</v>
      </c>
      <c r="E164" s="58">
        <v>1388.2455880230773</v>
      </c>
      <c r="F164" s="58">
        <v>1211.8679999999999</v>
      </c>
      <c r="G164" s="58">
        <v>1098.2404127303744</v>
      </c>
      <c r="H164" s="92">
        <v>0.11503520255278388</v>
      </c>
      <c r="I164" s="92">
        <v>-9.3762346451614853E-2</v>
      </c>
      <c r="J164" s="92">
        <v>1.2045299815153454E-2</v>
      </c>
    </row>
    <row r="165" spans="1:10" x14ac:dyDescent="0.25">
      <c r="A165" s="91">
        <v>44593</v>
      </c>
      <c r="B165" s="58">
        <v>0</v>
      </c>
      <c r="C165" s="58">
        <v>0</v>
      </c>
      <c r="D165" s="58">
        <v>1245.0240000000001</v>
      </c>
      <c r="E165" s="58">
        <v>1388.2455880230773</v>
      </c>
      <c r="F165" s="58">
        <v>1211.8679999999999</v>
      </c>
      <c r="G165" s="58">
        <v>1098.2404127303744</v>
      </c>
      <c r="H165" s="92">
        <v>0.11503520255278388</v>
      </c>
      <c r="I165" s="92">
        <v>-9.3762346451614853E-2</v>
      </c>
      <c r="J165" s="92">
        <v>1.2045299815153454E-2</v>
      </c>
    </row>
    <row r="166" spans="1:10" x14ac:dyDescent="0.25">
      <c r="A166" s="91">
        <v>44621</v>
      </c>
      <c r="B166" s="58">
        <v>0</v>
      </c>
      <c r="C166" s="58">
        <v>0</v>
      </c>
      <c r="D166" s="58">
        <v>1258.8576</v>
      </c>
      <c r="E166" s="58">
        <v>1403.6705390011114</v>
      </c>
      <c r="F166" s="58">
        <v>1225.3332</v>
      </c>
      <c r="G166" s="58">
        <v>1110.443083982934</v>
      </c>
      <c r="H166" s="92">
        <v>0.11503520255278388</v>
      </c>
      <c r="I166" s="92">
        <v>-9.3762346451614964E-2</v>
      </c>
      <c r="J166" s="92">
        <v>1.204529981515301E-2</v>
      </c>
    </row>
    <row r="167" spans="1:10" x14ac:dyDescent="0.25">
      <c r="A167" s="91">
        <v>44652</v>
      </c>
      <c r="B167" s="58">
        <v>0</v>
      </c>
      <c r="C167" s="58">
        <v>0</v>
      </c>
      <c r="D167" s="58">
        <v>1283.0664000000002</v>
      </c>
      <c r="E167" s="58">
        <v>1430.6642032126713</v>
      </c>
      <c r="F167" s="58">
        <v>1248.8973000000001</v>
      </c>
      <c r="G167" s="58">
        <v>1131.7977586749137</v>
      </c>
      <c r="H167" s="92">
        <v>0.11503520255278388</v>
      </c>
      <c r="I167" s="92">
        <v>-9.3762346451614853E-2</v>
      </c>
      <c r="J167" s="92">
        <v>1.2045299815153232E-2</v>
      </c>
    </row>
    <row r="168" spans="1:10" x14ac:dyDescent="0.25">
      <c r="A168" s="91">
        <v>44682</v>
      </c>
      <c r="B168" s="58">
        <v>0</v>
      </c>
      <c r="C168" s="58">
        <v>0</v>
      </c>
      <c r="D168" s="58">
        <v>1307.2752</v>
      </c>
      <c r="E168" s="58">
        <v>1457.6578674242312</v>
      </c>
      <c r="F168" s="58">
        <v>1272.4613999999999</v>
      </c>
      <c r="G168" s="58">
        <v>1153.1524333668931</v>
      </c>
      <c r="H168" s="92">
        <v>0.11503520255278388</v>
      </c>
      <c r="I168" s="92">
        <v>-9.3762346451614853E-2</v>
      </c>
      <c r="J168" s="92">
        <v>1.2045299815153232E-2</v>
      </c>
    </row>
    <row r="169" spans="1:10" x14ac:dyDescent="0.25">
      <c r="A169" s="91">
        <v>44713</v>
      </c>
      <c r="B169" s="58">
        <v>0</v>
      </c>
      <c r="C169" s="58">
        <v>0</v>
      </c>
      <c r="D169" s="58">
        <v>1151.6472000000001</v>
      </c>
      <c r="E169" s="58">
        <v>1284.1271689213465</v>
      </c>
      <c r="F169" s="58">
        <v>1120.9778999999999</v>
      </c>
      <c r="G169" s="58">
        <v>1015.8723817755963</v>
      </c>
      <c r="H169" s="92">
        <v>0.11503520255278388</v>
      </c>
      <c r="I169" s="92">
        <v>-9.3762346451614742E-2</v>
      </c>
      <c r="J169" s="92">
        <v>1.2045299815153232E-2</v>
      </c>
    </row>
    <row r="170" spans="1:10" x14ac:dyDescent="0.25">
      <c r="A170" s="91">
        <v>44743</v>
      </c>
      <c r="B170" s="58">
        <v>0</v>
      </c>
      <c r="C170" s="58">
        <v>0</v>
      </c>
      <c r="D170" s="58">
        <v>1137.8136</v>
      </c>
      <c r="E170" s="58">
        <v>1268.7022179433122</v>
      </c>
      <c r="F170" s="58">
        <v>1107.5126999999998</v>
      </c>
      <c r="G170" s="58">
        <v>1003.6697105230364</v>
      </c>
      <c r="H170" s="92">
        <v>0.11503520255278388</v>
      </c>
      <c r="I170" s="92">
        <v>-9.3762346451614853E-2</v>
      </c>
      <c r="J170" s="92">
        <v>1.2045299815153232E-2</v>
      </c>
    </row>
    <row r="171" spans="1:10" x14ac:dyDescent="0.25">
      <c r="A171" s="87" t="s">
        <v>29</v>
      </c>
      <c r="B171" s="58">
        <v>0</v>
      </c>
      <c r="C171" s="58">
        <v>0</v>
      </c>
      <c r="D171" s="58">
        <v>54430.674220000001</v>
      </c>
      <c r="E171" s="58">
        <v>60692.995326156219</v>
      </c>
      <c r="F171" s="58">
        <v>52981.90716000001</v>
      </c>
      <c r="G171" s="58">
        <v>48014.199225196782</v>
      </c>
      <c r="H171" s="92">
        <v>0.11505132346597291</v>
      </c>
      <c r="I171" s="92">
        <v>-9.3762346451615075E-2</v>
      </c>
      <c r="J171" s="92">
        <v>1.2052714446671331E-2</v>
      </c>
    </row>
    <row r="172" spans="1:10" x14ac:dyDescent="0.25">
      <c r="A172" s="88" t="s">
        <v>25</v>
      </c>
      <c r="B172" s="58">
        <v>0</v>
      </c>
      <c r="C172" s="58">
        <v>0</v>
      </c>
      <c r="D172" s="58">
        <v>54430.674220000001</v>
      </c>
      <c r="E172" s="58">
        <v>60692.995326156219</v>
      </c>
      <c r="F172" s="58">
        <v>52981.90716000001</v>
      </c>
      <c r="G172" s="58">
        <v>48014.199225196782</v>
      </c>
      <c r="H172" s="92">
        <v>0.11505132346597291</v>
      </c>
      <c r="I172" s="92">
        <v>-9.3762346451615075E-2</v>
      </c>
      <c r="J172" s="92">
        <v>1.2052714446671331E-2</v>
      </c>
    </row>
    <row r="173" spans="1:10" x14ac:dyDescent="0.25">
      <c r="A173" s="89" t="s">
        <v>25</v>
      </c>
      <c r="B173" s="58">
        <v>0</v>
      </c>
      <c r="C173" s="58">
        <v>0</v>
      </c>
      <c r="D173" s="58">
        <v>54430.674220000001</v>
      </c>
      <c r="E173" s="58">
        <v>60692.995326156219</v>
      </c>
      <c r="F173" s="58">
        <v>52981.90716000001</v>
      </c>
      <c r="G173" s="58">
        <v>48014.199225196782</v>
      </c>
      <c r="H173" s="92">
        <v>0.11505132346597291</v>
      </c>
      <c r="I173" s="92">
        <v>-9.3762346451615075E-2</v>
      </c>
      <c r="J173" s="92">
        <v>1.2052714446671331E-2</v>
      </c>
    </row>
    <row r="174" spans="1:10" x14ac:dyDescent="0.25">
      <c r="A174" s="90" t="s">
        <v>25</v>
      </c>
      <c r="B174" s="58">
        <v>0</v>
      </c>
      <c r="C174" s="58">
        <v>0</v>
      </c>
      <c r="D174" s="58">
        <v>54430.674220000001</v>
      </c>
      <c r="E174" s="58">
        <v>60692.995326156219</v>
      </c>
      <c r="F174" s="58">
        <v>52981.90716000001</v>
      </c>
      <c r="G174" s="58">
        <v>48014.199225196782</v>
      </c>
      <c r="H174" s="92">
        <v>0.11505132346597291</v>
      </c>
      <c r="I174" s="92">
        <v>-9.3762346451615075E-2</v>
      </c>
      <c r="J174" s="92">
        <v>1.2052714446671331E-2</v>
      </c>
    </row>
    <row r="175" spans="1:10" x14ac:dyDescent="0.25">
      <c r="A175" s="91">
        <v>44409</v>
      </c>
      <c r="B175" s="58">
        <v>0</v>
      </c>
      <c r="C175" s="58">
        <v>0</v>
      </c>
      <c r="D175" s="58">
        <v>4273.3348799999994</v>
      </c>
      <c r="E175" s="58">
        <v>4764.9877135573051</v>
      </c>
      <c r="F175" s="58">
        <v>4159.5926399999998</v>
      </c>
      <c r="G175" s="58">
        <v>3769.5794737907322</v>
      </c>
      <c r="H175" s="92">
        <v>0.11505132346597313</v>
      </c>
      <c r="I175" s="92">
        <v>-9.3762346451614964E-2</v>
      </c>
      <c r="J175" s="92">
        <v>1.2052714446671553E-2</v>
      </c>
    </row>
    <row r="176" spans="1:10" x14ac:dyDescent="0.25">
      <c r="A176" s="91">
        <v>44440</v>
      </c>
      <c r="B176" s="58">
        <v>0</v>
      </c>
      <c r="C176" s="58">
        <v>0</v>
      </c>
      <c r="D176" s="58">
        <v>4297.6421399999999</v>
      </c>
      <c r="E176" s="58">
        <v>4792.0915559901368</v>
      </c>
      <c r="F176" s="58">
        <v>4183.2529199999999</v>
      </c>
      <c r="G176" s="58">
        <v>3791.0213104202303</v>
      </c>
      <c r="H176" s="92">
        <v>0.11505132346597313</v>
      </c>
      <c r="I176" s="92">
        <v>-9.3762346451614853E-2</v>
      </c>
      <c r="J176" s="92">
        <v>1.2052714446671553E-2</v>
      </c>
    </row>
    <row r="177" spans="1:10" x14ac:dyDescent="0.25">
      <c r="A177" s="91">
        <v>44470</v>
      </c>
      <c r="B177" s="58">
        <v>0</v>
      </c>
      <c r="C177" s="58">
        <v>0</v>
      </c>
      <c r="D177" s="58">
        <v>4405.3450400000002</v>
      </c>
      <c r="E177" s="58">
        <v>4912.1858171762606</v>
      </c>
      <c r="F177" s="58">
        <v>4288.0891200000005</v>
      </c>
      <c r="G177" s="58">
        <v>3886.0278223151599</v>
      </c>
      <c r="H177" s="92">
        <v>0.11505132346597313</v>
      </c>
      <c r="I177" s="92">
        <v>-9.3762346451614964E-2</v>
      </c>
      <c r="J177" s="92">
        <v>1.2052714446671331E-2</v>
      </c>
    </row>
    <row r="178" spans="1:10" x14ac:dyDescent="0.25">
      <c r="A178" s="91">
        <v>44501</v>
      </c>
      <c r="B178" s="58">
        <v>0</v>
      </c>
      <c r="C178" s="58">
        <v>0</v>
      </c>
      <c r="D178" s="58">
        <v>4480.8358799999996</v>
      </c>
      <c r="E178" s="58">
        <v>4996.3619782278183</v>
      </c>
      <c r="F178" s="58">
        <v>4361.5706399999999</v>
      </c>
      <c r="G178" s="58">
        <v>3952.6195425791284</v>
      </c>
      <c r="H178" s="92">
        <v>0.11505132346597313</v>
      </c>
      <c r="I178" s="92">
        <v>-9.3762346451614853E-2</v>
      </c>
      <c r="J178" s="92">
        <v>1.2052714446671553E-2</v>
      </c>
    </row>
    <row r="179" spans="1:10" x14ac:dyDescent="0.25">
      <c r="A179" s="91">
        <v>44531</v>
      </c>
      <c r="B179" s="58">
        <v>0</v>
      </c>
      <c r="C179" s="58">
        <v>0</v>
      </c>
      <c r="D179" s="58">
        <v>4625.4937199999995</v>
      </c>
      <c r="E179" s="58">
        <v>5157.6628941695471</v>
      </c>
      <c r="F179" s="58">
        <v>4502.3781600000002</v>
      </c>
      <c r="G179" s="58">
        <v>4080.2246191058953</v>
      </c>
      <c r="H179" s="92">
        <v>0.11505132346597313</v>
      </c>
      <c r="I179" s="92">
        <v>-9.3762346451614964E-2</v>
      </c>
      <c r="J179" s="92">
        <v>1.2052714446671553E-2</v>
      </c>
    </row>
    <row r="180" spans="1:10" x14ac:dyDescent="0.25">
      <c r="A180" s="91">
        <v>44562</v>
      </c>
      <c r="B180" s="58">
        <v>0</v>
      </c>
      <c r="C180" s="58">
        <v>0</v>
      </c>
      <c r="D180" s="58">
        <v>4625.6913400000003</v>
      </c>
      <c r="E180" s="58">
        <v>5157.8832506120907</v>
      </c>
      <c r="F180" s="58">
        <v>4502.5705200000002</v>
      </c>
      <c r="G180" s="58">
        <v>4080.3989429809321</v>
      </c>
      <c r="H180" s="92">
        <v>0.11505132346597313</v>
      </c>
      <c r="I180" s="92">
        <v>-9.3762346451614964E-2</v>
      </c>
      <c r="J180" s="92">
        <v>1.2052714446671331E-2</v>
      </c>
    </row>
    <row r="181" spans="1:10" x14ac:dyDescent="0.25">
      <c r="A181" s="91">
        <v>44593</v>
      </c>
      <c r="B181" s="58">
        <v>0</v>
      </c>
      <c r="C181" s="58">
        <v>0</v>
      </c>
      <c r="D181" s="58">
        <v>4786.3563999999997</v>
      </c>
      <c r="E181" s="58">
        <v>5337.0330383998307</v>
      </c>
      <c r="F181" s="58">
        <v>4658.9592000000002</v>
      </c>
      <c r="G181" s="58">
        <v>4222.1242533856612</v>
      </c>
      <c r="H181" s="92">
        <v>0.11505132346597313</v>
      </c>
      <c r="I181" s="92">
        <v>-9.3762346451614964E-2</v>
      </c>
      <c r="J181" s="92">
        <v>1.2052714446671553E-2</v>
      </c>
    </row>
    <row r="182" spans="1:10" x14ac:dyDescent="0.25">
      <c r="A182" s="91">
        <v>44621</v>
      </c>
      <c r="B182" s="58">
        <v>0</v>
      </c>
      <c r="C182" s="58">
        <v>0</v>
      </c>
      <c r="D182" s="58">
        <v>4765.4086800000005</v>
      </c>
      <c r="E182" s="58">
        <v>5313.6752554902369</v>
      </c>
      <c r="F182" s="58">
        <v>4638.5690400000003</v>
      </c>
      <c r="G182" s="58">
        <v>4203.6459226317857</v>
      </c>
      <c r="H182" s="92">
        <v>0.11505132346597313</v>
      </c>
      <c r="I182" s="92">
        <v>-9.3762346451614853E-2</v>
      </c>
      <c r="J182" s="92">
        <v>1.2052714446671775E-2</v>
      </c>
    </row>
    <row r="183" spans="1:10" x14ac:dyDescent="0.25">
      <c r="A183" s="91">
        <v>44652</v>
      </c>
      <c r="B183" s="58">
        <v>0</v>
      </c>
      <c r="C183" s="58">
        <v>0</v>
      </c>
      <c r="D183" s="58">
        <v>4865.0091599999996</v>
      </c>
      <c r="E183" s="58">
        <v>5424.7349025320818</v>
      </c>
      <c r="F183" s="58">
        <v>4735.5184799999997</v>
      </c>
      <c r="G183" s="58">
        <v>4291.5051556502149</v>
      </c>
      <c r="H183" s="92">
        <v>0.11505132346597313</v>
      </c>
      <c r="I183" s="92">
        <v>-9.3762346451614964E-2</v>
      </c>
      <c r="J183" s="92">
        <v>1.2052714446671331E-2</v>
      </c>
    </row>
    <row r="184" spans="1:10" x14ac:dyDescent="0.25">
      <c r="A184" s="91">
        <v>44682</v>
      </c>
      <c r="B184" s="58">
        <v>0</v>
      </c>
      <c r="C184" s="58">
        <v>0</v>
      </c>
      <c r="D184" s="58">
        <v>4889.51404</v>
      </c>
      <c r="E184" s="58">
        <v>5452.059101407458</v>
      </c>
      <c r="F184" s="58">
        <v>4759.3711200000007</v>
      </c>
      <c r="G184" s="58">
        <v>4313.1213161547494</v>
      </c>
      <c r="H184" s="92">
        <v>0.11505132346597335</v>
      </c>
      <c r="I184" s="92">
        <v>-9.3762346451615075E-2</v>
      </c>
      <c r="J184" s="92">
        <v>1.2052714446671553E-2</v>
      </c>
    </row>
    <row r="185" spans="1:10" x14ac:dyDescent="0.25">
      <c r="A185" s="91">
        <v>44713</v>
      </c>
      <c r="B185" s="58">
        <v>0</v>
      </c>
      <c r="C185" s="58">
        <v>0</v>
      </c>
      <c r="D185" s="58">
        <v>4257.5252799999998</v>
      </c>
      <c r="E185" s="58">
        <v>4747.3591981538384</v>
      </c>
      <c r="F185" s="58">
        <v>4144.2038400000001</v>
      </c>
      <c r="G185" s="58">
        <v>3755.6335637878074</v>
      </c>
      <c r="H185" s="92">
        <v>0.11505132346597335</v>
      </c>
      <c r="I185" s="92">
        <v>-9.3762346451614853E-2</v>
      </c>
      <c r="J185" s="92">
        <v>1.2052714446671553E-2</v>
      </c>
    </row>
    <row r="186" spans="1:10" x14ac:dyDescent="0.25">
      <c r="A186" s="91">
        <v>44743</v>
      </c>
      <c r="B186" s="58">
        <v>0</v>
      </c>
      <c r="C186" s="58">
        <v>0</v>
      </c>
      <c r="D186" s="58">
        <v>4158.5176599999995</v>
      </c>
      <c r="E186" s="58">
        <v>4636.9606204396214</v>
      </c>
      <c r="F186" s="58">
        <v>4047.8314800000003</v>
      </c>
      <c r="G186" s="58">
        <v>3668.2973023944869</v>
      </c>
      <c r="H186" s="92">
        <v>0.11505132346597313</v>
      </c>
      <c r="I186" s="92">
        <v>-9.3762346451614964E-2</v>
      </c>
      <c r="J186" s="92">
        <v>1.2052714446671553E-2</v>
      </c>
    </row>
    <row r="187" spans="1:10" x14ac:dyDescent="0.25">
      <c r="A187" s="87" t="s">
        <v>30</v>
      </c>
      <c r="B187" s="58">
        <v>0</v>
      </c>
      <c r="C187" s="58">
        <v>0</v>
      </c>
      <c r="D187" s="58">
        <v>90422.117910000015</v>
      </c>
      <c r="E187" s="58">
        <v>100825.30224614179</v>
      </c>
      <c r="F187" s="58">
        <v>88015.375980000012</v>
      </c>
      <c r="G187" s="58">
        <v>79762.847804294113</v>
      </c>
      <c r="H187" s="92">
        <v>0.11505132346597313</v>
      </c>
      <c r="I187" s="92">
        <v>-9.3762346451614853E-2</v>
      </c>
      <c r="J187" s="92">
        <v>1.2052714446671553E-2</v>
      </c>
    </row>
    <row r="188" spans="1:10" x14ac:dyDescent="0.25">
      <c r="A188" s="88" t="s">
        <v>25</v>
      </c>
      <c r="B188" s="58">
        <v>0</v>
      </c>
      <c r="C188" s="58">
        <v>0</v>
      </c>
      <c r="D188" s="58">
        <v>90422.117910000015</v>
      </c>
      <c r="E188" s="58">
        <v>100825.30224614179</v>
      </c>
      <c r="F188" s="58">
        <v>88015.375980000012</v>
      </c>
      <c r="G188" s="58">
        <v>79762.847804294113</v>
      </c>
      <c r="H188" s="92">
        <v>0.11505132346597313</v>
      </c>
      <c r="I188" s="92">
        <v>-9.3762346451614853E-2</v>
      </c>
      <c r="J188" s="92">
        <v>1.2052714446671553E-2</v>
      </c>
    </row>
    <row r="189" spans="1:10" x14ac:dyDescent="0.25">
      <c r="A189" s="89" t="s">
        <v>25</v>
      </c>
      <c r="B189" s="58">
        <v>0</v>
      </c>
      <c r="C189" s="58">
        <v>0</v>
      </c>
      <c r="D189" s="58">
        <v>90422.117910000015</v>
      </c>
      <c r="E189" s="58">
        <v>100825.30224614179</v>
      </c>
      <c r="F189" s="58">
        <v>88015.375980000012</v>
      </c>
      <c r="G189" s="58">
        <v>79762.847804294113</v>
      </c>
      <c r="H189" s="92">
        <v>0.11505132346597313</v>
      </c>
      <c r="I189" s="92">
        <v>-9.3762346451614853E-2</v>
      </c>
      <c r="J189" s="92">
        <v>1.2052714446671553E-2</v>
      </c>
    </row>
    <row r="190" spans="1:10" x14ac:dyDescent="0.25">
      <c r="A190" s="90" t="s">
        <v>25</v>
      </c>
      <c r="B190" s="58">
        <v>0</v>
      </c>
      <c r="C190" s="58">
        <v>0</v>
      </c>
      <c r="D190" s="58">
        <v>90422.117910000015</v>
      </c>
      <c r="E190" s="58">
        <v>100825.30224614179</v>
      </c>
      <c r="F190" s="58">
        <v>88015.375980000012</v>
      </c>
      <c r="G190" s="58">
        <v>79762.847804294113</v>
      </c>
      <c r="H190" s="92">
        <v>0.11505132346597313</v>
      </c>
      <c r="I190" s="92">
        <v>-9.3762346451614853E-2</v>
      </c>
      <c r="J190" s="92">
        <v>1.2052714446671553E-2</v>
      </c>
    </row>
    <row r="191" spans="1:10" x14ac:dyDescent="0.25">
      <c r="A191" s="91">
        <v>44409</v>
      </c>
      <c r="B191" s="58">
        <v>0</v>
      </c>
      <c r="C191" s="58">
        <v>0</v>
      </c>
      <c r="D191" s="58">
        <v>7033.09818</v>
      </c>
      <c r="E191" s="58">
        <v>7842.2654336751275</v>
      </c>
      <c r="F191" s="58">
        <v>6845.9000400000004</v>
      </c>
      <c r="G191" s="58">
        <v>6204.0123886763959</v>
      </c>
      <c r="H191" s="92">
        <v>0.11505132346597313</v>
      </c>
      <c r="I191" s="92">
        <v>-9.3762346451614964E-2</v>
      </c>
      <c r="J191" s="92">
        <v>1.2052714446671553E-2</v>
      </c>
    </row>
    <row r="192" spans="1:10" x14ac:dyDescent="0.25">
      <c r="A192" s="91">
        <v>44440</v>
      </c>
      <c r="B192" s="58">
        <v>0</v>
      </c>
      <c r="C192" s="58">
        <v>0</v>
      </c>
      <c r="D192" s="58">
        <v>6304.7696699999997</v>
      </c>
      <c r="E192" s="58">
        <v>7030.1417646816271</v>
      </c>
      <c r="F192" s="58">
        <v>6136.9572600000001</v>
      </c>
      <c r="G192" s="58">
        <v>5561.5417472291265</v>
      </c>
      <c r="H192" s="92">
        <v>0.11505132346597335</v>
      </c>
      <c r="I192" s="92">
        <v>-9.3762346451614964E-2</v>
      </c>
      <c r="J192" s="92">
        <v>1.2052714446671331E-2</v>
      </c>
    </row>
    <row r="193" spans="1:10" x14ac:dyDescent="0.25">
      <c r="A193" s="91">
        <v>44470</v>
      </c>
      <c r="B193" s="58">
        <v>0</v>
      </c>
      <c r="C193" s="58">
        <v>0</v>
      </c>
      <c r="D193" s="58">
        <v>7828.1234400000003</v>
      </c>
      <c r="E193" s="58">
        <v>8728.759402027008</v>
      </c>
      <c r="F193" s="58">
        <v>7619.7643200000011</v>
      </c>
      <c r="G193" s="58">
        <v>6905.317337948507</v>
      </c>
      <c r="H193" s="92">
        <v>0.11505132346597335</v>
      </c>
      <c r="I193" s="92">
        <v>-9.3762346451614964E-2</v>
      </c>
      <c r="J193" s="92">
        <v>1.2052714446671553E-2</v>
      </c>
    </row>
    <row r="194" spans="1:10" x14ac:dyDescent="0.25">
      <c r="A194" s="91">
        <v>44501</v>
      </c>
      <c r="B194" s="58">
        <v>0</v>
      </c>
      <c r="C194" s="58">
        <v>0</v>
      </c>
      <c r="D194" s="58">
        <v>6700.5037199999997</v>
      </c>
      <c r="E194" s="58">
        <v>7471.4055408746772</v>
      </c>
      <c r="F194" s="58">
        <v>6522.15816</v>
      </c>
      <c r="G194" s="58">
        <v>5910.625306989853</v>
      </c>
      <c r="H194" s="92">
        <v>0.11505132346597335</v>
      </c>
      <c r="I194" s="92">
        <v>-9.3762346451614853E-2</v>
      </c>
      <c r="J194" s="92">
        <v>1.2052714446671775E-2</v>
      </c>
    </row>
    <row r="195" spans="1:10" x14ac:dyDescent="0.25">
      <c r="A195" s="91">
        <v>44531</v>
      </c>
      <c r="B195" s="58">
        <v>0</v>
      </c>
      <c r="C195" s="58">
        <v>0</v>
      </c>
      <c r="D195" s="58">
        <v>7672.4976900000001</v>
      </c>
      <c r="E195" s="58">
        <v>8555.2287035241225</v>
      </c>
      <c r="F195" s="58">
        <v>7468.2808199999999</v>
      </c>
      <c r="G195" s="58">
        <v>6768.0372863572102</v>
      </c>
      <c r="H195" s="92">
        <v>0.11505132346597313</v>
      </c>
      <c r="I195" s="92">
        <v>-9.3762346451614742E-2</v>
      </c>
      <c r="J195" s="92">
        <v>1.2052714446671553E-2</v>
      </c>
    </row>
    <row r="196" spans="1:10" x14ac:dyDescent="0.25">
      <c r="A196" s="91">
        <v>44562</v>
      </c>
      <c r="B196" s="58">
        <v>0</v>
      </c>
      <c r="C196" s="58">
        <v>0</v>
      </c>
      <c r="D196" s="58">
        <v>7240.8956100000005</v>
      </c>
      <c r="E196" s="58">
        <v>8073.970233009456</v>
      </c>
      <c r="F196" s="58">
        <v>7048.1665800000001</v>
      </c>
      <c r="G196" s="58">
        <v>6387.3139432773469</v>
      </c>
      <c r="H196" s="92">
        <v>0.11505132346597313</v>
      </c>
      <c r="I196" s="92">
        <v>-9.3762346451614853E-2</v>
      </c>
      <c r="J196" s="92">
        <v>1.2052714446671553E-2</v>
      </c>
    </row>
    <row r="197" spans="1:10" x14ac:dyDescent="0.25">
      <c r="A197" s="91">
        <v>44593</v>
      </c>
      <c r="B197" s="58">
        <v>0</v>
      </c>
      <c r="C197" s="58">
        <v>0</v>
      </c>
      <c r="D197" s="58">
        <v>9297.230520000001</v>
      </c>
      <c r="E197" s="58">
        <v>10366.889195894239</v>
      </c>
      <c r="F197" s="58">
        <v>9049.7685600000004</v>
      </c>
      <c r="G197" s="58">
        <v>8201.2410249703498</v>
      </c>
      <c r="H197" s="92">
        <v>0.11505132346597313</v>
      </c>
      <c r="I197" s="92">
        <v>-9.3762346451614742E-2</v>
      </c>
      <c r="J197" s="92">
        <v>1.2052714446671553E-2</v>
      </c>
    </row>
    <row r="198" spans="1:10" x14ac:dyDescent="0.25">
      <c r="A198" s="91">
        <v>44621</v>
      </c>
      <c r="B198" s="58">
        <v>0</v>
      </c>
      <c r="C198" s="58">
        <v>0</v>
      </c>
      <c r="D198" s="58">
        <v>7859.5450199999996</v>
      </c>
      <c r="E198" s="58">
        <v>8763.7960763913998</v>
      </c>
      <c r="F198" s="58">
        <v>7650.3495600000006</v>
      </c>
      <c r="G198" s="58">
        <v>6933.0348340793207</v>
      </c>
      <c r="H198" s="92">
        <v>0.11505132346597335</v>
      </c>
      <c r="I198" s="92">
        <v>-9.3762346451614964E-2</v>
      </c>
      <c r="J198" s="92">
        <v>1.2052714446671553E-2</v>
      </c>
    </row>
    <row r="199" spans="1:10" x14ac:dyDescent="0.25">
      <c r="A199" s="91">
        <v>44652</v>
      </c>
      <c r="B199" s="58">
        <v>0</v>
      </c>
      <c r="C199" s="58">
        <v>0</v>
      </c>
      <c r="D199" s="58">
        <v>8827.38897</v>
      </c>
      <c r="E199" s="58">
        <v>9842.9917537474339</v>
      </c>
      <c r="F199" s="58">
        <v>8592.4326600000004</v>
      </c>
      <c r="G199" s="58">
        <v>7786.7860120709101</v>
      </c>
      <c r="H199" s="92">
        <v>0.11505132346597313</v>
      </c>
      <c r="I199" s="92">
        <v>-9.3762346451614853E-2</v>
      </c>
      <c r="J199" s="92">
        <v>1.2052714446671775E-2</v>
      </c>
    </row>
    <row r="200" spans="1:10" x14ac:dyDescent="0.25">
      <c r="A200" s="91">
        <v>44682</v>
      </c>
      <c r="B200" s="58">
        <v>0</v>
      </c>
      <c r="C200" s="58">
        <v>0</v>
      </c>
      <c r="D200" s="58">
        <v>8303.8935900000015</v>
      </c>
      <c r="E200" s="58">
        <v>9259.2675374501123</v>
      </c>
      <c r="F200" s="58">
        <v>8082.8710200000014</v>
      </c>
      <c r="G200" s="58">
        <v>7325.0020670990434</v>
      </c>
      <c r="H200" s="92">
        <v>0.11505132346597313</v>
      </c>
      <c r="I200" s="92">
        <v>-9.3762346451614853E-2</v>
      </c>
      <c r="J200" s="92">
        <v>1.2052714446671553E-2</v>
      </c>
    </row>
    <row r="201" spans="1:10" x14ac:dyDescent="0.25">
      <c r="A201" s="91">
        <v>44713</v>
      </c>
      <c r="B201" s="58">
        <v>0</v>
      </c>
      <c r="C201" s="58">
        <v>0</v>
      </c>
      <c r="D201" s="58">
        <v>6632.6212500000001</v>
      </c>
      <c r="E201" s="58">
        <v>7395.7131028610384</v>
      </c>
      <c r="F201" s="58">
        <v>6456.0825000000004</v>
      </c>
      <c r="G201" s="58">
        <v>5850.7450559147928</v>
      </c>
      <c r="H201" s="92">
        <v>0.11505132346597335</v>
      </c>
      <c r="I201" s="92">
        <v>-9.3762346451614853E-2</v>
      </c>
      <c r="J201" s="92">
        <v>1.2052714446671775E-2</v>
      </c>
    </row>
    <row r="202" spans="1:10" x14ac:dyDescent="0.25">
      <c r="A202" s="91">
        <v>44743</v>
      </c>
      <c r="B202" s="58">
        <v>0</v>
      </c>
      <c r="C202" s="58">
        <v>0</v>
      </c>
      <c r="D202" s="58">
        <v>6721.5502500000002</v>
      </c>
      <c r="E202" s="58">
        <v>7494.8735020055437</v>
      </c>
      <c r="F202" s="58">
        <v>6542.6445000000003</v>
      </c>
      <c r="G202" s="58">
        <v>5929.1907996812479</v>
      </c>
      <c r="H202" s="92">
        <v>0.11505132346597335</v>
      </c>
      <c r="I202" s="92">
        <v>-9.3762346451614853E-2</v>
      </c>
      <c r="J202" s="92">
        <v>1.2052714446671553E-2</v>
      </c>
    </row>
    <row r="203" spans="1:10" x14ac:dyDescent="0.25">
      <c r="A203" s="87" t="s">
        <v>31</v>
      </c>
      <c r="B203" s="58">
        <v>0</v>
      </c>
      <c r="C203" s="58">
        <v>0</v>
      </c>
      <c r="D203" s="58">
        <v>36060.086340000002</v>
      </c>
      <c r="E203" s="58">
        <v>40208.440070884266</v>
      </c>
      <c r="F203" s="58">
        <v>35099.929200000006</v>
      </c>
      <c r="G203" s="58">
        <v>31808.877477922448</v>
      </c>
      <c r="H203" s="92">
        <v>0.11504003877779589</v>
      </c>
      <c r="I203" s="92">
        <v>-9.3762346451614964E-2</v>
      </c>
      <c r="J203" s="92">
        <v>1.2047524193200987E-2</v>
      </c>
    </row>
    <row r="204" spans="1:10" x14ac:dyDescent="0.25">
      <c r="A204" s="88" t="s">
        <v>25</v>
      </c>
      <c r="B204" s="58">
        <v>0</v>
      </c>
      <c r="C204" s="58">
        <v>0</v>
      </c>
      <c r="D204" s="58">
        <v>36060.086340000002</v>
      </c>
      <c r="E204" s="58">
        <v>40208.440070884266</v>
      </c>
      <c r="F204" s="58">
        <v>35099.929200000006</v>
      </c>
      <c r="G204" s="58">
        <v>31808.877477922448</v>
      </c>
      <c r="H204" s="92">
        <v>0.11504003877779589</v>
      </c>
      <c r="I204" s="92">
        <v>-9.3762346451614964E-2</v>
      </c>
      <c r="J204" s="92">
        <v>1.2047524193200987E-2</v>
      </c>
    </row>
    <row r="205" spans="1:10" x14ac:dyDescent="0.25">
      <c r="A205" s="89" t="s">
        <v>25</v>
      </c>
      <c r="B205" s="58">
        <v>0</v>
      </c>
      <c r="C205" s="58">
        <v>0</v>
      </c>
      <c r="D205" s="58">
        <v>36060.086340000002</v>
      </c>
      <c r="E205" s="58">
        <v>40208.440070884266</v>
      </c>
      <c r="F205" s="58">
        <v>35099.929200000006</v>
      </c>
      <c r="G205" s="58">
        <v>31808.877477922448</v>
      </c>
      <c r="H205" s="92">
        <v>0.11504003877779589</v>
      </c>
      <c r="I205" s="92">
        <v>-9.3762346451614964E-2</v>
      </c>
      <c r="J205" s="92">
        <v>1.2047524193200987E-2</v>
      </c>
    </row>
    <row r="206" spans="1:10" x14ac:dyDescent="0.25">
      <c r="A206" s="90" t="s">
        <v>25</v>
      </c>
      <c r="B206" s="58">
        <v>0</v>
      </c>
      <c r="C206" s="58">
        <v>0</v>
      </c>
      <c r="D206" s="58">
        <v>36060.086340000002</v>
      </c>
      <c r="E206" s="58">
        <v>40208.440070884266</v>
      </c>
      <c r="F206" s="58">
        <v>35099.929200000006</v>
      </c>
      <c r="G206" s="58">
        <v>31808.877477922448</v>
      </c>
      <c r="H206" s="92">
        <v>0.11504003877779589</v>
      </c>
      <c r="I206" s="92">
        <v>-9.3762346451614964E-2</v>
      </c>
      <c r="J206" s="92">
        <v>1.2047524193200987E-2</v>
      </c>
    </row>
    <row r="207" spans="1:10" x14ac:dyDescent="0.25">
      <c r="A207" s="91">
        <v>44409</v>
      </c>
      <c r="B207" s="58">
        <v>0</v>
      </c>
      <c r="C207" s="58">
        <v>0</v>
      </c>
      <c r="D207" s="58">
        <v>2624.0907899999997</v>
      </c>
      <c r="E207" s="58">
        <v>2925.9662962380576</v>
      </c>
      <c r="F207" s="58">
        <v>2554.2202000000002</v>
      </c>
      <c r="G207" s="58">
        <v>2314.7305206938868</v>
      </c>
      <c r="H207" s="92">
        <v>0.11504003877779612</v>
      </c>
      <c r="I207" s="92">
        <v>-9.3762346451615075E-2</v>
      </c>
      <c r="J207" s="92">
        <v>1.2047524193201209E-2</v>
      </c>
    </row>
    <row r="208" spans="1:10" x14ac:dyDescent="0.25">
      <c r="A208" s="91">
        <v>44440</v>
      </c>
      <c r="B208" s="58">
        <v>0</v>
      </c>
      <c r="C208" s="58">
        <v>0</v>
      </c>
      <c r="D208" s="58">
        <v>1774.6455599999999</v>
      </c>
      <c r="E208" s="58">
        <v>1978.8008540392436</v>
      </c>
      <c r="F208" s="58">
        <v>1727.3928000000001</v>
      </c>
      <c r="G208" s="58">
        <v>1565.428397828375</v>
      </c>
      <c r="H208" s="92">
        <v>0.11504003877779612</v>
      </c>
      <c r="I208" s="92">
        <v>-9.3762346451614853E-2</v>
      </c>
      <c r="J208" s="92">
        <v>1.2047524193201209E-2</v>
      </c>
    </row>
    <row r="209" spans="1:10" x14ac:dyDescent="0.25">
      <c r="A209" s="91">
        <v>44470</v>
      </c>
      <c r="B209" s="58">
        <v>0</v>
      </c>
      <c r="C209" s="58">
        <v>0</v>
      </c>
      <c r="D209" s="58">
        <v>3062.8116299999997</v>
      </c>
      <c r="E209" s="58">
        <v>3415.1575986842845</v>
      </c>
      <c r="F209" s="58">
        <v>2981.2593999999999</v>
      </c>
      <c r="G209" s="58">
        <v>2701.7295232750666</v>
      </c>
      <c r="H209" s="92">
        <v>0.11504003877779612</v>
      </c>
      <c r="I209" s="92">
        <v>-9.3762346451614853E-2</v>
      </c>
      <c r="J209" s="92">
        <v>1.2047524193201209E-2</v>
      </c>
    </row>
    <row r="210" spans="1:10" x14ac:dyDescent="0.25">
      <c r="A210" s="91">
        <v>44501</v>
      </c>
      <c r="B210" s="58">
        <v>0</v>
      </c>
      <c r="C210" s="58">
        <v>0</v>
      </c>
      <c r="D210" s="58">
        <v>1774.9749300000001</v>
      </c>
      <c r="E210" s="58">
        <v>1979.1681147768161</v>
      </c>
      <c r="F210" s="58">
        <v>1727.7134000000001</v>
      </c>
      <c r="G210" s="58">
        <v>1565.7189376201027</v>
      </c>
      <c r="H210" s="92">
        <v>0.11504003877779612</v>
      </c>
      <c r="I210" s="92">
        <v>-9.3762346451614853E-2</v>
      </c>
      <c r="J210" s="92">
        <v>1.2047524193201431E-2</v>
      </c>
    </row>
    <row r="211" spans="1:10" x14ac:dyDescent="0.25">
      <c r="A211" s="91">
        <v>44531</v>
      </c>
      <c r="B211" s="58">
        <v>0</v>
      </c>
      <c r="C211" s="58">
        <v>0</v>
      </c>
      <c r="D211" s="58">
        <v>2665.9207799999999</v>
      </c>
      <c r="E211" s="58">
        <v>2972.608409909732</v>
      </c>
      <c r="F211" s="58">
        <v>2594.9364</v>
      </c>
      <c r="G211" s="58">
        <v>2351.6290742432939</v>
      </c>
      <c r="H211" s="92">
        <v>0.11504003877779589</v>
      </c>
      <c r="I211" s="92">
        <v>-9.3762346451614853E-2</v>
      </c>
      <c r="J211" s="92">
        <v>1.2047524193200987E-2</v>
      </c>
    </row>
    <row r="212" spans="1:10" x14ac:dyDescent="0.25">
      <c r="A212" s="91">
        <v>44562</v>
      </c>
      <c r="B212" s="58">
        <v>0</v>
      </c>
      <c r="C212" s="58">
        <v>0</v>
      </c>
      <c r="D212" s="58">
        <v>2277.2641800000001</v>
      </c>
      <c r="E212" s="58">
        <v>2539.2407395744858</v>
      </c>
      <c r="F212" s="58">
        <v>2216.6284000000001</v>
      </c>
      <c r="G212" s="58">
        <v>2008.7921200047113</v>
      </c>
      <c r="H212" s="92">
        <v>0.11504003877779589</v>
      </c>
      <c r="I212" s="92">
        <v>-9.3762346451614853E-2</v>
      </c>
      <c r="J212" s="92">
        <v>1.2047524193201209E-2</v>
      </c>
    </row>
    <row r="213" spans="1:10" x14ac:dyDescent="0.25">
      <c r="A213" s="91">
        <v>44593</v>
      </c>
      <c r="B213" s="58">
        <v>0</v>
      </c>
      <c r="C213" s="58">
        <v>0</v>
      </c>
      <c r="D213" s="58">
        <v>6006.7206899999992</v>
      </c>
      <c r="E213" s="58">
        <v>6697.7340711049892</v>
      </c>
      <c r="F213" s="58">
        <v>5846.7821999999996</v>
      </c>
      <c r="G213" s="58">
        <v>5298.5741817364651</v>
      </c>
      <c r="H213" s="92">
        <v>0.11504003877779612</v>
      </c>
      <c r="I213" s="92">
        <v>-9.3762346451614853E-2</v>
      </c>
      <c r="J213" s="92">
        <v>1.2047524193201209E-2</v>
      </c>
    </row>
    <row r="214" spans="1:10" x14ac:dyDescent="0.25">
      <c r="A214" s="91">
        <v>44621</v>
      </c>
      <c r="B214" s="58">
        <v>0</v>
      </c>
      <c r="C214" s="58">
        <v>0</v>
      </c>
      <c r="D214" s="58">
        <v>3133.2968099999998</v>
      </c>
      <c r="E214" s="58">
        <v>3493.7513965247449</v>
      </c>
      <c r="F214" s="58">
        <v>3049.8678</v>
      </c>
      <c r="G214" s="58">
        <v>2763.9050387047755</v>
      </c>
      <c r="H214" s="92">
        <v>0.11504003877779612</v>
      </c>
      <c r="I214" s="92">
        <v>-9.3762346451614853E-2</v>
      </c>
      <c r="J214" s="92">
        <v>1.2047524193201209E-2</v>
      </c>
    </row>
    <row r="215" spans="1:10" x14ac:dyDescent="0.25">
      <c r="A215" s="91">
        <v>44652</v>
      </c>
      <c r="B215" s="58">
        <v>0</v>
      </c>
      <c r="C215" s="58">
        <v>0</v>
      </c>
      <c r="D215" s="58">
        <v>4481.7375899999997</v>
      </c>
      <c r="E215" s="58">
        <v>4997.3168561455059</v>
      </c>
      <c r="F215" s="58">
        <v>4362.4041999999999</v>
      </c>
      <c r="G215" s="58">
        <v>3953.3749460376202</v>
      </c>
      <c r="H215" s="92">
        <v>0.11504003877779612</v>
      </c>
      <c r="I215" s="92">
        <v>-9.3762346451614853E-2</v>
      </c>
      <c r="J215" s="92">
        <v>1.2047524193201209E-2</v>
      </c>
    </row>
    <row r="216" spans="1:10" x14ac:dyDescent="0.25">
      <c r="A216" s="91">
        <v>44682</v>
      </c>
      <c r="B216" s="58">
        <v>0</v>
      </c>
      <c r="C216" s="58">
        <v>0</v>
      </c>
      <c r="D216" s="58">
        <v>2916.2419799999998</v>
      </c>
      <c r="E216" s="58">
        <v>3251.7265704646366</v>
      </c>
      <c r="F216" s="58">
        <v>2838.5924</v>
      </c>
      <c r="G216" s="58">
        <v>2572.4393159562787</v>
      </c>
      <c r="H216" s="92">
        <v>0.11504003877779612</v>
      </c>
      <c r="I216" s="92">
        <v>-9.3762346451614964E-2</v>
      </c>
      <c r="J216" s="92">
        <v>1.2047524193200987E-2</v>
      </c>
    </row>
    <row r="217" spans="1:10" x14ac:dyDescent="0.25">
      <c r="A217" s="91">
        <v>44713</v>
      </c>
      <c r="B217" s="58">
        <v>0</v>
      </c>
      <c r="C217" s="58">
        <v>0</v>
      </c>
      <c r="D217" s="58">
        <v>1970.29134</v>
      </c>
      <c r="E217" s="58">
        <v>2196.9537321571561</v>
      </c>
      <c r="F217" s="58">
        <v>1917.8292000000001</v>
      </c>
      <c r="G217" s="58">
        <v>1738.0090341145767</v>
      </c>
      <c r="H217" s="92">
        <v>0.11504003877779634</v>
      </c>
      <c r="I217" s="92">
        <v>-9.3762346451614853E-2</v>
      </c>
      <c r="J217" s="92">
        <v>1.2047524193201431E-2</v>
      </c>
    </row>
    <row r="218" spans="1:10" x14ac:dyDescent="0.25">
      <c r="A218" s="91">
        <v>44743</v>
      </c>
      <c r="B218" s="58">
        <v>0</v>
      </c>
      <c r="C218" s="58">
        <v>0</v>
      </c>
      <c r="D218" s="58">
        <v>3372.09006</v>
      </c>
      <c r="E218" s="58">
        <v>3760.0154312646205</v>
      </c>
      <c r="F218" s="58">
        <v>3282.3027999999999</v>
      </c>
      <c r="G218" s="58">
        <v>2974.5463877072943</v>
      </c>
      <c r="H218" s="92">
        <v>0.11504003877779612</v>
      </c>
      <c r="I218" s="92">
        <v>-9.3762346451614853E-2</v>
      </c>
      <c r="J218" s="92">
        <v>1.2047524193201209E-2</v>
      </c>
    </row>
    <row r="219" spans="1:10" x14ac:dyDescent="0.25">
      <c r="A219" s="83" t="s">
        <v>41</v>
      </c>
      <c r="B219" s="58">
        <v>0</v>
      </c>
      <c r="C219" s="58">
        <v>0</v>
      </c>
      <c r="D219" s="58">
        <v>4212.9088000000002</v>
      </c>
      <c r="E219" s="58">
        <v>5465.950507533702</v>
      </c>
      <c r="F219" s="58">
        <v>3340.4192000000003</v>
      </c>
      <c r="G219" s="58">
        <v>3233.5916660116336</v>
      </c>
      <c r="H219" s="92">
        <v>0.29742910825264057</v>
      </c>
      <c r="I219" s="92">
        <v>-3.1980277801171408E-2</v>
      </c>
      <c r="J219" s="92">
        <v>0.15174955642669485</v>
      </c>
    </row>
    <row r="220" spans="1:10" x14ac:dyDescent="0.25">
      <c r="A220" s="84" t="s">
        <v>23</v>
      </c>
      <c r="B220" s="58">
        <v>0</v>
      </c>
      <c r="C220" s="58">
        <v>0</v>
      </c>
      <c r="D220" s="58">
        <v>4212.9088000000002</v>
      </c>
      <c r="E220" s="58">
        <v>5465.950507533702</v>
      </c>
      <c r="F220" s="58">
        <v>3340.4192000000003</v>
      </c>
      <c r="G220" s="58">
        <v>3233.5916660116336</v>
      </c>
      <c r="H220" s="92">
        <v>0.29742910825264057</v>
      </c>
      <c r="I220" s="92">
        <v>-3.1980277801171408E-2</v>
      </c>
      <c r="J220" s="92">
        <v>0.15174955642669485</v>
      </c>
    </row>
    <row r="221" spans="1:10" x14ac:dyDescent="0.25">
      <c r="A221" s="85" t="s">
        <v>26</v>
      </c>
      <c r="B221" s="58">
        <v>0</v>
      </c>
      <c r="C221" s="58">
        <v>0</v>
      </c>
      <c r="D221" s="58">
        <v>4212.9088000000002</v>
      </c>
      <c r="E221" s="58">
        <v>5465.950507533702</v>
      </c>
      <c r="F221" s="58">
        <v>3340.4192000000003</v>
      </c>
      <c r="G221" s="58">
        <v>3233.5916660116336</v>
      </c>
      <c r="H221" s="92">
        <v>0.29742910825264057</v>
      </c>
      <c r="I221" s="92">
        <v>-3.1980277801171408E-2</v>
      </c>
      <c r="J221" s="92">
        <v>0.15174955642669485</v>
      </c>
    </row>
    <row r="222" spans="1:10" x14ac:dyDescent="0.25">
      <c r="A222" s="86" t="s">
        <v>42</v>
      </c>
      <c r="B222" s="58">
        <v>0</v>
      </c>
      <c r="C222" s="58">
        <v>0</v>
      </c>
      <c r="D222" s="58">
        <v>4212.9088000000002</v>
      </c>
      <c r="E222" s="58">
        <v>5465.950507533702</v>
      </c>
      <c r="F222" s="58">
        <v>3340.4192000000003</v>
      </c>
      <c r="G222" s="58">
        <v>3233.5916660116336</v>
      </c>
      <c r="H222" s="92">
        <v>0.29742910825264057</v>
      </c>
      <c r="I222" s="92">
        <v>-3.1980277801171408E-2</v>
      </c>
      <c r="J222" s="92">
        <v>0.15174955642669485</v>
      </c>
    </row>
    <row r="223" spans="1:10" x14ac:dyDescent="0.25">
      <c r="A223" s="87" t="s">
        <v>25</v>
      </c>
      <c r="B223" s="58">
        <v>0</v>
      </c>
      <c r="C223" s="58">
        <v>0</v>
      </c>
      <c r="D223" s="58">
        <v>4212.9088000000002</v>
      </c>
      <c r="E223" s="58">
        <v>5465.950507533702</v>
      </c>
      <c r="F223" s="58">
        <v>3340.4192000000003</v>
      </c>
      <c r="G223" s="58">
        <v>3233.5916660116336</v>
      </c>
      <c r="H223" s="92">
        <v>0.29742910825264057</v>
      </c>
      <c r="I223" s="92">
        <v>-3.1980277801171408E-2</v>
      </c>
      <c r="J223" s="92">
        <v>0.15174955642669485</v>
      </c>
    </row>
    <row r="224" spans="1:10" x14ac:dyDescent="0.25">
      <c r="A224" s="88" t="s">
        <v>25</v>
      </c>
      <c r="B224" s="58">
        <v>0</v>
      </c>
      <c r="C224" s="58">
        <v>0</v>
      </c>
      <c r="D224" s="58">
        <v>4212.9088000000002</v>
      </c>
      <c r="E224" s="58">
        <v>5465.950507533702</v>
      </c>
      <c r="F224" s="58">
        <v>3340.4192000000003</v>
      </c>
      <c r="G224" s="58">
        <v>3233.5916660116336</v>
      </c>
      <c r="H224" s="92">
        <v>0.29742910825264057</v>
      </c>
      <c r="I224" s="92">
        <v>-3.1980277801171408E-2</v>
      </c>
      <c r="J224" s="92">
        <v>0.15174955642669485</v>
      </c>
    </row>
    <row r="225" spans="1:10" x14ac:dyDescent="0.25">
      <c r="A225" s="89" t="s">
        <v>25</v>
      </c>
      <c r="B225" s="58">
        <v>0</v>
      </c>
      <c r="C225" s="58">
        <v>0</v>
      </c>
      <c r="D225" s="58">
        <v>4212.9088000000002</v>
      </c>
      <c r="E225" s="58">
        <v>5465.950507533702</v>
      </c>
      <c r="F225" s="58">
        <v>3340.4192000000003</v>
      </c>
      <c r="G225" s="58">
        <v>3233.5916660116336</v>
      </c>
      <c r="H225" s="92">
        <v>0.29742910825264057</v>
      </c>
      <c r="I225" s="92">
        <v>-3.1980277801171408E-2</v>
      </c>
      <c r="J225" s="92">
        <v>0.15174955642669485</v>
      </c>
    </row>
    <row r="226" spans="1:10" x14ac:dyDescent="0.25">
      <c r="A226" s="90" t="s">
        <v>25</v>
      </c>
      <c r="B226" s="58">
        <v>0</v>
      </c>
      <c r="C226" s="58">
        <v>0</v>
      </c>
      <c r="D226" s="58">
        <v>4212.9088000000002</v>
      </c>
      <c r="E226" s="58">
        <v>5465.950507533702</v>
      </c>
      <c r="F226" s="58">
        <v>3340.4192000000003</v>
      </c>
      <c r="G226" s="58">
        <v>3233.5916660116336</v>
      </c>
      <c r="H226" s="92">
        <v>0.29742910825264057</v>
      </c>
      <c r="I226" s="92">
        <v>-3.1980277801171408E-2</v>
      </c>
      <c r="J226" s="92">
        <v>0.15174955642669485</v>
      </c>
    </row>
    <row r="227" spans="1:10" x14ac:dyDescent="0.25">
      <c r="A227" s="91">
        <v>44409</v>
      </c>
      <c r="B227" s="58">
        <v>0</v>
      </c>
      <c r="C227" s="58">
        <v>0</v>
      </c>
      <c r="D227" s="58">
        <v>303.51445999999999</v>
      </c>
      <c r="E227" s="58">
        <v>393.78849517958173</v>
      </c>
      <c r="F227" s="58">
        <v>240.65689</v>
      </c>
      <c r="G227" s="58">
        <v>232.96061580303407</v>
      </c>
      <c r="H227" s="92">
        <v>0.29742910825264057</v>
      </c>
      <c r="I227" s="92">
        <v>-3.1980277801171297E-2</v>
      </c>
      <c r="J227" s="92">
        <v>0.15174955642669508</v>
      </c>
    </row>
    <row r="228" spans="1:10" x14ac:dyDescent="0.25">
      <c r="A228" s="91">
        <v>44440</v>
      </c>
      <c r="B228" s="58">
        <v>0</v>
      </c>
      <c r="C228" s="58">
        <v>0</v>
      </c>
      <c r="D228" s="58">
        <v>328.42185999999998</v>
      </c>
      <c r="E228" s="58">
        <v>426.10408095047359</v>
      </c>
      <c r="F228" s="58">
        <v>260.40599000000003</v>
      </c>
      <c r="G228" s="58">
        <v>252.07813409871099</v>
      </c>
      <c r="H228" s="92">
        <v>0.29742910825264079</v>
      </c>
      <c r="I228" s="92">
        <v>-3.1980277801171297E-2</v>
      </c>
      <c r="J228" s="92">
        <v>0.15174955642669508</v>
      </c>
    </row>
    <row r="229" spans="1:10" x14ac:dyDescent="0.25">
      <c r="A229" s="91">
        <v>44470</v>
      </c>
      <c r="B229" s="58">
        <v>0</v>
      </c>
      <c r="C229" s="58">
        <v>0</v>
      </c>
      <c r="D229" s="58">
        <v>362.58057999999994</v>
      </c>
      <c r="E229" s="58">
        <v>470.42259857912518</v>
      </c>
      <c r="F229" s="58">
        <v>287.49046999999996</v>
      </c>
      <c r="G229" s="58">
        <v>278.29644490421066</v>
      </c>
      <c r="H229" s="92">
        <v>0.29742910825264079</v>
      </c>
      <c r="I229" s="92">
        <v>-3.1980277801171297E-2</v>
      </c>
      <c r="J229" s="92">
        <v>0.15174955642669508</v>
      </c>
    </row>
    <row r="230" spans="1:10" x14ac:dyDescent="0.25">
      <c r="A230" s="91">
        <v>44501</v>
      </c>
      <c r="B230" s="58">
        <v>0</v>
      </c>
      <c r="C230" s="58">
        <v>0</v>
      </c>
      <c r="D230" s="58">
        <v>331.26841999999999</v>
      </c>
      <c r="E230" s="58">
        <v>429.79729075286122</v>
      </c>
      <c r="F230" s="58">
        <v>262.66302999999999</v>
      </c>
      <c r="G230" s="58">
        <v>254.26299333250262</v>
      </c>
      <c r="H230" s="92">
        <v>0.29742910825264057</v>
      </c>
      <c r="I230" s="92">
        <v>-3.1980277801171186E-2</v>
      </c>
      <c r="J230" s="92">
        <v>0.15174955642669508</v>
      </c>
    </row>
    <row r="231" spans="1:10" x14ac:dyDescent="0.25">
      <c r="A231" s="91">
        <v>44531</v>
      </c>
      <c r="B231" s="58">
        <v>0</v>
      </c>
      <c r="C231" s="58">
        <v>0</v>
      </c>
      <c r="D231" s="58">
        <v>417.02103999999997</v>
      </c>
      <c r="E231" s="58">
        <v>541.05523604978873</v>
      </c>
      <c r="F231" s="58">
        <v>330.65635999999995</v>
      </c>
      <c r="G231" s="58">
        <v>320.08187775047588</v>
      </c>
      <c r="H231" s="92">
        <v>0.29742910825264057</v>
      </c>
      <c r="I231" s="92">
        <v>-3.1980277801171186E-2</v>
      </c>
      <c r="J231" s="92">
        <v>0.15174955642669508</v>
      </c>
    </row>
    <row r="232" spans="1:10" x14ac:dyDescent="0.25">
      <c r="A232" s="91">
        <v>44562</v>
      </c>
      <c r="B232" s="58">
        <v>0</v>
      </c>
      <c r="C232" s="58">
        <v>0</v>
      </c>
      <c r="D232" s="58">
        <v>403.49987999999996</v>
      </c>
      <c r="E232" s="58">
        <v>523.51248948844739</v>
      </c>
      <c r="F232" s="58">
        <v>319.93541999999997</v>
      </c>
      <c r="G232" s="58">
        <v>309.70379638996553</v>
      </c>
      <c r="H232" s="92">
        <v>0.29742910825264035</v>
      </c>
      <c r="I232" s="92">
        <v>-3.1980277801171408E-2</v>
      </c>
      <c r="J232" s="92">
        <v>0.15174955642669508</v>
      </c>
    </row>
    <row r="233" spans="1:10" x14ac:dyDescent="0.25">
      <c r="A233" s="91">
        <v>44593</v>
      </c>
      <c r="B233" s="58">
        <v>0</v>
      </c>
      <c r="C233" s="58">
        <v>0</v>
      </c>
      <c r="D233" s="58">
        <v>525.90196000000003</v>
      </c>
      <c r="E233" s="58">
        <v>682.32051099111584</v>
      </c>
      <c r="F233" s="58">
        <v>416.98813999999999</v>
      </c>
      <c r="G233" s="58">
        <v>403.65274344300627</v>
      </c>
      <c r="H233" s="92">
        <v>0.29742910825264057</v>
      </c>
      <c r="I233" s="92">
        <v>-3.1980277801171297E-2</v>
      </c>
      <c r="J233" s="92">
        <v>0.15174955642669485</v>
      </c>
    </row>
    <row r="234" spans="1:10" x14ac:dyDescent="0.25">
      <c r="A234" s="91">
        <v>44621</v>
      </c>
      <c r="B234" s="58">
        <v>0</v>
      </c>
      <c r="C234" s="58">
        <v>0</v>
      </c>
      <c r="D234" s="58">
        <v>381.43904000000003</v>
      </c>
      <c r="E234" s="58">
        <v>494.89011351994333</v>
      </c>
      <c r="F234" s="58">
        <v>302.44336000000004</v>
      </c>
      <c r="G234" s="58">
        <v>292.77113732808039</v>
      </c>
      <c r="H234" s="92">
        <v>0.29742910825264057</v>
      </c>
      <c r="I234" s="92">
        <v>-3.1980277801171297E-2</v>
      </c>
      <c r="J234" s="92">
        <v>0.15174955642669485</v>
      </c>
    </row>
    <row r="235" spans="1:10" x14ac:dyDescent="0.25">
      <c r="A235" s="91">
        <v>44652</v>
      </c>
      <c r="B235" s="58">
        <v>0</v>
      </c>
      <c r="C235" s="58">
        <v>0</v>
      </c>
      <c r="D235" s="58">
        <v>406.70226000000002</v>
      </c>
      <c r="E235" s="58">
        <v>527.66735051613352</v>
      </c>
      <c r="F235" s="58">
        <v>322.47458999999998</v>
      </c>
      <c r="G235" s="58">
        <v>312.16176302798118</v>
      </c>
      <c r="H235" s="92">
        <v>0.29742910825264035</v>
      </c>
      <c r="I235" s="92">
        <v>-3.1980277801171297E-2</v>
      </c>
      <c r="J235" s="92">
        <v>0.15174955642669508</v>
      </c>
    </row>
    <row r="236" spans="1:10" x14ac:dyDescent="0.25">
      <c r="A236" s="91">
        <v>44682</v>
      </c>
      <c r="B236" s="58">
        <v>0</v>
      </c>
      <c r="C236" s="58">
        <v>0</v>
      </c>
      <c r="D236" s="58">
        <v>274.33722</v>
      </c>
      <c r="E236" s="58">
        <v>355.93309470510849</v>
      </c>
      <c r="F236" s="58">
        <v>217.52223000000001</v>
      </c>
      <c r="G236" s="58">
        <v>210.56580865666973</v>
      </c>
      <c r="H236" s="92">
        <v>0.29742910825264057</v>
      </c>
      <c r="I236" s="92">
        <v>-3.1980277801171297E-2</v>
      </c>
      <c r="J236" s="92">
        <v>0.15174955642669508</v>
      </c>
    </row>
    <row r="237" spans="1:10" x14ac:dyDescent="0.25">
      <c r="A237" s="91">
        <v>44713</v>
      </c>
      <c r="B237" s="58">
        <v>0</v>
      </c>
      <c r="C237" s="58">
        <v>0</v>
      </c>
      <c r="D237" s="58">
        <v>246.58325999999997</v>
      </c>
      <c r="E237" s="58">
        <v>319.924299131829</v>
      </c>
      <c r="F237" s="58">
        <v>195.51608999999999</v>
      </c>
      <c r="G237" s="58">
        <v>189.26343112720119</v>
      </c>
      <c r="H237" s="92">
        <v>0.29742910825264079</v>
      </c>
      <c r="I237" s="92">
        <v>-3.1980277801171297E-2</v>
      </c>
      <c r="J237" s="92">
        <v>0.1517495564266953</v>
      </c>
    </row>
    <row r="238" spans="1:10" x14ac:dyDescent="0.25">
      <c r="A238" s="91">
        <v>44743</v>
      </c>
      <c r="B238" s="58">
        <v>0</v>
      </c>
      <c r="C238" s="58">
        <v>0</v>
      </c>
      <c r="D238" s="58">
        <v>231.63882000000001</v>
      </c>
      <c r="E238" s="58">
        <v>300.53494766929396</v>
      </c>
      <c r="F238" s="58">
        <v>183.66663</v>
      </c>
      <c r="G238" s="58">
        <v>177.79292014979507</v>
      </c>
      <c r="H238" s="92">
        <v>0.29742910825264057</v>
      </c>
      <c r="I238" s="92">
        <v>-3.1980277801171297E-2</v>
      </c>
      <c r="J238" s="92">
        <v>0.15174955642669508</v>
      </c>
    </row>
    <row r="239" spans="1:10" x14ac:dyDescent="0.25">
      <c r="A239" s="83" t="s">
        <v>32</v>
      </c>
      <c r="B239" s="58">
        <v>0</v>
      </c>
      <c r="C239" s="58">
        <v>0</v>
      </c>
      <c r="D239" s="58">
        <v>1949116.5094704002</v>
      </c>
      <c r="E239" s="58">
        <v>2367790.4812200144</v>
      </c>
      <c r="F239" s="58">
        <v>1547449.0240759996</v>
      </c>
      <c r="G239" s="58">
        <v>1402448.4499707895</v>
      </c>
      <c r="H239" s="92">
        <v>0.21480192164775969</v>
      </c>
      <c r="I239" s="92">
        <v>-9.3702972989234135E-2</v>
      </c>
      <c r="J239" s="92">
        <v>7.8269203027586665E-2</v>
      </c>
    </row>
    <row r="240" spans="1:10" x14ac:dyDescent="0.25">
      <c r="A240" s="84" t="s">
        <v>38</v>
      </c>
      <c r="B240" s="58">
        <v>0</v>
      </c>
      <c r="C240" s="58">
        <v>0</v>
      </c>
      <c r="D240" s="58">
        <v>76168.723470000055</v>
      </c>
      <c r="E240" s="58">
        <v>92875.857212009156</v>
      </c>
      <c r="F240" s="58">
        <v>62394.218239999987</v>
      </c>
      <c r="G240" s="58">
        <v>56544.356021019681</v>
      </c>
      <c r="H240" s="92">
        <v>0.21934375398308203</v>
      </c>
      <c r="I240" s="92">
        <v>-9.3756479109630808E-2</v>
      </c>
      <c r="J240" s="92">
        <v>7.8356242939415122E-2</v>
      </c>
    </row>
    <row r="241" spans="1:10" x14ac:dyDescent="0.25">
      <c r="A241" s="85" t="s">
        <v>26</v>
      </c>
      <c r="B241" s="58">
        <v>0</v>
      </c>
      <c r="C241" s="58">
        <v>0</v>
      </c>
      <c r="D241" s="58">
        <v>76168.723470000055</v>
      </c>
      <c r="E241" s="58">
        <v>92875.857212009156</v>
      </c>
      <c r="F241" s="58">
        <v>62394.218239999987</v>
      </c>
      <c r="G241" s="58">
        <v>56544.356021019681</v>
      </c>
      <c r="H241" s="92">
        <v>0.21934375398308203</v>
      </c>
      <c r="I241" s="92">
        <v>-9.3756479109630808E-2</v>
      </c>
      <c r="J241" s="92">
        <v>7.8356242939415122E-2</v>
      </c>
    </row>
    <row r="242" spans="1:10" x14ac:dyDescent="0.25">
      <c r="A242" s="86" t="s">
        <v>40</v>
      </c>
      <c r="B242" s="58">
        <v>0</v>
      </c>
      <c r="C242" s="58">
        <v>0</v>
      </c>
      <c r="D242" s="58">
        <v>41337.43180000002</v>
      </c>
      <c r="E242" s="58">
        <v>50439.608867416719</v>
      </c>
      <c r="F242" s="58">
        <v>34147.737119999976</v>
      </c>
      <c r="G242" s="58">
        <v>30946.213629133868</v>
      </c>
      <c r="H242" s="92">
        <v>0.22019212783839892</v>
      </c>
      <c r="I242" s="92">
        <v>-9.3755070200274182E-2</v>
      </c>
      <c r="J242" s="92">
        <v>7.8169707519687437E-2</v>
      </c>
    </row>
    <row r="243" spans="1:10" x14ac:dyDescent="0.25">
      <c r="A243" s="87" t="s">
        <v>25</v>
      </c>
      <c r="B243" s="58">
        <v>0</v>
      </c>
      <c r="C243" s="58">
        <v>0</v>
      </c>
      <c r="D243" s="58">
        <v>41337.43180000002</v>
      </c>
      <c r="E243" s="58">
        <v>50439.608867416719</v>
      </c>
      <c r="F243" s="58">
        <v>34147.737119999976</v>
      </c>
      <c r="G243" s="58">
        <v>30946.213629133868</v>
      </c>
      <c r="H243" s="92">
        <v>0.22019212783839892</v>
      </c>
      <c r="I243" s="92">
        <v>-9.3755070200274182E-2</v>
      </c>
      <c r="J243" s="92">
        <v>7.8169707519687437E-2</v>
      </c>
    </row>
    <row r="244" spans="1:10" x14ac:dyDescent="0.25">
      <c r="A244" s="88" t="s">
        <v>25</v>
      </c>
      <c r="B244" s="58">
        <v>0</v>
      </c>
      <c r="C244" s="58">
        <v>0</v>
      </c>
      <c r="D244" s="58">
        <v>41337.43180000002</v>
      </c>
      <c r="E244" s="58">
        <v>50439.608867416719</v>
      </c>
      <c r="F244" s="58">
        <v>34147.737119999976</v>
      </c>
      <c r="G244" s="58">
        <v>30946.213629133868</v>
      </c>
      <c r="H244" s="92">
        <v>0.22019212783839892</v>
      </c>
      <c r="I244" s="92">
        <v>-9.3755070200274182E-2</v>
      </c>
      <c r="J244" s="92">
        <v>7.8169707519687437E-2</v>
      </c>
    </row>
    <row r="245" spans="1:10" x14ac:dyDescent="0.25">
      <c r="A245" s="89" t="s">
        <v>25</v>
      </c>
      <c r="B245" s="58">
        <v>0</v>
      </c>
      <c r="C245" s="58">
        <v>0</v>
      </c>
      <c r="D245" s="58">
        <v>41337.43180000002</v>
      </c>
      <c r="E245" s="58">
        <v>50439.608867416719</v>
      </c>
      <c r="F245" s="58">
        <v>34147.737119999976</v>
      </c>
      <c r="G245" s="58">
        <v>30946.213629133868</v>
      </c>
      <c r="H245" s="92">
        <v>0.22019212783839892</v>
      </c>
      <c r="I245" s="92">
        <v>-9.3755070200274182E-2</v>
      </c>
      <c r="J245" s="92">
        <v>7.8169707519687437E-2</v>
      </c>
    </row>
    <row r="246" spans="1:10" x14ac:dyDescent="0.25">
      <c r="A246" s="90" t="s">
        <v>37</v>
      </c>
      <c r="B246" s="58">
        <v>0</v>
      </c>
      <c r="C246" s="58">
        <v>0</v>
      </c>
      <c r="D246" s="58">
        <v>33000.852960000004</v>
      </c>
      <c r="E246" s="58">
        <v>40707.51490811172</v>
      </c>
      <c r="F246" s="58">
        <v>30712.298559999999</v>
      </c>
      <c r="G246" s="58">
        <v>27833.568095952993</v>
      </c>
      <c r="H246" s="92">
        <v>0.23352917445657795</v>
      </c>
      <c r="I246" s="92">
        <v>-9.3732172420213922E-2</v>
      </c>
      <c r="J246" s="92">
        <v>7.5776058300132787E-2</v>
      </c>
    </row>
    <row r="247" spans="1:10" x14ac:dyDescent="0.25">
      <c r="A247" s="91">
        <v>44409</v>
      </c>
      <c r="B247" s="58">
        <v>0</v>
      </c>
      <c r="C247" s="58">
        <v>0</v>
      </c>
      <c r="D247" s="58">
        <v>2698.58583</v>
      </c>
      <c r="E247" s="58">
        <v>3328.784351080119</v>
      </c>
      <c r="F247" s="58">
        <v>2511.4433799999997</v>
      </c>
      <c r="G247" s="58">
        <v>2276.0403360822352</v>
      </c>
      <c r="H247" s="92">
        <v>0.23352917445657795</v>
      </c>
      <c r="I247" s="92">
        <v>-9.3732172420213811E-2</v>
      </c>
      <c r="J247" s="92">
        <v>7.5776058300132787E-2</v>
      </c>
    </row>
    <row r="248" spans="1:10" x14ac:dyDescent="0.25">
      <c r="A248" s="91">
        <v>44440</v>
      </c>
      <c r="B248" s="58">
        <v>0</v>
      </c>
      <c r="C248" s="58">
        <v>0</v>
      </c>
      <c r="D248" s="58">
        <v>2741.5082699999998</v>
      </c>
      <c r="E248" s="58">
        <v>3381.7304330589809</v>
      </c>
      <c r="F248" s="58">
        <v>2551.3892199999996</v>
      </c>
      <c r="G248" s="58">
        <v>2312.2419657198848</v>
      </c>
      <c r="H248" s="92">
        <v>0.23352917445657795</v>
      </c>
      <c r="I248" s="92">
        <v>-9.3732172420213811E-2</v>
      </c>
      <c r="J248" s="92">
        <v>7.5776058300132787E-2</v>
      </c>
    </row>
    <row r="249" spans="1:10" x14ac:dyDescent="0.25">
      <c r="A249" s="91">
        <v>44470</v>
      </c>
      <c r="B249" s="58">
        <v>0</v>
      </c>
      <c r="C249" s="58">
        <v>0</v>
      </c>
      <c r="D249" s="58">
        <v>2481.0471000000002</v>
      </c>
      <c r="E249" s="58">
        <v>3060.4439810508866</v>
      </c>
      <c r="F249" s="58">
        <v>2308.9906000000001</v>
      </c>
      <c r="G249" s="58">
        <v>2092.563894964147</v>
      </c>
      <c r="H249" s="92">
        <v>0.23352917445657773</v>
      </c>
      <c r="I249" s="92">
        <v>-9.3732172420213811E-2</v>
      </c>
      <c r="J249" s="92">
        <v>7.5776058300132565E-2</v>
      </c>
    </row>
    <row r="250" spans="1:10" x14ac:dyDescent="0.25">
      <c r="A250" s="91">
        <v>44501</v>
      </c>
      <c r="B250" s="58">
        <v>0</v>
      </c>
      <c r="C250" s="58">
        <v>0</v>
      </c>
      <c r="D250" s="58">
        <v>2517.46614</v>
      </c>
      <c r="E250" s="58">
        <v>3105.3679293965879</v>
      </c>
      <c r="F250" s="58">
        <v>2342.8840399999999</v>
      </c>
      <c r="G250" s="58">
        <v>2123.2804292021528</v>
      </c>
      <c r="H250" s="92">
        <v>0.23352917445657795</v>
      </c>
      <c r="I250" s="92">
        <v>-9.3732172420213811E-2</v>
      </c>
      <c r="J250" s="92">
        <v>7.5776058300132787E-2</v>
      </c>
    </row>
    <row r="251" spans="1:10" x14ac:dyDescent="0.25">
      <c r="A251" s="91">
        <v>44531</v>
      </c>
      <c r="B251" s="58">
        <v>0</v>
      </c>
      <c r="C251" s="58">
        <v>0</v>
      </c>
      <c r="D251" s="58">
        <v>2837.7585900000004</v>
      </c>
      <c r="E251" s="58">
        <v>3500.4580108297628</v>
      </c>
      <c r="F251" s="58">
        <v>2640.9647400000003</v>
      </c>
      <c r="G251" s="58">
        <v>2393.4213776346151</v>
      </c>
      <c r="H251" s="92">
        <v>0.23352917445657773</v>
      </c>
      <c r="I251" s="92">
        <v>-9.3732172420213811E-2</v>
      </c>
      <c r="J251" s="92">
        <v>7.5776058300132787E-2</v>
      </c>
    </row>
    <row r="252" spans="1:10" x14ac:dyDescent="0.25">
      <c r="A252" s="91">
        <v>44562</v>
      </c>
      <c r="B252" s="58">
        <v>0</v>
      </c>
      <c r="C252" s="58">
        <v>0</v>
      </c>
      <c r="D252" s="58">
        <v>2327.5668600000004</v>
      </c>
      <c r="E252" s="58">
        <v>2871.1216273082891</v>
      </c>
      <c r="F252" s="58">
        <v>2166.1539600000001</v>
      </c>
      <c r="G252" s="58">
        <v>1963.1156435325511</v>
      </c>
      <c r="H252" s="92">
        <v>0.23352917445657773</v>
      </c>
      <c r="I252" s="92">
        <v>-9.3732172420213811E-2</v>
      </c>
      <c r="J252" s="92">
        <v>7.5776058300132565E-2</v>
      </c>
    </row>
    <row r="253" spans="1:10" x14ac:dyDescent="0.25">
      <c r="A253" s="91">
        <v>44593</v>
      </c>
      <c r="B253" s="58">
        <v>0</v>
      </c>
      <c r="C253" s="58">
        <v>0</v>
      </c>
      <c r="D253" s="58">
        <v>3196.7462700000001</v>
      </c>
      <c r="E253" s="58">
        <v>3943.2797873802447</v>
      </c>
      <c r="F253" s="58">
        <v>2975.0572199999997</v>
      </c>
      <c r="G253" s="58">
        <v>2696.1986436949578</v>
      </c>
      <c r="H253" s="92">
        <v>0.23352917445657795</v>
      </c>
      <c r="I253" s="92">
        <v>-9.3732172420213811E-2</v>
      </c>
      <c r="J253" s="92">
        <v>7.5776058300132565E-2</v>
      </c>
    </row>
    <row r="254" spans="1:10" x14ac:dyDescent="0.25">
      <c r="A254" s="91">
        <v>44621</v>
      </c>
      <c r="B254" s="58">
        <v>0</v>
      </c>
      <c r="C254" s="58">
        <v>0</v>
      </c>
      <c r="D254" s="58">
        <v>3255.6020400000002</v>
      </c>
      <c r="E254" s="58">
        <v>4015.8800967603511</v>
      </c>
      <c r="F254" s="58">
        <v>3029.8314400000004</v>
      </c>
      <c r="G254" s="58">
        <v>2745.8387570617351</v>
      </c>
      <c r="H254" s="92">
        <v>0.23352917445657795</v>
      </c>
      <c r="I254" s="92">
        <v>-9.3732172420214033E-2</v>
      </c>
      <c r="J254" s="92">
        <v>7.5776058300132565E-2</v>
      </c>
    </row>
    <row r="255" spans="1:10" x14ac:dyDescent="0.25">
      <c r="A255" s="91">
        <v>44652</v>
      </c>
      <c r="B255" s="58">
        <v>0</v>
      </c>
      <c r="C255" s="58">
        <v>0</v>
      </c>
      <c r="D255" s="58">
        <v>3395.0999700000002</v>
      </c>
      <c r="E255" s="58">
        <v>4187.9548631916523</v>
      </c>
      <c r="F255" s="58">
        <v>3159.65542</v>
      </c>
      <c r="G255" s="58">
        <v>2863.4940533840968</v>
      </c>
      <c r="H255" s="92">
        <v>0.23352917445657773</v>
      </c>
      <c r="I255" s="92">
        <v>-9.3732172420213811E-2</v>
      </c>
      <c r="J255" s="92">
        <v>7.5776058300132787E-2</v>
      </c>
    </row>
    <row r="256" spans="1:10" x14ac:dyDescent="0.25">
      <c r="A256" s="91">
        <v>44682</v>
      </c>
      <c r="B256" s="58">
        <v>0</v>
      </c>
      <c r="C256" s="58">
        <v>0</v>
      </c>
      <c r="D256" s="58">
        <v>2561.36409</v>
      </c>
      <c r="E256" s="58">
        <v>3159.5173314204239</v>
      </c>
      <c r="F256" s="58">
        <v>2383.73774</v>
      </c>
      <c r="G256" s="58">
        <v>2160.3048231497492</v>
      </c>
      <c r="H256" s="92">
        <v>0.23352917445657795</v>
      </c>
      <c r="I256" s="92">
        <v>-9.3732172420213811E-2</v>
      </c>
      <c r="J256" s="92">
        <v>7.5776058300132787E-2</v>
      </c>
    </row>
    <row r="257" spans="1:10" x14ac:dyDescent="0.25">
      <c r="A257" s="91">
        <v>44713</v>
      </c>
      <c r="B257" s="58">
        <v>0</v>
      </c>
      <c r="C257" s="58">
        <v>0</v>
      </c>
      <c r="D257" s="58">
        <v>2584.4511600000001</v>
      </c>
      <c r="E257" s="58">
        <v>3187.9959058181453</v>
      </c>
      <c r="F257" s="58">
        <v>2405.2237600000003</v>
      </c>
      <c r="G257" s="58">
        <v>2179.7769118184851</v>
      </c>
      <c r="H257" s="92">
        <v>0.23352917445657795</v>
      </c>
      <c r="I257" s="92">
        <v>-9.3732172420213922E-2</v>
      </c>
      <c r="J257" s="92">
        <v>7.5776058300132787E-2</v>
      </c>
    </row>
    <row r="258" spans="1:10" x14ac:dyDescent="0.25">
      <c r="A258" s="91">
        <v>44743</v>
      </c>
      <c r="B258" s="58">
        <v>0</v>
      </c>
      <c r="C258" s="58">
        <v>0</v>
      </c>
      <c r="D258" s="58">
        <v>2403.6566400000002</v>
      </c>
      <c r="E258" s="58">
        <v>2964.9805908162721</v>
      </c>
      <c r="F258" s="58">
        <v>2236.96704</v>
      </c>
      <c r="G258" s="58">
        <v>2027.2912597083846</v>
      </c>
      <c r="H258" s="92">
        <v>0.23352917445657795</v>
      </c>
      <c r="I258" s="92">
        <v>-9.3732172420213811E-2</v>
      </c>
      <c r="J258" s="92">
        <v>7.5776058300132565E-2</v>
      </c>
    </row>
    <row r="259" spans="1:10" x14ac:dyDescent="0.25">
      <c r="A259" s="90" t="s">
        <v>39</v>
      </c>
      <c r="B259" s="58">
        <v>0</v>
      </c>
      <c r="C259" s="58">
        <v>0</v>
      </c>
      <c r="D259" s="58">
        <v>2710.7150800000009</v>
      </c>
      <c r="E259" s="58">
        <v>3191.7006833279306</v>
      </c>
      <c r="F259" s="58">
        <v>1057.3542800000002</v>
      </c>
      <c r="G259" s="58">
        <v>958.24616631778895</v>
      </c>
      <c r="H259" s="92">
        <v>0.17743864225226114</v>
      </c>
      <c r="I259" s="92">
        <v>-9.3732172420214033E-2</v>
      </c>
      <c r="J259" s="92">
        <v>0.10134566356435593</v>
      </c>
    </row>
    <row r="260" spans="1:10" x14ac:dyDescent="0.25">
      <c r="A260" s="91">
        <v>44409</v>
      </c>
      <c r="B260" s="58">
        <v>0</v>
      </c>
      <c r="C260" s="58">
        <v>0</v>
      </c>
      <c r="D260" s="58">
        <v>296.36324000000002</v>
      </c>
      <c r="E260" s="58">
        <v>348.94953091908116</v>
      </c>
      <c r="F260" s="58">
        <v>115.60084000000001</v>
      </c>
      <c r="G260" s="58">
        <v>104.76532213319845</v>
      </c>
      <c r="H260" s="92">
        <v>0.17743864225226158</v>
      </c>
      <c r="I260" s="92">
        <v>-9.3732172420213811E-2</v>
      </c>
      <c r="J260" s="92">
        <v>0.10134566356435637</v>
      </c>
    </row>
    <row r="261" spans="1:10" x14ac:dyDescent="0.25">
      <c r="A261" s="91">
        <v>44440</v>
      </c>
      <c r="B261" s="58">
        <v>0</v>
      </c>
      <c r="C261" s="58">
        <v>0</v>
      </c>
      <c r="D261" s="58">
        <v>246.71076000000002</v>
      </c>
      <c r="E261" s="58">
        <v>290.48678228342357</v>
      </c>
      <c r="F261" s="58">
        <v>96.233159999999998</v>
      </c>
      <c r="G261" s="58">
        <v>87.21301685433798</v>
      </c>
      <c r="H261" s="92">
        <v>0.17743864225226158</v>
      </c>
      <c r="I261" s="92">
        <v>-9.3732172420213811E-2</v>
      </c>
      <c r="J261" s="92">
        <v>0.10134566356435615</v>
      </c>
    </row>
    <row r="262" spans="1:10" x14ac:dyDescent="0.25">
      <c r="A262" s="91">
        <v>44470</v>
      </c>
      <c r="B262" s="58">
        <v>0</v>
      </c>
      <c r="C262" s="58">
        <v>0</v>
      </c>
      <c r="D262" s="58">
        <v>218.00542000000004</v>
      </c>
      <c r="E262" s="58">
        <v>256.68800572843406</v>
      </c>
      <c r="F262" s="58">
        <v>85.036220000000014</v>
      </c>
      <c r="G262" s="58">
        <v>77.065590364996766</v>
      </c>
      <c r="H262" s="92">
        <v>0.17743864225226158</v>
      </c>
      <c r="I262" s="92">
        <v>-9.3732172420213922E-2</v>
      </c>
      <c r="J262" s="92">
        <v>0.10134566356435637</v>
      </c>
    </row>
    <row r="263" spans="1:10" x14ac:dyDescent="0.25">
      <c r="A263" s="91">
        <v>44501</v>
      </c>
      <c r="B263" s="58">
        <v>0</v>
      </c>
      <c r="C263" s="58">
        <v>0</v>
      </c>
      <c r="D263" s="58">
        <v>231.19436000000002</v>
      </c>
      <c r="E263" s="58">
        <v>272.21717333478057</v>
      </c>
      <c r="F263" s="58">
        <v>90.180759999999992</v>
      </c>
      <c r="G263" s="58">
        <v>81.727921454694069</v>
      </c>
      <c r="H263" s="92">
        <v>0.17743864225226136</v>
      </c>
      <c r="I263" s="92">
        <v>-9.3732172420213811E-2</v>
      </c>
      <c r="J263" s="92">
        <v>0.10134566356435615</v>
      </c>
    </row>
    <row r="264" spans="1:10" x14ac:dyDescent="0.25">
      <c r="A264" s="91">
        <v>44531</v>
      </c>
      <c r="B264" s="58">
        <v>0</v>
      </c>
      <c r="C264" s="58">
        <v>0</v>
      </c>
      <c r="D264" s="58">
        <v>290.9325</v>
      </c>
      <c r="E264" s="58">
        <v>342.55516778705612</v>
      </c>
      <c r="F264" s="58">
        <v>113.4825</v>
      </c>
      <c r="G264" s="58">
        <v>102.84553874332309</v>
      </c>
      <c r="H264" s="92">
        <v>0.17743864225226158</v>
      </c>
      <c r="I264" s="92">
        <v>-9.3732172420213811E-2</v>
      </c>
      <c r="J264" s="92">
        <v>0.10134566356435637</v>
      </c>
    </row>
    <row r="265" spans="1:10" x14ac:dyDescent="0.25">
      <c r="A265" s="91">
        <v>44562</v>
      </c>
      <c r="B265" s="58">
        <v>0</v>
      </c>
      <c r="C265" s="58">
        <v>0</v>
      </c>
      <c r="D265" s="58">
        <v>264.55462000000006</v>
      </c>
      <c r="E265" s="58">
        <v>311.49683257436305</v>
      </c>
      <c r="F265" s="58">
        <v>103.19342</v>
      </c>
      <c r="G265" s="58">
        <v>93.520876563928468</v>
      </c>
      <c r="H265" s="92">
        <v>0.17743864225226158</v>
      </c>
      <c r="I265" s="92">
        <v>-9.3732172420213811E-2</v>
      </c>
      <c r="J265" s="92">
        <v>0.10134566356435637</v>
      </c>
    </row>
    <row r="266" spans="1:10" x14ac:dyDescent="0.25">
      <c r="A266" s="91">
        <v>44593</v>
      </c>
      <c r="B266" s="58">
        <v>0</v>
      </c>
      <c r="C266" s="58">
        <v>0</v>
      </c>
      <c r="D266" s="58">
        <v>279.29520000000002</v>
      </c>
      <c r="E266" s="58">
        <v>328.85296107557383</v>
      </c>
      <c r="F266" s="58">
        <v>108.9432</v>
      </c>
      <c r="G266" s="58">
        <v>98.731717193590157</v>
      </c>
      <c r="H266" s="92">
        <v>0.17743864225226136</v>
      </c>
      <c r="I266" s="92">
        <v>-9.3732172420213922E-2</v>
      </c>
      <c r="J266" s="92">
        <v>0.10134566356435637</v>
      </c>
    </row>
    <row r="267" spans="1:10" x14ac:dyDescent="0.25">
      <c r="A267" s="91">
        <v>44621</v>
      </c>
      <c r="B267" s="58">
        <v>0</v>
      </c>
      <c r="C267" s="58">
        <v>0</v>
      </c>
      <c r="D267" s="58">
        <v>249.03822000000002</v>
      </c>
      <c r="E267" s="58">
        <v>293.22722362572006</v>
      </c>
      <c r="F267" s="58">
        <v>97.141019999999997</v>
      </c>
      <c r="G267" s="58">
        <v>88.035781164284558</v>
      </c>
      <c r="H267" s="92">
        <v>0.17743864225226158</v>
      </c>
      <c r="I267" s="92">
        <v>-9.3732172420213811E-2</v>
      </c>
      <c r="J267" s="92">
        <v>0.10134566356435637</v>
      </c>
    </row>
    <row r="268" spans="1:10" x14ac:dyDescent="0.25">
      <c r="A268" s="91">
        <v>44652</v>
      </c>
      <c r="B268" s="58">
        <v>0</v>
      </c>
      <c r="C268" s="58">
        <v>0</v>
      </c>
      <c r="D268" s="58">
        <v>204.04066000000003</v>
      </c>
      <c r="E268" s="58">
        <v>240.24535767465537</v>
      </c>
      <c r="F268" s="58">
        <v>79.589060000000003</v>
      </c>
      <c r="G268" s="58">
        <v>72.129004505317255</v>
      </c>
      <c r="H268" s="92">
        <v>0.17743864225226158</v>
      </c>
      <c r="I268" s="92">
        <v>-9.3732172420213922E-2</v>
      </c>
      <c r="J268" s="92">
        <v>0.10134566356435637</v>
      </c>
    </row>
    <row r="269" spans="1:10" x14ac:dyDescent="0.25">
      <c r="A269" s="91">
        <v>44682</v>
      </c>
      <c r="B269" s="58">
        <v>0</v>
      </c>
      <c r="C269" s="58">
        <v>0</v>
      </c>
      <c r="D269" s="58">
        <v>152.06072</v>
      </c>
      <c r="E269" s="58">
        <v>179.04216769670134</v>
      </c>
      <c r="F269" s="58">
        <v>59.313520000000004</v>
      </c>
      <c r="G269" s="58">
        <v>53.753934916510197</v>
      </c>
      <c r="H269" s="92">
        <v>0.1774386422522618</v>
      </c>
      <c r="I269" s="92">
        <v>-9.3732172420213922E-2</v>
      </c>
      <c r="J269" s="92">
        <v>0.10134566356435637</v>
      </c>
    </row>
    <row r="270" spans="1:10" x14ac:dyDescent="0.25">
      <c r="A270" s="91">
        <v>44713</v>
      </c>
      <c r="B270" s="58">
        <v>0</v>
      </c>
      <c r="C270" s="58">
        <v>0</v>
      </c>
      <c r="D270" s="58">
        <v>136.54432</v>
      </c>
      <c r="E270" s="58">
        <v>160.77255874805832</v>
      </c>
      <c r="F270" s="58">
        <v>53.261119999999998</v>
      </c>
      <c r="G270" s="58">
        <v>48.268839516866301</v>
      </c>
      <c r="H270" s="92">
        <v>0.17743864225226158</v>
      </c>
      <c r="I270" s="92">
        <v>-9.3732172420213811E-2</v>
      </c>
      <c r="J270" s="92">
        <v>0.10134566356435637</v>
      </c>
    </row>
    <row r="271" spans="1:10" x14ac:dyDescent="0.25">
      <c r="A271" s="91">
        <v>44743</v>
      </c>
      <c r="B271" s="58">
        <v>0</v>
      </c>
      <c r="C271" s="58">
        <v>0</v>
      </c>
      <c r="D271" s="58">
        <v>141.97506000000001</v>
      </c>
      <c r="E271" s="58">
        <v>167.16692188008338</v>
      </c>
      <c r="F271" s="58">
        <v>55.379460000000002</v>
      </c>
      <c r="G271" s="58">
        <v>50.188622906741664</v>
      </c>
      <c r="H271" s="92">
        <v>0.17743864225226158</v>
      </c>
      <c r="I271" s="92">
        <v>-9.3732172420213922E-2</v>
      </c>
      <c r="J271" s="92">
        <v>0.10134566356435637</v>
      </c>
    </row>
    <row r="272" spans="1:10" x14ac:dyDescent="0.25">
      <c r="A272" s="90" t="s">
        <v>36</v>
      </c>
      <c r="B272" s="58">
        <v>0</v>
      </c>
      <c r="C272" s="58">
        <v>0</v>
      </c>
      <c r="D272" s="58">
        <v>5625.8637600000011</v>
      </c>
      <c r="E272" s="58">
        <v>6540.3932759770842</v>
      </c>
      <c r="F272" s="58">
        <v>2378.0842800000009</v>
      </c>
      <c r="G272" s="58">
        <v>2154.3993668630819</v>
      </c>
      <c r="H272" s="92">
        <v>0.16255806307991416</v>
      </c>
      <c r="I272" s="92">
        <v>-9.4060969587216992E-2</v>
      </c>
      <c r="J272" s="92">
        <v>8.6312979468088136E-2</v>
      </c>
    </row>
    <row r="273" spans="1:10" x14ac:dyDescent="0.25">
      <c r="A273" s="91">
        <v>44409</v>
      </c>
      <c r="B273" s="58">
        <v>0</v>
      </c>
      <c r="C273" s="58">
        <v>0</v>
      </c>
      <c r="D273" s="58">
        <v>901.46280000000002</v>
      </c>
      <c r="E273" s="58">
        <v>1048.0028467065963</v>
      </c>
      <c r="F273" s="58">
        <v>381.05340000000001</v>
      </c>
      <c r="G273" s="58">
        <v>345.21114773149441</v>
      </c>
      <c r="H273" s="92">
        <v>0.16255806307991438</v>
      </c>
      <c r="I273" s="92">
        <v>-9.4060969587216881E-2</v>
      </c>
      <c r="J273" s="92">
        <v>8.6312979468088358E-2</v>
      </c>
    </row>
    <row r="274" spans="1:10" x14ac:dyDescent="0.25">
      <c r="A274" s="91">
        <v>44440</v>
      </c>
      <c r="B274" s="58">
        <v>0</v>
      </c>
      <c r="C274" s="58">
        <v>0</v>
      </c>
      <c r="D274" s="58">
        <v>651.26088000000004</v>
      </c>
      <c r="E274" s="58">
        <v>757.12858721252064</v>
      </c>
      <c r="F274" s="58">
        <v>275.29164000000003</v>
      </c>
      <c r="G274" s="58">
        <v>249.39744142234497</v>
      </c>
      <c r="H274" s="92">
        <v>0.16255806307991438</v>
      </c>
      <c r="I274" s="92">
        <v>-9.4060969587216881E-2</v>
      </c>
      <c r="J274" s="92">
        <v>8.6312979468088358E-2</v>
      </c>
    </row>
    <row r="275" spans="1:10" x14ac:dyDescent="0.25">
      <c r="A275" s="91">
        <v>44470</v>
      </c>
      <c r="B275" s="58">
        <v>0</v>
      </c>
      <c r="C275" s="58">
        <v>0</v>
      </c>
      <c r="D275" s="58">
        <v>567.86024000000009</v>
      </c>
      <c r="E275" s="58">
        <v>660.17050071449535</v>
      </c>
      <c r="F275" s="58">
        <v>240.03772000000004</v>
      </c>
      <c r="G275" s="58">
        <v>217.45953931929515</v>
      </c>
      <c r="H275" s="92">
        <v>0.16255806307991416</v>
      </c>
      <c r="I275" s="92">
        <v>-9.4060969587216881E-2</v>
      </c>
      <c r="J275" s="92">
        <v>8.6312979468088136E-2</v>
      </c>
    </row>
    <row r="276" spans="1:10" x14ac:dyDescent="0.25">
      <c r="A276" s="91">
        <v>44501</v>
      </c>
      <c r="B276" s="58">
        <v>0</v>
      </c>
      <c r="C276" s="58">
        <v>0</v>
      </c>
      <c r="D276" s="58">
        <v>632.86368000000004</v>
      </c>
      <c r="E276" s="58">
        <v>735.74077401442685</v>
      </c>
      <c r="F276" s="58">
        <v>267.51504000000006</v>
      </c>
      <c r="G276" s="58">
        <v>242.35231595843692</v>
      </c>
      <c r="H276" s="92">
        <v>0.16255806307991438</v>
      </c>
      <c r="I276" s="92">
        <v>-9.4060969587216992E-2</v>
      </c>
      <c r="J276" s="92">
        <v>8.6312979468088136E-2</v>
      </c>
    </row>
    <row r="277" spans="1:10" x14ac:dyDescent="0.25">
      <c r="A277" s="91">
        <v>44531</v>
      </c>
      <c r="B277" s="58">
        <v>0</v>
      </c>
      <c r="C277" s="58">
        <v>0</v>
      </c>
      <c r="D277" s="58">
        <v>750.60576000000003</v>
      </c>
      <c r="E277" s="58">
        <v>872.62277848222709</v>
      </c>
      <c r="F277" s="58">
        <v>317.28528</v>
      </c>
      <c r="G277" s="58">
        <v>287.44111892744843</v>
      </c>
      <c r="H277" s="92">
        <v>0.16255806307991438</v>
      </c>
      <c r="I277" s="92">
        <v>-9.4060969587216769E-2</v>
      </c>
      <c r="J277" s="92">
        <v>8.6312979468088358E-2</v>
      </c>
    </row>
    <row r="278" spans="1:10" x14ac:dyDescent="0.25">
      <c r="A278" s="91">
        <v>44562</v>
      </c>
      <c r="B278" s="58">
        <v>0</v>
      </c>
      <c r="C278" s="58">
        <v>0</v>
      </c>
      <c r="D278" s="58">
        <v>746.92632000000003</v>
      </c>
      <c r="E278" s="58">
        <v>868.34521584260835</v>
      </c>
      <c r="F278" s="58">
        <v>315.72996000000001</v>
      </c>
      <c r="G278" s="58">
        <v>286.0320938346668</v>
      </c>
      <c r="H278" s="92">
        <v>0.16255806307991438</v>
      </c>
      <c r="I278" s="92">
        <v>-9.4060969587216881E-2</v>
      </c>
      <c r="J278" s="92">
        <v>8.6312979468088358E-2</v>
      </c>
    </row>
    <row r="279" spans="1:10" x14ac:dyDescent="0.25">
      <c r="A279" s="91">
        <v>44593</v>
      </c>
      <c r="B279" s="58">
        <v>0</v>
      </c>
      <c r="C279" s="58">
        <v>0</v>
      </c>
      <c r="D279" s="58">
        <v>370.39695999999998</v>
      </c>
      <c r="E279" s="58">
        <v>430.60797238828854</v>
      </c>
      <c r="F279" s="58">
        <v>156.56888000000001</v>
      </c>
      <c r="G279" s="58">
        <v>141.84185934001539</v>
      </c>
      <c r="H279" s="92">
        <v>0.16255806307991461</v>
      </c>
      <c r="I279" s="92">
        <v>-9.4060969587216881E-2</v>
      </c>
      <c r="J279" s="92">
        <v>8.6312979468088358E-2</v>
      </c>
    </row>
    <row r="280" spans="1:10" x14ac:dyDescent="0.25">
      <c r="A280" s="91">
        <v>44621</v>
      </c>
      <c r="B280" s="58">
        <v>0</v>
      </c>
      <c r="C280" s="58">
        <v>0</v>
      </c>
      <c r="D280" s="58">
        <v>260.01375999999999</v>
      </c>
      <c r="E280" s="58">
        <v>302.28109319972572</v>
      </c>
      <c r="F280" s="58">
        <v>109.90928000000001</v>
      </c>
      <c r="G280" s="58">
        <v>99.571106556567102</v>
      </c>
      <c r="H280" s="92">
        <v>0.16255806307991438</v>
      </c>
      <c r="I280" s="92">
        <v>-9.4060969587216881E-2</v>
      </c>
      <c r="J280" s="92">
        <v>8.6312979468088358E-2</v>
      </c>
    </row>
    <row r="281" spans="1:10" x14ac:dyDescent="0.25">
      <c r="A281" s="91">
        <v>44652</v>
      </c>
      <c r="B281" s="58">
        <v>0</v>
      </c>
      <c r="C281" s="58">
        <v>0</v>
      </c>
      <c r="D281" s="58">
        <v>215.86048</v>
      </c>
      <c r="E281" s="58">
        <v>250.9503415243006</v>
      </c>
      <c r="F281" s="58">
        <v>91.245440000000002</v>
      </c>
      <c r="G281" s="58">
        <v>82.662805443187779</v>
      </c>
      <c r="H281" s="92">
        <v>0.16255806307991438</v>
      </c>
      <c r="I281" s="92">
        <v>-9.4060969587216881E-2</v>
      </c>
      <c r="J281" s="92">
        <v>8.6312979468088358E-2</v>
      </c>
    </row>
    <row r="282" spans="1:10" x14ac:dyDescent="0.25">
      <c r="A282" s="91">
        <v>44682</v>
      </c>
      <c r="B282" s="58">
        <v>0</v>
      </c>
      <c r="C282" s="58">
        <v>0</v>
      </c>
      <c r="D282" s="58">
        <v>170.48072000000002</v>
      </c>
      <c r="E282" s="58">
        <v>198.19373563566924</v>
      </c>
      <c r="F282" s="58">
        <v>72.063160000000011</v>
      </c>
      <c r="G282" s="58">
        <v>65.284829298881263</v>
      </c>
      <c r="H282" s="92">
        <v>0.16255806307991438</v>
      </c>
      <c r="I282" s="92">
        <v>-9.4060969587216881E-2</v>
      </c>
      <c r="J282" s="92">
        <v>8.6312979468088136E-2</v>
      </c>
    </row>
    <row r="283" spans="1:10" x14ac:dyDescent="0.25">
      <c r="A283" s="91">
        <v>44713</v>
      </c>
      <c r="B283" s="58">
        <v>0</v>
      </c>
      <c r="C283" s="58">
        <v>0</v>
      </c>
      <c r="D283" s="58">
        <v>180.29255999999998</v>
      </c>
      <c r="E283" s="58">
        <v>209.60056934131924</v>
      </c>
      <c r="F283" s="58">
        <v>76.210680000000011</v>
      </c>
      <c r="G283" s="58">
        <v>69.042229546298884</v>
      </c>
      <c r="H283" s="92">
        <v>0.16255806307991438</v>
      </c>
      <c r="I283" s="92">
        <v>-9.4060969587216992E-2</v>
      </c>
      <c r="J283" s="92">
        <v>8.6312979468088358E-2</v>
      </c>
    </row>
    <row r="284" spans="1:10" x14ac:dyDescent="0.25">
      <c r="A284" s="91">
        <v>44743</v>
      </c>
      <c r="B284" s="58">
        <v>0</v>
      </c>
      <c r="C284" s="58">
        <v>0</v>
      </c>
      <c r="D284" s="58">
        <v>177.83959999999999</v>
      </c>
      <c r="E284" s="58">
        <v>206.74886091490674</v>
      </c>
      <c r="F284" s="58">
        <v>75.1738</v>
      </c>
      <c r="G284" s="58">
        <v>68.102879484444472</v>
      </c>
      <c r="H284" s="92">
        <v>0.16255806307991438</v>
      </c>
      <c r="I284" s="92">
        <v>-9.4060969587216881E-2</v>
      </c>
      <c r="J284" s="92">
        <v>8.6312979468088358E-2</v>
      </c>
    </row>
    <row r="285" spans="1:10" x14ac:dyDescent="0.25">
      <c r="A285" s="86" t="s">
        <v>33</v>
      </c>
      <c r="B285" s="58">
        <v>0</v>
      </c>
      <c r="C285" s="58">
        <v>0</v>
      </c>
      <c r="D285" s="58">
        <v>4932.6455300000007</v>
      </c>
      <c r="E285" s="58">
        <v>6082.8213372106629</v>
      </c>
      <c r="F285" s="58">
        <v>4577.0359800000015</v>
      </c>
      <c r="G285" s="58">
        <v>4148.0178974250693</v>
      </c>
      <c r="H285" s="92">
        <v>0.2331762540436717</v>
      </c>
      <c r="I285" s="92">
        <v>-9.3732731062107999E-2</v>
      </c>
      <c r="J285" s="92">
        <v>7.583405646943997E-2</v>
      </c>
    </row>
    <row r="286" spans="1:10" x14ac:dyDescent="0.25">
      <c r="A286" s="87" t="s">
        <v>25</v>
      </c>
      <c r="B286" s="58">
        <v>0</v>
      </c>
      <c r="C286" s="58">
        <v>0</v>
      </c>
      <c r="D286" s="58">
        <v>4932.6455300000007</v>
      </c>
      <c r="E286" s="58">
        <v>6082.8213372106629</v>
      </c>
      <c r="F286" s="58">
        <v>4577.0359800000015</v>
      </c>
      <c r="G286" s="58">
        <v>4148.0178974250693</v>
      </c>
      <c r="H286" s="92">
        <v>0.2331762540436717</v>
      </c>
      <c r="I286" s="92">
        <v>-9.3732731062107999E-2</v>
      </c>
      <c r="J286" s="92">
        <v>7.583405646943997E-2</v>
      </c>
    </row>
    <row r="287" spans="1:10" x14ac:dyDescent="0.25">
      <c r="A287" s="88" t="s">
        <v>25</v>
      </c>
      <c r="B287" s="58">
        <v>0</v>
      </c>
      <c r="C287" s="58">
        <v>0</v>
      </c>
      <c r="D287" s="58">
        <v>4932.6455300000007</v>
      </c>
      <c r="E287" s="58">
        <v>6082.8213372106629</v>
      </c>
      <c r="F287" s="58">
        <v>4577.0359800000015</v>
      </c>
      <c r="G287" s="58">
        <v>4148.0178974250693</v>
      </c>
      <c r="H287" s="92">
        <v>0.2331762540436717</v>
      </c>
      <c r="I287" s="92">
        <v>-9.3732731062107999E-2</v>
      </c>
      <c r="J287" s="92">
        <v>7.583405646943997E-2</v>
      </c>
    </row>
    <row r="288" spans="1:10" x14ac:dyDescent="0.25">
      <c r="A288" s="89" t="s">
        <v>25</v>
      </c>
      <c r="B288" s="58">
        <v>0</v>
      </c>
      <c r="C288" s="58">
        <v>0</v>
      </c>
      <c r="D288" s="58">
        <v>4932.6455300000007</v>
      </c>
      <c r="E288" s="58">
        <v>6082.8213372106629</v>
      </c>
      <c r="F288" s="58">
        <v>4577.0359800000015</v>
      </c>
      <c r="G288" s="58">
        <v>4148.0178974250693</v>
      </c>
      <c r="H288" s="92">
        <v>0.2331762540436717</v>
      </c>
      <c r="I288" s="92">
        <v>-9.3732731062107999E-2</v>
      </c>
      <c r="J288" s="92">
        <v>7.583405646943997E-2</v>
      </c>
    </row>
    <row r="289" spans="1:10" x14ac:dyDescent="0.25">
      <c r="A289" s="90" t="s">
        <v>37</v>
      </c>
      <c r="B289" s="58">
        <v>0</v>
      </c>
      <c r="C289" s="58">
        <v>0</v>
      </c>
      <c r="D289" s="58">
        <v>4906.4901300000001</v>
      </c>
      <c r="E289" s="58">
        <v>6052.2987195382466</v>
      </c>
      <c r="F289" s="58">
        <v>4566.2331800000002</v>
      </c>
      <c r="G289" s="58">
        <v>4138.2302242613387</v>
      </c>
      <c r="H289" s="92">
        <v>0.23352917445657773</v>
      </c>
      <c r="I289" s="92">
        <v>-9.3732172420213922E-2</v>
      </c>
      <c r="J289" s="92">
        <v>7.5776058300132565E-2</v>
      </c>
    </row>
    <row r="290" spans="1:10" x14ac:dyDescent="0.25">
      <c r="A290" s="91">
        <v>44409</v>
      </c>
      <c r="B290" s="58">
        <v>0</v>
      </c>
      <c r="C290" s="58">
        <v>0</v>
      </c>
      <c r="D290" s="58">
        <v>668.22435000000007</v>
      </c>
      <c r="E290" s="58">
        <v>824.2742308072834</v>
      </c>
      <c r="F290" s="58">
        <v>621.8841000000001</v>
      </c>
      <c r="G290" s="58">
        <v>563.59355231341056</v>
      </c>
      <c r="H290" s="92">
        <v>0.23352917445657773</v>
      </c>
      <c r="I290" s="92">
        <v>-9.3732172420213922E-2</v>
      </c>
      <c r="J290" s="92">
        <v>7.5776058300132565E-2</v>
      </c>
    </row>
    <row r="291" spans="1:10" x14ac:dyDescent="0.25">
      <c r="A291" s="91">
        <v>44440</v>
      </c>
      <c r="B291" s="58">
        <v>0</v>
      </c>
      <c r="C291" s="58">
        <v>0</v>
      </c>
      <c r="D291" s="58">
        <v>721.87740000000008</v>
      </c>
      <c r="E291" s="58">
        <v>890.45683328086091</v>
      </c>
      <c r="F291" s="58">
        <v>671.81640000000004</v>
      </c>
      <c r="G291" s="58">
        <v>608.84558936047267</v>
      </c>
      <c r="H291" s="92">
        <v>0.23352917445657773</v>
      </c>
      <c r="I291" s="92">
        <v>-9.3732172420213922E-2</v>
      </c>
      <c r="J291" s="92">
        <v>7.5776058300132787E-2</v>
      </c>
    </row>
    <row r="292" spans="1:10" x14ac:dyDescent="0.25">
      <c r="A292" s="91">
        <v>44470</v>
      </c>
      <c r="B292" s="58">
        <v>0</v>
      </c>
      <c r="C292" s="58">
        <v>0</v>
      </c>
      <c r="D292" s="58">
        <v>1071.43515</v>
      </c>
      <c r="E292" s="58">
        <v>1321.6465160632597</v>
      </c>
      <c r="F292" s="58">
        <v>997.13289999999995</v>
      </c>
      <c r="G292" s="58">
        <v>903.66946709133208</v>
      </c>
      <c r="H292" s="92">
        <v>0.23352917445657795</v>
      </c>
      <c r="I292" s="92">
        <v>-9.3732172420213922E-2</v>
      </c>
      <c r="J292" s="92">
        <v>7.5776058300132787E-2</v>
      </c>
    </row>
    <row r="293" spans="1:10" x14ac:dyDescent="0.25">
      <c r="A293" s="91">
        <v>44501</v>
      </c>
      <c r="B293" s="58">
        <v>0</v>
      </c>
      <c r="C293" s="58">
        <v>0</v>
      </c>
      <c r="D293" s="58">
        <v>845.11683000000005</v>
      </c>
      <c r="E293" s="58">
        <v>1042.4762656292601</v>
      </c>
      <c r="F293" s="58">
        <v>786.50938000000008</v>
      </c>
      <c r="G293" s="58">
        <v>712.78814718372462</v>
      </c>
      <c r="H293" s="92">
        <v>0.23352917445657773</v>
      </c>
      <c r="I293" s="92">
        <v>-9.3732172420213811E-2</v>
      </c>
      <c r="J293" s="92">
        <v>7.5776058300132565E-2</v>
      </c>
    </row>
    <row r="294" spans="1:10" x14ac:dyDescent="0.25">
      <c r="A294" s="91">
        <v>44531</v>
      </c>
      <c r="B294" s="58">
        <v>0</v>
      </c>
      <c r="C294" s="58">
        <v>0</v>
      </c>
      <c r="D294" s="58">
        <v>1088.01882</v>
      </c>
      <c r="E294" s="58">
        <v>1342.10295682782</v>
      </c>
      <c r="F294" s="58">
        <v>1012.5665200000001</v>
      </c>
      <c r="G294" s="58">
        <v>917.65646036042415</v>
      </c>
      <c r="H294" s="92">
        <v>0.23352917445657795</v>
      </c>
      <c r="I294" s="92">
        <v>-9.3732172420213811E-2</v>
      </c>
      <c r="J294" s="92">
        <v>7.5776058300132787E-2</v>
      </c>
    </row>
    <row r="295" spans="1:10" x14ac:dyDescent="0.25">
      <c r="A295" s="91">
        <v>44562</v>
      </c>
      <c r="B295" s="58">
        <v>0</v>
      </c>
      <c r="C295" s="58">
        <v>0</v>
      </c>
      <c r="D295" s="58">
        <v>511.81758000000002</v>
      </c>
      <c r="E295" s="58">
        <v>631.34191692976356</v>
      </c>
      <c r="F295" s="58">
        <v>476.32388000000003</v>
      </c>
      <c r="G295" s="58">
        <v>431.67700795197476</v>
      </c>
      <c r="H295" s="92">
        <v>0.23352917445657795</v>
      </c>
      <c r="I295" s="92">
        <v>-9.3732172420213922E-2</v>
      </c>
      <c r="J295" s="92">
        <v>7.5776058300132565E-2</v>
      </c>
    </row>
    <row r="296" spans="1:10" x14ac:dyDescent="0.25">
      <c r="A296" s="90" t="s">
        <v>39</v>
      </c>
      <c r="B296" s="58">
        <v>0</v>
      </c>
      <c r="C296" s="58">
        <v>0</v>
      </c>
      <c r="D296" s="58">
        <v>7.7582000000000013</v>
      </c>
      <c r="E296" s="58">
        <v>9.1348044743214967</v>
      </c>
      <c r="F296" s="58">
        <v>3.0262000000000002</v>
      </c>
      <c r="G296" s="58">
        <v>2.7425476998219489</v>
      </c>
      <c r="H296" s="92">
        <v>0.17743864225226158</v>
      </c>
      <c r="I296" s="92">
        <v>-9.3732172420213922E-2</v>
      </c>
      <c r="J296" s="92">
        <v>0.10134566356435637</v>
      </c>
    </row>
    <row r="297" spans="1:10" x14ac:dyDescent="0.25">
      <c r="A297" s="91">
        <v>44409</v>
      </c>
      <c r="B297" s="58">
        <v>0</v>
      </c>
      <c r="C297" s="58">
        <v>0</v>
      </c>
      <c r="D297" s="58">
        <v>1.5516400000000001</v>
      </c>
      <c r="E297" s="58">
        <v>1.8269608948642992</v>
      </c>
      <c r="F297" s="58">
        <v>0.60524</v>
      </c>
      <c r="G297" s="58">
        <v>0.54850953996438978</v>
      </c>
      <c r="H297" s="92">
        <v>0.17743864225226158</v>
      </c>
      <c r="I297" s="92">
        <v>-9.3732172420213811E-2</v>
      </c>
      <c r="J297" s="92">
        <v>0.10134566356435637</v>
      </c>
    </row>
    <row r="298" spans="1:10" x14ac:dyDescent="0.25">
      <c r="A298" s="91">
        <v>44440</v>
      </c>
      <c r="B298" s="58">
        <v>0</v>
      </c>
      <c r="C298" s="58">
        <v>0</v>
      </c>
      <c r="D298" s="58">
        <v>2.3274600000000003</v>
      </c>
      <c r="E298" s="58">
        <v>2.7404413422964491</v>
      </c>
      <c r="F298" s="58">
        <v>0.90786</v>
      </c>
      <c r="G298" s="58">
        <v>0.82276430994658467</v>
      </c>
      <c r="H298" s="92">
        <v>0.17743864225226158</v>
      </c>
      <c r="I298" s="92">
        <v>-9.3732172420213811E-2</v>
      </c>
      <c r="J298" s="92">
        <v>0.10134566356435637</v>
      </c>
    </row>
    <row r="299" spans="1:10" x14ac:dyDescent="0.25">
      <c r="A299" s="91">
        <v>44470</v>
      </c>
      <c r="B299" s="58">
        <v>0</v>
      </c>
      <c r="C299" s="58">
        <v>0</v>
      </c>
      <c r="D299" s="58">
        <v>0.77582000000000007</v>
      </c>
      <c r="E299" s="58">
        <v>0.91348044743214962</v>
      </c>
      <c r="F299" s="58">
        <v>0.30262</v>
      </c>
      <c r="G299" s="58">
        <v>0.27425476998219489</v>
      </c>
      <c r="H299" s="92">
        <v>0.17743864225226158</v>
      </c>
      <c r="I299" s="92">
        <v>-9.3732172420213811E-2</v>
      </c>
      <c r="J299" s="92">
        <v>0.10134566356435637</v>
      </c>
    </row>
    <row r="300" spans="1:10" x14ac:dyDescent="0.25">
      <c r="A300" s="91">
        <v>44501</v>
      </c>
      <c r="B300" s="58">
        <v>0</v>
      </c>
      <c r="C300" s="58">
        <v>0</v>
      </c>
      <c r="D300" s="58">
        <v>0.77582000000000007</v>
      </c>
      <c r="E300" s="58">
        <v>0.91348044743214962</v>
      </c>
      <c r="F300" s="58">
        <v>0.30262</v>
      </c>
      <c r="G300" s="58">
        <v>0.27425476998219489</v>
      </c>
      <c r="H300" s="92">
        <v>0.17743864225226158</v>
      </c>
      <c r="I300" s="92">
        <v>-9.3732172420213811E-2</v>
      </c>
      <c r="J300" s="92">
        <v>0.10134566356435637</v>
      </c>
    </row>
    <row r="301" spans="1:10" x14ac:dyDescent="0.25">
      <c r="A301" s="91">
        <v>44531</v>
      </c>
      <c r="B301" s="58">
        <v>0</v>
      </c>
      <c r="C301" s="58">
        <v>0</v>
      </c>
      <c r="D301" s="58">
        <v>1.5516400000000001</v>
      </c>
      <c r="E301" s="58">
        <v>1.8269608948642992</v>
      </c>
      <c r="F301" s="58">
        <v>0.60524</v>
      </c>
      <c r="G301" s="58">
        <v>0.54850953996438978</v>
      </c>
      <c r="H301" s="92">
        <v>0.17743864225226158</v>
      </c>
      <c r="I301" s="92">
        <v>-9.3732172420213811E-2</v>
      </c>
      <c r="J301" s="92">
        <v>0.10134566356435637</v>
      </c>
    </row>
    <row r="302" spans="1:10" x14ac:dyDescent="0.25">
      <c r="A302" s="91">
        <v>44562</v>
      </c>
      <c r="B302" s="58">
        <v>0</v>
      </c>
      <c r="C302" s="58">
        <v>0</v>
      </c>
      <c r="D302" s="58">
        <v>0.77582000000000007</v>
      </c>
      <c r="E302" s="58">
        <v>0.91348044743214962</v>
      </c>
      <c r="F302" s="58">
        <v>0.30262</v>
      </c>
      <c r="G302" s="58">
        <v>0.27425476998219489</v>
      </c>
      <c r="H302" s="92">
        <v>0.17743864225226158</v>
      </c>
      <c r="I302" s="92">
        <v>-9.3732172420213811E-2</v>
      </c>
      <c r="J302" s="92">
        <v>0.10134566356435637</v>
      </c>
    </row>
    <row r="303" spans="1:10" x14ac:dyDescent="0.25">
      <c r="A303" s="90" t="s">
        <v>36</v>
      </c>
      <c r="B303" s="58">
        <v>0</v>
      </c>
      <c r="C303" s="58">
        <v>0</v>
      </c>
      <c r="D303" s="58">
        <v>18.397200000000002</v>
      </c>
      <c r="E303" s="58">
        <v>21.387813198093802</v>
      </c>
      <c r="F303" s="58">
        <v>7.7766000000000002</v>
      </c>
      <c r="G303" s="58">
        <v>7.0451254639080503</v>
      </c>
      <c r="H303" s="92">
        <v>0.16255806307991438</v>
      </c>
      <c r="I303" s="92">
        <v>-9.4060969587216769E-2</v>
      </c>
      <c r="J303" s="92">
        <v>8.6312979468088358E-2</v>
      </c>
    </row>
    <row r="304" spans="1:10" x14ac:dyDescent="0.25">
      <c r="A304" s="91">
        <v>44409</v>
      </c>
      <c r="B304" s="58">
        <v>0</v>
      </c>
      <c r="C304" s="58">
        <v>0</v>
      </c>
      <c r="D304" s="58">
        <v>1.22648</v>
      </c>
      <c r="E304" s="58">
        <v>1.4258542132062535</v>
      </c>
      <c r="F304" s="58">
        <v>0.51844000000000001</v>
      </c>
      <c r="G304" s="58">
        <v>0.46967503092720331</v>
      </c>
      <c r="H304" s="92">
        <v>0.16255806307991438</v>
      </c>
      <c r="I304" s="92">
        <v>-9.4060969587216881E-2</v>
      </c>
      <c r="J304" s="92">
        <v>8.6312979468088358E-2</v>
      </c>
    </row>
    <row r="305" spans="1:10" x14ac:dyDescent="0.25">
      <c r="A305" s="91">
        <v>44440</v>
      </c>
      <c r="B305" s="58">
        <v>0</v>
      </c>
      <c r="C305" s="58">
        <v>0</v>
      </c>
      <c r="D305" s="58">
        <v>3.67944</v>
      </c>
      <c r="E305" s="58">
        <v>4.2775626396187603</v>
      </c>
      <c r="F305" s="58">
        <v>1.5553200000000003</v>
      </c>
      <c r="G305" s="58">
        <v>1.4090250927816099</v>
      </c>
      <c r="H305" s="92">
        <v>0.16255806307991438</v>
      </c>
      <c r="I305" s="92">
        <v>-9.4060969587216992E-2</v>
      </c>
      <c r="J305" s="92">
        <v>8.6312979468088136E-2</v>
      </c>
    </row>
    <row r="306" spans="1:10" x14ac:dyDescent="0.25">
      <c r="A306" s="91">
        <v>44470</v>
      </c>
      <c r="B306" s="58">
        <v>0</v>
      </c>
      <c r="C306" s="58">
        <v>0</v>
      </c>
      <c r="D306" s="58">
        <v>1.22648</v>
      </c>
      <c r="E306" s="58">
        <v>1.4258542132062535</v>
      </c>
      <c r="F306" s="58">
        <v>0.51844000000000001</v>
      </c>
      <c r="G306" s="58">
        <v>0.46967503092720331</v>
      </c>
      <c r="H306" s="92">
        <v>0.16255806307991438</v>
      </c>
      <c r="I306" s="92">
        <v>-9.4060969587216881E-2</v>
      </c>
      <c r="J306" s="92">
        <v>8.6312979468088358E-2</v>
      </c>
    </row>
    <row r="307" spans="1:10" x14ac:dyDescent="0.25">
      <c r="A307" s="91">
        <v>44501</v>
      </c>
      <c r="B307" s="58">
        <v>0</v>
      </c>
      <c r="C307" s="58">
        <v>0</v>
      </c>
      <c r="D307" s="58">
        <v>1.22648</v>
      </c>
      <c r="E307" s="58">
        <v>1.4258542132062535</v>
      </c>
      <c r="F307" s="58">
        <v>0.51844000000000001</v>
      </c>
      <c r="G307" s="58">
        <v>0.46967503092720331</v>
      </c>
      <c r="H307" s="92">
        <v>0.16255806307991438</v>
      </c>
      <c r="I307" s="92">
        <v>-9.4060969587216881E-2</v>
      </c>
      <c r="J307" s="92">
        <v>8.6312979468088358E-2</v>
      </c>
    </row>
    <row r="308" spans="1:10" x14ac:dyDescent="0.25">
      <c r="A308" s="91">
        <v>44531</v>
      </c>
      <c r="B308" s="58">
        <v>0</v>
      </c>
      <c r="C308" s="58">
        <v>0</v>
      </c>
      <c r="D308" s="58">
        <v>9.8118400000000001</v>
      </c>
      <c r="E308" s="58">
        <v>11.406833705650028</v>
      </c>
      <c r="F308" s="58">
        <v>4.1475200000000001</v>
      </c>
      <c r="G308" s="58">
        <v>3.7574002474176265</v>
      </c>
      <c r="H308" s="92">
        <v>0.16255806307991438</v>
      </c>
      <c r="I308" s="92">
        <v>-9.4060969587216881E-2</v>
      </c>
      <c r="J308" s="92">
        <v>8.6312979468088358E-2</v>
      </c>
    </row>
    <row r="309" spans="1:10" x14ac:dyDescent="0.25">
      <c r="A309" s="91">
        <v>44562</v>
      </c>
      <c r="B309" s="58">
        <v>0</v>
      </c>
      <c r="C309" s="58">
        <v>0</v>
      </c>
      <c r="D309" s="58">
        <v>1.22648</v>
      </c>
      <c r="E309" s="58">
        <v>1.4258542132062535</v>
      </c>
      <c r="F309" s="58">
        <v>0.51844000000000001</v>
      </c>
      <c r="G309" s="58">
        <v>0.46967503092720331</v>
      </c>
      <c r="H309" s="92">
        <v>0.16255806307991438</v>
      </c>
      <c r="I309" s="92">
        <v>-9.4060969587216881E-2</v>
      </c>
      <c r="J309" s="92">
        <v>8.6312979468088358E-2</v>
      </c>
    </row>
    <row r="310" spans="1:10" x14ac:dyDescent="0.25">
      <c r="A310" s="86" t="s">
        <v>43</v>
      </c>
      <c r="B310" s="58">
        <v>0</v>
      </c>
      <c r="C310" s="58">
        <v>0</v>
      </c>
      <c r="D310" s="58">
        <v>29898.646140000001</v>
      </c>
      <c r="E310" s="58">
        <v>36353.427007381797</v>
      </c>
      <c r="F310" s="58">
        <v>23669.44514</v>
      </c>
      <c r="G310" s="58">
        <v>21450.124494460713</v>
      </c>
      <c r="H310" s="92">
        <v>0.21588873413054799</v>
      </c>
      <c r="I310" s="92">
        <v>-9.3763103968532047E-2</v>
      </c>
      <c r="J310" s="92">
        <v>7.9066849697962738E-2</v>
      </c>
    </row>
    <row r="311" spans="1:10" x14ac:dyDescent="0.25">
      <c r="A311" s="87" t="s">
        <v>25</v>
      </c>
      <c r="B311" s="58">
        <v>0</v>
      </c>
      <c r="C311" s="58">
        <v>0</v>
      </c>
      <c r="D311" s="58">
        <v>29898.646140000001</v>
      </c>
      <c r="E311" s="58">
        <v>36353.427007381797</v>
      </c>
      <c r="F311" s="58">
        <v>23669.44514</v>
      </c>
      <c r="G311" s="58">
        <v>21450.124494460713</v>
      </c>
      <c r="H311" s="92">
        <v>0.21588873413054799</v>
      </c>
      <c r="I311" s="92">
        <v>-9.3763103968532047E-2</v>
      </c>
      <c r="J311" s="92">
        <v>7.9066849697962738E-2</v>
      </c>
    </row>
    <row r="312" spans="1:10" x14ac:dyDescent="0.25">
      <c r="A312" s="88" t="s">
        <v>25</v>
      </c>
      <c r="B312" s="58">
        <v>0</v>
      </c>
      <c r="C312" s="58">
        <v>0</v>
      </c>
      <c r="D312" s="58">
        <v>29898.646140000001</v>
      </c>
      <c r="E312" s="58">
        <v>36353.427007381797</v>
      </c>
      <c r="F312" s="58">
        <v>23669.44514</v>
      </c>
      <c r="G312" s="58">
        <v>21450.124494460713</v>
      </c>
      <c r="H312" s="92">
        <v>0.21588873413054799</v>
      </c>
      <c r="I312" s="92">
        <v>-9.3763103968532047E-2</v>
      </c>
      <c r="J312" s="92">
        <v>7.9066849697962738E-2</v>
      </c>
    </row>
    <row r="313" spans="1:10" x14ac:dyDescent="0.25">
      <c r="A313" s="89" t="s">
        <v>25</v>
      </c>
      <c r="B313" s="58">
        <v>0</v>
      </c>
      <c r="C313" s="58">
        <v>0</v>
      </c>
      <c r="D313" s="58">
        <v>29898.646140000001</v>
      </c>
      <c r="E313" s="58">
        <v>36353.427007381797</v>
      </c>
      <c r="F313" s="58">
        <v>23669.44514</v>
      </c>
      <c r="G313" s="58">
        <v>21450.124494460713</v>
      </c>
      <c r="H313" s="92">
        <v>0.21588873413054799</v>
      </c>
      <c r="I313" s="92">
        <v>-9.3763103968532047E-2</v>
      </c>
      <c r="J313" s="92">
        <v>7.9066849697962738E-2</v>
      </c>
    </row>
    <row r="314" spans="1:10" x14ac:dyDescent="0.25">
      <c r="A314" s="90" t="s">
        <v>37</v>
      </c>
      <c r="B314" s="58">
        <v>0</v>
      </c>
      <c r="C314" s="58">
        <v>0</v>
      </c>
      <c r="D314" s="58">
        <v>21893.045760000005</v>
      </c>
      <c r="E314" s="58">
        <v>27005.710662672886</v>
      </c>
      <c r="F314" s="58">
        <v>20374.799360000001</v>
      </c>
      <c r="G314" s="58">
        <v>18465.025153361214</v>
      </c>
      <c r="H314" s="92">
        <v>0.23352917445657773</v>
      </c>
      <c r="I314" s="92">
        <v>-9.3732172420214033E-2</v>
      </c>
      <c r="J314" s="92">
        <v>7.5776058300132565E-2</v>
      </c>
    </row>
    <row r="315" spans="1:10" x14ac:dyDescent="0.25">
      <c r="A315" s="91">
        <v>44409</v>
      </c>
      <c r="B315" s="58">
        <v>0</v>
      </c>
      <c r="C315" s="58">
        <v>0</v>
      </c>
      <c r="D315" s="58">
        <v>1509.76431</v>
      </c>
      <c r="E315" s="58">
        <v>1862.3383229383048</v>
      </c>
      <c r="F315" s="58">
        <v>1405.06466</v>
      </c>
      <c r="G315" s="58">
        <v>1273.3648970273307</v>
      </c>
      <c r="H315" s="92">
        <v>0.23352917445657773</v>
      </c>
      <c r="I315" s="92">
        <v>-9.3732172420213922E-2</v>
      </c>
      <c r="J315" s="92">
        <v>7.5776058300132565E-2</v>
      </c>
    </row>
    <row r="316" spans="1:10" x14ac:dyDescent="0.25">
      <c r="A316" s="91">
        <v>44440</v>
      </c>
      <c r="B316" s="58">
        <v>0</v>
      </c>
      <c r="C316" s="58">
        <v>0</v>
      </c>
      <c r="D316" s="58">
        <v>1447.6568400000001</v>
      </c>
      <c r="E316" s="58">
        <v>1785.7269467416183</v>
      </c>
      <c r="F316" s="58">
        <v>1347.26424</v>
      </c>
      <c r="G316" s="58">
        <v>1220.9822359607317</v>
      </c>
      <c r="H316" s="92">
        <v>0.23352917445657795</v>
      </c>
      <c r="I316" s="92">
        <v>-9.3732172420213811E-2</v>
      </c>
      <c r="J316" s="92">
        <v>7.5776058300132787E-2</v>
      </c>
    </row>
    <row r="317" spans="1:10" x14ac:dyDescent="0.25">
      <c r="A317" s="91">
        <v>44470</v>
      </c>
      <c r="B317" s="58">
        <v>0</v>
      </c>
      <c r="C317" s="58">
        <v>0</v>
      </c>
      <c r="D317" s="58">
        <v>1425.5452800000003</v>
      </c>
      <c r="E317" s="58">
        <v>1758.4516923888714</v>
      </c>
      <c r="F317" s="58">
        <v>1326.6860800000002</v>
      </c>
      <c r="G317" s="58">
        <v>1202.3329116019424</v>
      </c>
      <c r="H317" s="92">
        <v>0.23352917445657773</v>
      </c>
      <c r="I317" s="92">
        <v>-9.3732172420213922E-2</v>
      </c>
      <c r="J317" s="92">
        <v>7.5776058300132565E-2</v>
      </c>
    </row>
    <row r="318" spans="1:10" x14ac:dyDescent="0.25">
      <c r="A318" s="91">
        <v>44501</v>
      </c>
      <c r="B318" s="58">
        <v>0</v>
      </c>
      <c r="C318" s="58">
        <v>0</v>
      </c>
      <c r="D318" s="58">
        <v>1595.2840200000001</v>
      </c>
      <c r="E318" s="58">
        <v>1967.8293802143708</v>
      </c>
      <c r="F318" s="58">
        <v>1484.65372</v>
      </c>
      <c r="G318" s="58">
        <v>1345.4939015326481</v>
      </c>
      <c r="H318" s="92">
        <v>0.23352917445657773</v>
      </c>
      <c r="I318" s="92">
        <v>-9.3732172420213811E-2</v>
      </c>
      <c r="J318" s="92">
        <v>7.5776058300132565E-2</v>
      </c>
    </row>
    <row r="319" spans="1:10" x14ac:dyDescent="0.25">
      <c r="A319" s="91">
        <v>44531</v>
      </c>
      <c r="B319" s="58">
        <v>0</v>
      </c>
      <c r="C319" s="58">
        <v>0</v>
      </c>
      <c r="D319" s="58">
        <v>1798.1901000000003</v>
      </c>
      <c r="E319" s="58">
        <v>2218.1199495689912</v>
      </c>
      <c r="F319" s="58">
        <v>1673.4886000000001</v>
      </c>
      <c r="G319" s="58">
        <v>1516.6288780015377</v>
      </c>
      <c r="H319" s="92">
        <v>0.23352917445657773</v>
      </c>
      <c r="I319" s="92">
        <v>-9.3732172420213922E-2</v>
      </c>
      <c r="J319" s="92">
        <v>7.5776058300132565E-2</v>
      </c>
    </row>
    <row r="320" spans="1:10" x14ac:dyDescent="0.25">
      <c r="A320" s="91">
        <v>44562</v>
      </c>
      <c r="B320" s="58">
        <v>0</v>
      </c>
      <c r="C320" s="58">
        <v>0</v>
      </c>
      <c r="D320" s="58">
        <v>2144.82132</v>
      </c>
      <c r="E320" s="58">
        <v>2645.6996722164677</v>
      </c>
      <c r="F320" s="58">
        <v>1996.08152</v>
      </c>
      <c r="G320" s="58">
        <v>1808.9844628025576</v>
      </c>
      <c r="H320" s="92">
        <v>0.23352917445657795</v>
      </c>
      <c r="I320" s="92">
        <v>-9.3732172420213811E-2</v>
      </c>
      <c r="J320" s="92">
        <v>7.5776058300132787E-2</v>
      </c>
    </row>
    <row r="321" spans="1:10" x14ac:dyDescent="0.25">
      <c r="A321" s="91">
        <v>44593</v>
      </c>
      <c r="B321" s="58">
        <v>0</v>
      </c>
      <c r="C321" s="58">
        <v>0</v>
      </c>
      <c r="D321" s="58">
        <v>2898.8905500000001</v>
      </c>
      <c r="E321" s="58">
        <v>3575.8660669814749</v>
      </c>
      <c r="F321" s="58">
        <v>2697.8572999999997</v>
      </c>
      <c r="G321" s="58">
        <v>2444.9812743912671</v>
      </c>
      <c r="H321" s="92">
        <v>0.23352917445657773</v>
      </c>
      <c r="I321" s="92">
        <v>-9.3732172420213811E-2</v>
      </c>
      <c r="J321" s="92">
        <v>7.5776058300132787E-2</v>
      </c>
    </row>
    <row r="322" spans="1:10" x14ac:dyDescent="0.25">
      <c r="A322" s="91">
        <v>44621</v>
      </c>
      <c r="B322" s="58">
        <v>0</v>
      </c>
      <c r="C322" s="58">
        <v>0</v>
      </c>
      <c r="D322" s="58">
        <v>2302.85394</v>
      </c>
      <c r="E322" s="58">
        <v>2840.6375195022779</v>
      </c>
      <c r="F322" s="58">
        <v>2143.1548400000001</v>
      </c>
      <c r="G322" s="58">
        <v>1942.2722810139041</v>
      </c>
      <c r="H322" s="92">
        <v>0.23352917445657795</v>
      </c>
      <c r="I322" s="92">
        <v>-9.3732172420213922E-2</v>
      </c>
      <c r="J322" s="92">
        <v>7.5776058300132787E-2</v>
      </c>
    </row>
    <row r="323" spans="1:10" x14ac:dyDescent="0.25">
      <c r="A323" s="91">
        <v>44652</v>
      </c>
      <c r="B323" s="58">
        <v>0</v>
      </c>
      <c r="C323" s="58">
        <v>0</v>
      </c>
      <c r="D323" s="58">
        <v>2286.9206100000001</v>
      </c>
      <c r="E323" s="58">
        <v>2820.9832921010338</v>
      </c>
      <c r="F323" s="58">
        <v>2128.3264600000002</v>
      </c>
      <c r="G323" s="58">
        <v>1928.8337972847767</v>
      </c>
      <c r="H323" s="92">
        <v>0.23352917445657795</v>
      </c>
      <c r="I323" s="92">
        <v>-9.3732172420213922E-2</v>
      </c>
      <c r="J323" s="92">
        <v>7.5776058300132787E-2</v>
      </c>
    </row>
    <row r="324" spans="1:10" x14ac:dyDescent="0.25">
      <c r="A324" s="91">
        <v>44682</v>
      </c>
      <c r="B324" s="58">
        <v>0</v>
      </c>
      <c r="C324" s="58">
        <v>0</v>
      </c>
      <c r="D324" s="58">
        <v>1833.30846</v>
      </c>
      <c r="E324" s="58">
        <v>2261.43947118806</v>
      </c>
      <c r="F324" s="58">
        <v>1706.17156</v>
      </c>
      <c r="G324" s="58">
        <v>1546.2483931596148</v>
      </c>
      <c r="H324" s="92">
        <v>0.23352917445657773</v>
      </c>
      <c r="I324" s="92">
        <v>-9.3732172420213811E-2</v>
      </c>
      <c r="J324" s="92">
        <v>7.5776058300132787E-2</v>
      </c>
    </row>
    <row r="325" spans="1:10" x14ac:dyDescent="0.25">
      <c r="A325" s="91">
        <v>44713</v>
      </c>
      <c r="B325" s="58">
        <v>0</v>
      </c>
      <c r="C325" s="58">
        <v>0</v>
      </c>
      <c r="D325" s="58">
        <v>1415.1398400000003</v>
      </c>
      <c r="E325" s="58">
        <v>1745.6162785758138</v>
      </c>
      <c r="F325" s="58">
        <v>1317.00224</v>
      </c>
      <c r="G325" s="58">
        <v>1193.5567589625123</v>
      </c>
      <c r="H325" s="92">
        <v>0.23352917445657773</v>
      </c>
      <c r="I325" s="92">
        <v>-9.3732172420213811E-2</v>
      </c>
      <c r="J325" s="92">
        <v>7.5776058300132565E-2</v>
      </c>
    </row>
    <row r="326" spans="1:10" x14ac:dyDescent="0.25">
      <c r="A326" s="91">
        <v>44743</v>
      </c>
      <c r="B326" s="58">
        <v>0</v>
      </c>
      <c r="C326" s="58">
        <v>0</v>
      </c>
      <c r="D326" s="58">
        <v>1234.6704900000002</v>
      </c>
      <c r="E326" s="58">
        <v>1523.0020702555985</v>
      </c>
      <c r="F326" s="58">
        <v>1149.0481400000001</v>
      </c>
      <c r="G326" s="58">
        <v>1041.345361622394</v>
      </c>
      <c r="H326" s="92">
        <v>0.23352917445657773</v>
      </c>
      <c r="I326" s="92">
        <v>-9.3732172420213922E-2</v>
      </c>
      <c r="J326" s="92">
        <v>7.5776058300132565E-2</v>
      </c>
    </row>
    <row r="327" spans="1:10" x14ac:dyDescent="0.25">
      <c r="A327" s="90" t="s">
        <v>39</v>
      </c>
      <c r="B327" s="58">
        <v>0</v>
      </c>
      <c r="C327" s="58">
        <v>0</v>
      </c>
      <c r="D327" s="58">
        <v>2737.8687800000002</v>
      </c>
      <c r="E327" s="58">
        <v>3223.6724989880558</v>
      </c>
      <c r="F327" s="58">
        <v>1067.9459800000002</v>
      </c>
      <c r="G327" s="58">
        <v>967.84508326716559</v>
      </c>
      <c r="H327" s="92">
        <v>0.17743864225226158</v>
      </c>
      <c r="I327" s="92">
        <v>-9.3732172420214144E-2</v>
      </c>
      <c r="J327" s="92">
        <v>0.10134566356435615</v>
      </c>
    </row>
    <row r="328" spans="1:10" x14ac:dyDescent="0.25">
      <c r="A328" s="91">
        <v>44409</v>
      </c>
      <c r="B328" s="58">
        <v>0</v>
      </c>
      <c r="C328" s="58">
        <v>0</v>
      </c>
      <c r="D328" s="58">
        <v>225.76362</v>
      </c>
      <c r="E328" s="58">
        <v>265.82281020275553</v>
      </c>
      <c r="F328" s="58">
        <v>88.062419999999989</v>
      </c>
      <c r="G328" s="58">
        <v>79.808138064818706</v>
      </c>
      <c r="H328" s="92">
        <v>0.17743864225226158</v>
      </c>
      <c r="I328" s="92">
        <v>-9.3732172420213811E-2</v>
      </c>
      <c r="J328" s="92">
        <v>0.10134566356435637</v>
      </c>
    </row>
    <row r="329" spans="1:10" x14ac:dyDescent="0.25">
      <c r="A329" s="91">
        <v>44440</v>
      </c>
      <c r="B329" s="58">
        <v>0</v>
      </c>
      <c r="C329" s="58">
        <v>0</v>
      </c>
      <c r="D329" s="58">
        <v>214.90214000000003</v>
      </c>
      <c r="E329" s="58">
        <v>253.03408393870546</v>
      </c>
      <c r="F329" s="58">
        <v>83.82574000000001</v>
      </c>
      <c r="G329" s="58">
        <v>75.968571285067995</v>
      </c>
      <c r="H329" s="92">
        <v>0.17743864225226158</v>
      </c>
      <c r="I329" s="92">
        <v>-9.3732172420213811E-2</v>
      </c>
      <c r="J329" s="92">
        <v>0.10134566356435637</v>
      </c>
    </row>
    <row r="330" spans="1:10" x14ac:dyDescent="0.25">
      <c r="A330" s="91">
        <v>44470</v>
      </c>
      <c r="B330" s="58">
        <v>0</v>
      </c>
      <c r="C330" s="58">
        <v>0</v>
      </c>
      <c r="D330" s="58">
        <v>189.30008000000001</v>
      </c>
      <c r="E330" s="58">
        <v>222.88922917344451</v>
      </c>
      <c r="F330" s="58">
        <v>73.839280000000002</v>
      </c>
      <c r="G330" s="58">
        <v>66.918163875655551</v>
      </c>
      <c r="H330" s="92">
        <v>0.17743864225226158</v>
      </c>
      <c r="I330" s="92">
        <v>-9.3732172420213922E-2</v>
      </c>
      <c r="J330" s="92">
        <v>0.10134566356435615</v>
      </c>
    </row>
    <row r="331" spans="1:10" x14ac:dyDescent="0.25">
      <c r="A331" s="91">
        <v>44501</v>
      </c>
      <c r="B331" s="58">
        <v>0</v>
      </c>
      <c r="C331" s="58">
        <v>0</v>
      </c>
      <c r="D331" s="58">
        <v>189.30008000000001</v>
      </c>
      <c r="E331" s="58">
        <v>222.88922917344451</v>
      </c>
      <c r="F331" s="58">
        <v>73.839280000000002</v>
      </c>
      <c r="G331" s="58">
        <v>66.918163875655551</v>
      </c>
      <c r="H331" s="92">
        <v>0.17743864225226158</v>
      </c>
      <c r="I331" s="92">
        <v>-9.3732172420213922E-2</v>
      </c>
      <c r="J331" s="92">
        <v>0.10134566356435615</v>
      </c>
    </row>
    <row r="332" spans="1:10" x14ac:dyDescent="0.25">
      <c r="A332" s="91">
        <v>44531</v>
      </c>
      <c r="B332" s="58">
        <v>0</v>
      </c>
      <c r="C332" s="58">
        <v>0</v>
      </c>
      <c r="D332" s="58">
        <v>267.65789999999998</v>
      </c>
      <c r="E332" s="58">
        <v>315.1507543640916</v>
      </c>
      <c r="F332" s="58">
        <v>104.40389999999999</v>
      </c>
      <c r="G332" s="58">
        <v>94.617895643857224</v>
      </c>
      <c r="H332" s="92">
        <v>0.17743864225226158</v>
      </c>
      <c r="I332" s="92">
        <v>-9.3732172420213922E-2</v>
      </c>
      <c r="J332" s="92">
        <v>0.10134566356435659</v>
      </c>
    </row>
    <row r="333" spans="1:10" x14ac:dyDescent="0.25">
      <c r="A333" s="91">
        <v>44562</v>
      </c>
      <c r="B333" s="58">
        <v>0</v>
      </c>
      <c r="C333" s="58">
        <v>0</v>
      </c>
      <c r="D333" s="58">
        <v>346.79154000000005</v>
      </c>
      <c r="E333" s="58">
        <v>408.32576000217091</v>
      </c>
      <c r="F333" s="58">
        <v>135.27114</v>
      </c>
      <c r="G333" s="58">
        <v>122.59188218204112</v>
      </c>
      <c r="H333" s="92">
        <v>0.17743864225226158</v>
      </c>
      <c r="I333" s="92">
        <v>-9.3732172420213811E-2</v>
      </c>
      <c r="J333" s="92">
        <v>0.10134566356435637</v>
      </c>
    </row>
    <row r="334" spans="1:10" x14ac:dyDescent="0.25">
      <c r="A334" s="91">
        <v>44593</v>
      </c>
      <c r="B334" s="58">
        <v>0</v>
      </c>
      <c r="C334" s="58">
        <v>0</v>
      </c>
      <c r="D334" s="58">
        <v>429.02846000000005</v>
      </c>
      <c r="E334" s="58">
        <v>505.15468742997876</v>
      </c>
      <c r="F334" s="58">
        <v>167.34886000000003</v>
      </c>
      <c r="G334" s="58">
        <v>151.66288780015378</v>
      </c>
      <c r="H334" s="92">
        <v>0.17743864225226158</v>
      </c>
      <c r="I334" s="92">
        <v>-9.3732172420213922E-2</v>
      </c>
      <c r="J334" s="92">
        <v>0.10134566356435637</v>
      </c>
    </row>
    <row r="335" spans="1:10" x14ac:dyDescent="0.25">
      <c r="A335" s="91">
        <v>44621</v>
      </c>
      <c r="B335" s="58">
        <v>0</v>
      </c>
      <c r="C335" s="58">
        <v>0</v>
      </c>
      <c r="D335" s="58">
        <v>184.64516</v>
      </c>
      <c r="E335" s="58">
        <v>217.40834648885161</v>
      </c>
      <c r="F335" s="58">
        <v>72.023560000000003</v>
      </c>
      <c r="G335" s="58">
        <v>65.272635255762381</v>
      </c>
      <c r="H335" s="92">
        <v>0.17743864225226158</v>
      </c>
      <c r="I335" s="92">
        <v>-9.3732172420213922E-2</v>
      </c>
      <c r="J335" s="92">
        <v>0.10134566356435637</v>
      </c>
    </row>
    <row r="336" spans="1:10" x14ac:dyDescent="0.25">
      <c r="A336" s="91">
        <v>44652</v>
      </c>
      <c r="B336" s="58">
        <v>0</v>
      </c>
      <c r="C336" s="58">
        <v>0</v>
      </c>
      <c r="D336" s="58">
        <v>232.74600000000001</v>
      </c>
      <c r="E336" s="58">
        <v>274.0441342296449</v>
      </c>
      <c r="F336" s="58">
        <v>90.786000000000001</v>
      </c>
      <c r="G336" s="58">
        <v>82.276430994658469</v>
      </c>
      <c r="H336" s="92">
        <v>0.17743864225226158</v>
      </c>
      <c r="I336" s="92">
        <v>-9.3732172420213811E-2</v>
      </c>
      <c r="J336" s="92">
        <v>0.10134566356435637</v>
      </c>
    </row>
    <row r="337" spans="1:10" x14ac:dyDescent="0.25">
      <c r="A337" s="91">
        <v>44682</v>
      </c>
      <c r="B337" s="58">
        <v>0</v>
      </c>
      <c r="C337" s="58">
        <v>0</v>
      </c>
      <c r="D337" s="58">
        <v>153.61236000000002</v>
      </c>
      <c r="E337" s="58">
        <v>180.86912859156564</v>
      </c>
      <c r="F337" s="58">
        <v>59.918760000000006</v>
      </c>
      <c r="G337" s="58">
        <v>54.302444456474589</v>
      </c>
      <c r="H337" s="92">
        <v>0.17743864225226158</v>
      </c>
      <c r="I337" s="92">
        <v>-9.3732172420213922E-2</v>
      </c>
      <c r="J337" s="92">
        <v>0.10134566356435615</v>
      </c>
    </row>
    <row r="338" spans="1:10" x14ac:dyDescent="0.25">
      <c r="A338" s="91">
        <v>44713</v>
      </c>
      <c r="B338" s="58">
        <v>0</v>
      </c>
      <c r="C338" s="58">
        <v>0</v>
      </c>
      <c r="D338" s="58">
        <v>152.06072</v>
      </c>
      <c r="E338" s="58">
        <v>179.04216769670134</v>
      </c>
      <c r="F338" s="58">
        <v>59.313520000000004</v>
      </c>
      <c r="G338" s="58">
        <v>53.753934916510197</v>
      </c>
      <c r="H338" s="92">
        <v>0.1774386422522618</v>
      </c>
      <c r="I338" s="92">
        <v>-9.3732172420213922E-2</v>
      </c>
      <c r="J338" s="92">
        <v>0.10134566356435637</v>
      </c>
    </row>
    <row r="339" spans="1:10" x14ac:dyDescent="0.25">
      <c r="A339" s="91">
        <v>44743</v>
      </c>
      <c r="B339" s="58">
        <v>0</v>
      </c>
      <c r="C339" s="58">
        <v>0</v>
      </c>
      <c r="D339" s="58">
        <v>152.06072</v>
      </c>
      <c r="E339" s="58">
        <v>179.04216769670134</v>
      </c>
      <c r="F339" s="58">
        <v>59.313520000000004</v>
      </c>
      <c r="G339" s="58">
        <v>53.753934916510197</v>
      </c>
      <c r="H339" s="92">
        <v>0.1774386422522618</v>
      </c>
      <c r="I339" s="92">
        <v>-9.3732172420213922E-2</v>
      </c>
      <c r="J339" s="92">
        <v>0.10134566356435637</v>
      </c>
    </row>
    <row r="340" spans="1:10" x14ac:dyDescent="0.25">
      <c r="A340" s="90" t="s">
        <v>36</v>
      </c>
      <c r="B340" s="58">
        <v>0</v>
      </c>
      <c r="C340" s="58">
        <v>0</v>
      </c>
      <c r="D340" s="58">
        <v>5267.731600000001</v>
      </c>
      <c r="E340" s="58">
        <v>6124.0438457208593</v>
      </c>
      <c r="F340" s="58">
        <v>2226.6998000000003</v>
      </c>
      <c r="G340" s="58">
        <v>2017.2542578323382</v>
      </c>
      <c r="H340" s="92">
        <v>0.16255806307991438</v>
      </c>
      <c r="I340" s="92">
        <v>-9.4060969587216992E-2</v>
      </c>
      <c r="J340" s="92">
        <v>8.6312979468088358E-2</v>
      </c>
    </row>
    <row r="341" spans="1:10" x14ac:dyDescent="0.25">
      <c r="A341" s="91">
        <v>44409</v>
      </c>
      <c r="B341" s="58">
        <v>0</v>
      </c>
      <c r="C341" s="58">
        <v>0</v>
      </c>
      <c r="D341" s="58">
        <v>468.51535999999999</v>
      </c>
      <c r="E341" s="58">
        <v>544.67630944478879</v>
      </c>
      <c r="F341" s="58">
        <v>198.04408000000004</v>
      </c>
      <c r="G341" s="58">
        <v>179.41586181419166</v>
      </c>
      <c r="H341" s="92">
        <v>0.16255806307991438</v>
      </c>
      <c r="I341" s="92">
        <v>-9.4060969587216992E-2</v>
      </c>
      <c r="J341" s="92">
        <v>8.6312979468088358E-2</v>
      </c>
    </row>
    <row r="342" spans="1:10" x14ac:dyDescent="0.25">
      <c r="A342" s="91">
        <v>44440</v>
      </c>
      <c r="B342" s="58">
        <v>0</v>
      </c>
      <c r="C342" s="58">
        <v>0</v>
      </c>
      <c r="D342" s="58">
        <v>469.74184000000002</v>
      </c>
      <c r="E342" s="58">
        <v>546.10216365799511</v>
      </c>
      <c r="F342" s="58">
        <v>198.56252000000003</v>
      </c>
      <c r="G342" s="58">
        <v>179.88553684511888</v>
      </c>
      <c r="H342" s="92">
        <v>0.16255806307991438</v>
      </c>
      <c r="I342" s="92">
        <v>-9.4060969587216881E-2</v>
      </c>
      <c r="J342" s="92">
        <v>8.6312979468088358E-2</v>
      </c>
    </row>
    <row r="343" spans="1:10" x14ac:dyDescent="0.25">
      <c r="A343" s="91">
        <v>44470</v>
      </c>
      <c r="B343" s="58">
        <v>0</v>
      </c>
      <c r="C343" s="58">
        <v>0</v>
      </c>
      <c r="D343" s="58">
        <v>415.77672000000001</v>
      </c>
      <c r="E343" s="58">
        <v>483.36457827691999</v>
      </c>
      <c r="F343" s="58">
        <v>175.75116000000003</v>
      </c>
      <c r="G343" s="58">
        <v>159.21983548432192</v>
      </c>
      <c r="H343" s="92">
        <v>0.16255806307991461</v>
      </c>
      <c r="I343" s="92">
        <v>-9.4060969587216992E-2</v>
      </c>
      <c r="J343" s="92">
        <v>8.6312979468088358E-2</v>
      </c>
    </row>
    <row r="344" spans="1:10" x14ac:dyDescent="0.25">
      <c r="A344" s="91">
        <v>44501</v>
      </c>
      <c r="B344" s="58">
        <v>0</v>
      </c>
      <c r="C344" s="58">
        <v>0</v>
      </c>
      <c r="D344" s="58">
        <v>413.32376000000005</v>
      </c>
      <c r="E344" s="58">
        <v>480.51286985050746</v>
      </c>
      <c r="F344" s="58">
        <v>174.71428000000003</v>
      </c>
      <c r="G344" s="58">
        <v>158.28048542246751</v>
      </c>
      <c r="H344" s="92">
        <v>0.16255806307991438</v>
      </c>
      <c r="I344" s="92">
        <v>-9.4060969587216992E-2</v>
      </c>
      <c r="J344" s="92">
        <v>8.6312979468088136E-2</v>
      </c>
    </row>
    <row r="345" spans="1:10" x14ac:dyDescent="0.25">
      <c r="A345" s="91">
        <v>44531</v>
      </c>
      <c r="B345" s="58">
        <v>0</v>
      </c>
      <c r="C345" s="58">
        <v>0</v>
      </c>
      <c r="D345" s="58">
        <v>402.28544000000005</v>
      </c>
      <c r="E345" s="58">
        <v>467.68018193165113</v>
      </c>
      <c r="F345" s="58">
        <v>170.04832000000002</v>
      </c>
      <c r="G345" s="58">
        <v>154.05341014412269</v>
      </c>
      <c r="H345" s="92">
        <v>0.16255806307991438</v>
      </c>
      <c r="I345" s="92">
        <v>-9.4060969587216881E-2</v>
      </c>
      <c r="J345" s="92">
        <v>8.6312979468088136E-2</v>
      </c>
    </row>
    <row r="346" spans="1:10" x14ac:dyDescent="0.25">
      <c r="A346" s="91">
        <v>44562</v>
      </c>
      <c r="B346" s="58">
        <v>0</v>
      </c>
      <c r="C346" s="58">
        <v>0</v>
      </c>
      <c r="D346" s="58">
        <v>447.66519999999997</v>
      </c>
      <c r="E346" s="58">
        <v>520.43678782028246</v>
      </c>
      <c r="F346" s="58">
        <v>189.23060000000001</v>
      </c>
      <c r="G346" s="58">
        <v>171.4313862884292</v>
      </c>
      <c r="H346" s="92">
        <v>0.16255806307991438</v>
      </c>
      <c r="I346" s="92">
        <v>-9.4060969587216992E-2</v>
      </c>
      <c r="J346" s="92">
        <v>8.6312979468088136E-2</v>
      </c>
    </row>
    <row r="347" spans="1:10" x14ac:dyDescent="0.25">
      <c r="A347" s="91">
        <v>44593</v>
      </c>
      <c r="B347" s="58">
        <v>0</v>
      </c>
      <c r="C347" s="58">
        <v>0</v>
      </c>
      <c r="D347" s="58">
        <v>596.06928000000005</v>
      </c>
      <c r="E347" s="58">
        <v>692.96514761823914</v>
      </c>
      <c r="F347" s="58">
        <v>251.96184000000002</v>
      </c>
      <c r="G347" s="58">
        <v>228.26206503062079</v>
      </c>
      <c r="H347" s="92">
        <v>0.16255806307991438</v>
      </c>
      <c r="I347" s="92">
        <v>-9.4060969587216992E-2</v>
      </c>
      <c r="J347" s="92">
        <v>8.6312979468088136E-2</v>
      </c>
    </row>
    <row r="348" spans="1:10" x14ac:dyDescent="0.25">
      <c r="A348" s="91">
        <v>44621</v>
      </c>
      <c r="B348" s="58">
        <v>0</v>
      </c>
      <c r="C348" s="58">
        <v>0</v>
      </c>
      <c r="D348" s="58">
        <v>431.72095999999999</v>
      </c>
      <c r="E348" s="58">
        <v>501.90068304860119</v>
      </c>
      <c r="F348" s="58">
        <v>182.49088</v>
      </c>
      <c r="G348" s="58">
        <v>165.32561088637556</v>
      </c>
      <c r="H348" s="92">
        <v>0.16255806307991438</v>
      </c>
      <c r="I348" s="92">
        <v>-9.4060969587216881E-2</v>
      </c>
      <c r="J348" s="92">
        <v>8.6312979468088358E-2</v>
      </c>
    </row>
    <row r="349" spans="1:10" x14ac:dyDescent="0.25">
      <c r="A349" s="91">
        <v>44652</v>
      </c>
      <c r="B349" s="58">
        <v>0</v>
      </c>
      <c r="C349" s="58">
        <v>0</v>
      </c>
      <c r="D349" s="58">
        <v>518.80103999999994</v>
      </c>
      <c r="E349" s="58">
        <v>603.13633218624523</v>
      </c>
      <c r="F349" s="58">
        <v>219.30012000000002</v>
      </c>
      <c r="G349" s="58">
        <v>198.67253808220698</v>
      </c>
      <c r="H349" s="92">
        <v>0.16255806307991461</v>
      </c>
      <c r="I349" s="92">
        <v>-9.4060969587216992E-2</v>
      </c>
      <c r="J349" s="92">
        <v>8.6312979468088358E-2</v>
      </c>
    </row>
    <row r="350" spans="1:10" x14ac:dyDescent="0.25">
      <c r="A350" s="91">
        <v>44682</v>
      </c>
      <c r="B350" s="58">
        <v>0</v>
      </c>
      <c r="C350" s="58">
        <v>0</v>
      </c>
      <c r="D350" s="58">
        <v>366.71751999999998</v>
      </c>
      <c r="E350" s="58">
        <v>426.33040974866975</v>
      </c>
      <c r="F350" s="58">
        <v>155.01356000000001</v>
      </c>
      <c r="G350" s="58">
        <v>140.43283424723379</v>
      </c>
      <c r="H350" s="92">
        <v>0.16255806307991438</v>
      </c>
      <c r="I350" s="92">
        <v>-9.4060969587216881E-2</v>
      </c>
      <c r="J350" s="92">
        <v>8.6312979468088136E-2</v>
      </c>
    </row>
    <row r="351" spans="1:10" x14ac:dyDescent="0.25">
      <c r="A351" s="91">
        <v>44713</v>
      </c>
      <c r="B351" s="58">
        <v>0</v>
      </c>
      <c r="C351" s="58">
        <v>0</v>
      </c>
      <c r="D351" s="58">
        <v>361.8116</v>
      </c>
      <c r="E351" s="58">
        <v>420.62699289584475</v>
      </c>
      <c r="F351" s="58">
        <v>152.93980000000002</v>
      </c>
      <c r="G351" s="58">
        <v>138.55413412352496</v>
      </c>
      <c r="H351" s="92">
        <v>0.16255806307991438</v>
      </c>
      <c r="I351" s="92">
        <v>-9.4060969587216992E-2</v>
      </c>
      <c r="J351" s="92">
        <v>8.6312979468088358E-2</v>
      </c>
    </row>
    <row r="352" spans="1:10" x14ac:dyDescent="0.25">
      <c r="A352" s="91">
        <v>44743</v>
      </c>
      <c r="B352" s="58">
        <v>0</v>
      </c>
      <c r="C352" s="58">
        <v>0</v>
      </c>
      <c r="D352" s="58">
        <v>375.30288000000002</v>
      </c>
      <c r="E352" s="58">
        <v>436.31138924111355</v>
      </c>
      <c r="F352" s="58">
        <v>158.64264</v>
      </c>
      <c r="G352" s="58">
        <v>143.72055946372421</v>
      </c>
      <c r="H352" s="92">
        <v>0.16255806307991438</v>
      </c>
      <c r="I352" s="92">
        <v>-9.4060969587216769E-2</v>
      </c>
      <c r="J352" s="92">
        <v>8.6312979468088358E-2</v>
      </c>
    </row>
    <row r="353" spans="1:10" x14ac:dyDescent="0.25">
      <c r="A353" s="84" t="s">
        <v>23</v>
      </c>
      <c r="B353" s="58">
        <v>0</v>
      </c>
      <c r="C353" s="58">
        <v>0</v>
      </c>
      <c r="D353" s="58">
        <v>1872947.7860004001</v>
      </c>
      <c r="E353" s="58">
        <v>2274914.6240080046</v>
      </c>
      <c r="F353" s="58">
        <v>1485054.8058359998</v>
      </c>
      <c r="G353" s="58">
        <v>1345904.0939497696</v>
      </c>
      <c r="H353" s="92">
        <v>0.21461721517928112</v>
      </c>
      <c r="I353" s="92">
        <v>-9.3700724942536118E-2</v>
      </c>
      <c r="J353" s="92">
        <v>7.8265611456139084E-2</v>
      </c>
    </row>
    <row r="354" spans="1:10" x14ac:dyDescent="0.25">
      <c r="A354" s="85" t="s">
        <v>26</v>
      </c>
      <c r="B354" s="58">
        <v>0</v>
      </c>
      <c r="C354" s="58">
        <v>0</v>
      </c>
      <c r="D354" s="58">
        <v>1872947.7860004001</v>
      </c>
      <c r="E354" s="58">
        <v>2274914.6240080046</v>
      </c>
      <c r="F354" s="58">
        <v>1485054.8058359998</v>
      </c>
      <c r="G354" s="58">
        <v>1345904.0939497696</v>
      </c>
      <c r="H354" s="92">
        <v>0.21461721517928112</v>
      </c>
      <c r="I354" s="92">
        <v>-9.3700724942536118E-2</v>
      </c>
      <c r="J354" s="92">
        <v>7.8265611456139084E-2</v>
      </c>
    </row>
    <row r="355" spans="1:10" x14ac:dyDescent="0.25">
      <c r="A355" s="86" t="s">
        <v>40</v>
      </c>
      <c r="B355" s="58">
        <v>0</v>
      </c>
      <c r="C355" s="58">
        <v>0</v>
      </c>
      <c r="D355" s="58">
        <v>1204555.5464399999</v>
      </c>
      <c r="E355" s="58">
        <v>1463073.9033457083</v>
      </c>
      <c r="F355" s="58">
        <v>955088.55960000004</v>
      </c>
      <c r="G355" s="58">
        <v>865537.21518281102</v>
      </c>
      <c r="H355" s="92">
        <v>0.21461721517928001</v>
      </c>
      <c r="I355" s="92">
        <v>-9.3762346451615075E-2</v>
      </c>
      <c r="J355" s="92">
        <v>7.8238359744533748E-2</v>
      </c>
    </row>
    <row r="356" spans="1:10" x14ac:dyDescent="0.25">
      <c r="A356" s="87" t="s">
        <v>25</v>
      </c>
      <c r="B356" s="58">
        <v>0</v>
      </c>
      <c r="C356" s="58">
        <v>0</v>
      </c>
      <c r="D356" s="58">
        <v>1204555.5464399999</v>
      </c>
      <c r="E356" s="58">
        <v>1463073.9033457083</v>
      </c>
      <c r="F356" s="58">
        <v>955088.55960000004</v>
      </c>
      <c r="G356" s="58">
        <v>865537.21518281102</v>
      </c>
      <c r="H356" s="92">
        <v>0.21461721517928001</v>
      </c>
      <c r="I356" s="92">
        <v>-9.3762346451615075E-2</v>
      </c>
      <c r="J356" s="92">
        <v>7.8238359744533748E-2</v>
      </c>
    </row>
    <row r="357" spans="1:10" x14ac:dyDescent="0.25">
      <c r="A357" s="88" t="s">
        <v>25</v>
      </c>
      <c r="B357" s="58">
        <v>0</v>
      </c>
      <c r="C357" s="58">
        <v>0</v>
      </c>
      <c r="D357" s="58">
        <v>1204555.5464399999</v>
      </c>
      <c r="E357" s="58">
        <v>1463073.9033457083</v>
      </c>
      <c r="F357" s="58">
        <v>955088.55960000004</v>
      </c>
      <c r="G357" s="58">
        <v>865537.21518281102</v>
      </c>
      <c r="H357" s="92">
        <v>0.21461721517928001</v>
      </c>
      <c r="I357" s="92">
        <v>-9.3762346451615075E-2</v>
      </c>
      <c r="J357" s="92">
        <v>7.8238359744533748E-2</v>
      </c>
    </row>
    <row r="358" spans="1:10" x14ac:dyDescent="0.25">
      <c r="A358" s="89" t="s">
        <v>25</v>
      </c>
      <c r="B358" s="58">
        <v>0</v>
      </c>
      <c r="C358" s="58">
        <v>0</v>
      </c>
      <c r="D358" s="58">
        <v>1204555.5464399999</v>
      </c>
      <c r="E358" s="58">
        <v>1463073.9033457083</v>
      </c>
      <c r="F358" s="58">
        <v>955088.55960000004</v>
      </c>
      <c r="G358" s="58">
        <v>865537.21518281102</v>
      </c>
      <c r="H358" s="92">
        <v>0.21461721517928001</v>
      </c>
      <c r="I358" s="92">
        <v>-9.3762346451615075E-2</v>
      </c>
      <c r="J358" s="92">
        <v>7.8238359744533748E-2</v>
      </c>
    </row>
    <row r="359" spans="1:10" x14ac:dyDescent="0.25">
      <c r="A359" s="90" t="s">
        <v>25</v>
      </c>
      <c r="B359" s="58">
        <v>0</v>
      </c>
      <c r="C359" s="58">
        <v>0</v>
      </c>
      <c r="D359" s="58">
        <v>1204555.5464399999</v>
      </c>
      <c r="E359" s="58">
        <v>1463073.9033457083</v>
      </c>
      <c r="F359" s="58">
        <v>955088.55960000004</v>
      </c>
      <c r="G359" s="58">
        <v>865537.21518281102</v>
      </c>
      <c r="H359" s="92">
        <v>0.21461721517928001</v>
      </c>
      <c r="I359" s="92">
        <v>-9.3762346451615075E-2</v>
      </c>
      <c r="J359" s="92">
        <v>7.8238359744533748E-2</v>
      </c>
    </row>
    <row r="360" spans="1:10" x14ac:dyDescent="0.25">
      <c r="A360" s="91">
        <v>44409</v>
      </c>
      <c r="B360" s="58">
        <v>0</v>
      </c>
      <c r="C360" s="58">
        <v>0</v>
      </c>
      <c r="D360" s="58">
        <v>86267.556359999988</v>
      </c>
      <c r="E360" s="58">
        <v>104782.05906630478</v>
      </c>
      <c r="F360" s="58">
        <v>68401.292400000006</v>
      </c>
      <c r="G360" s="58">
        <v>61987.826724252991</v>
      </c>
      <c r="H360" s="92">
        <v>0.21461721517928001</v>
      </c>
      <c r="I360" s="92">
        <v>-9.3762346451614964E-2</v>
      </c>
      <c r="J360" s="92">
        <v>7.823835974453397E-2</v>
      </c>
    </row>
    <row r="361" spans="1:10" x14ac:dyDescent="0.25">
      <c r="A361" s="91">
        <v>44440</v>
      </c>
      <c r="B361" s="58">
        <v>0</v>
      </c>
      <c r="C361" s="58">
        <v>0</v>
      </c>
      <c r="D361" s="58">
        <v>82836.731459999995</v>
      </c>
      <c r="E361" s="58">
        <v>100614.92008049904</v>
      </c>
      <c r="F361" s="58">
        <v>65681.001400000008</v>
      </c>
      <c r="G361" s="58">
        <v>59522.596591444199</v>
      </c>
      <c r="H361" s="92">
        <v>0.21461721517928001</v>
      </c>
      <c r="I361" s="92">
        <v>-9.3762346451614964E-2</v>
      </c>
      <c r="J361" s="92">
        <v>7.8238359744533748E-2</v>
      </c>
    </row>
    <row r="362" spans="1:10" x14ac:dyDescent="0.25">
      <c r="A362" s="91">
        <v>44470</v>
      </c>
      <c r="B362" s="58">
        <v>0</v>
      </c>
      <c r="C362" s="58">
        <v>0</v>
      </c>
      <c r="D362" s="58">
        <v>100664.48639999998</v>
      </c>
      <c r="E362" s="58">
        <v>122268.81813862048</v>
      </c>
      <c r="F362" s="58">
        <v>79816.576000000001</v>
      </c>
      <c r="G362" s="58">
        <v>72332.786548506352</v>
      </c>
      <c r="H362" s="92">
        <v>0.21461721517928001</v>
      </c>
      <c r="I362" s="92">
        <v>-9.3762346451614853E-2</v>
      </c>
      <c r="J362" s="92">
        <v>7.8238359744533748E-2</v>
      </c>
    </row>
    <row r="363" spans="1:10" x14ac:dyDescent="0.25">
      <c r="A363" s="91">
        <v>44501</v>
      </c>
      <c r="B363" s="58">
        <v>0</v>
      </c>
      <c r="C363" s="58">
        <v>0</v>
      </c>
      <c r="D363" s="58">
        <v>85790.030819999985</v>
      </c>
      <c r="E363" s="58">
        <v>104202.04832473298</v>
      </c>
      <c r="F363" s="58">
        <v>68022.663799999995</v>
      </c>
      <c r="G363" s="58">
        <v>61644.699230222686</v>
      </c>
      <c r="H363" s="92">
        <v>0.21461721517928001</v>
      </c>
      <c r="I363" s="92">
        <v>-9.3762346451614742E-2</v>
      </c>
      <c r="J363" s="92">
        <v>7.823835974453397E-2</v>
      </c>
    </row>
    <row r="364" spans="1:10" x14ac:dyDescent="0.25">
      <c r="A364" s="91">
        <v>44531</v>
      </c>
      <c r="B364" s="58">
        <v>0</v>
      </c>
      <c r="C364" s="58">
        <v>0</v>
      </c>
      <c r="D364" s="58">
        <v>100867.46507999999</v>
      </c>
      <c r="E364" s="58">
        <v>122515.35953766285</v>
      </c>
      <c r="F364" s="58">
        <v>79977.517200000002</v>
      </c>
      <c r="G364" s="58">
        <v>72478.637523953614</v>
      </c>
      <c r="H364" s="92">
        <v>0.21461721517927979</v>
      </c>
      <c r="I364" s="92">
        <v>-9.3762346451614853E-2</v>
      </c>
      <c r="J364" s="92">
        <v>7.8238359744533748E-2</v>
      </c>
    </row>
    <row r="365" spans="1:10" x14ac:dyDescent="0.25">
      <c r="A365" s="91">
        <v>44562</v>
      </c>
      <c r="B365" s="58">
        <v>0</v>
      </c>
      <c r="C365" s="58">
        <v>0</v>
      </c>
      <c r="D365" s="58">
        <v>100605.04841999999</v>
      </c>
      <c r="E365" s="58">
        <v>122196.623744877</v>
      </c>
      <c r="F365" s="58">
        <v>79769.447800000009</v>
      </c>
      <c r="G365" s="58">
        <v>72290.077199122403</v>
      </c>
      <c r="H365" s="92">
        <v>0.21461721517927979</v>
      </c>
      <c r="I365" s="92">
        <v>-9.3762346451614853E-2</v>
      </c>
      <c r="J365" s="92">
        <v>7.8238359744533748E-2</v>
      </c>
    </row>
    <row r="366" spans="1:10" x14ac:dyDescent="0.25">
      <c r="A366" s="91">
        <v>44593</v>
      </c>
      <c r="B366" s="58">
        <v>0</v>
      </c>
      <c r="C366" s="58">
        <v>0</v>
      </c>
      <c r="D366" s="58">
        <v>126530.52054000001</v>
      </c>
      <c r="E366" s="58">
        <v>153686.14849347947</v>
      </c>
      <c r="F366" s="58">
        <v>100325.67860000001</v>
      </c>
      <c r="G366" s="58">
        <v>90918.907565113448</v>
      </c>
      <c r="H366" s="92">
        <v>0.21461721517927979</v>
      </c>
      <c r="I366" s="92">
        <v>-9.3762346451614853E-2</v>
      </c>
      <c r="J366" s="92">
        <v>7.8238359744533525E-2</v>
      </c>
    </row>
    <row r="367" spans="1:10" x14ac:dyDescent="0.25">
      <c r="A367" s="91">
        <v>44621</v>
      </c>
      <c r="B367" s="58">
        <v>0</v>
      </c>
      <c r="C367" s="58">
        <v>0</v>
      </c>
      <c r="D367" s="58">
        <v>112931.75766</v>
      </c>
      <c r="E367" s="58">
        <v>137168.85699429052</v>
      </c>
      <c r="F367" s="58">
        <v>89543.259400000024</v>
      </c>
      <c r="G367" s="58">
        <v>81147.473289730391</v>
      </c>
      <c r="H367" s="92">
        <v>0.21461721517928001</v>
      </c>
      <c r="I367" s="92">
        <v>-9.3762346451614964E-2</v>
      </c>
      <c r="J367" s="92">
        <v>7.8238359744533748E-2</v>
      </c>
    </row>
    <row r="368" spans="1:10" x14ac:dyDescent="0.25">
      <c r="A368" s="91">
        <v>44652</v>
      </c>
      <c r="B368" s="58">
        <v>0</v>
      </c>
      <c r="C368" s="58">
        <v>0</v>
      </c>
      <c r="D368" s="58">
        <v>116733.76668</v>
      </c>
      <c r="E368" s="58">
        <v>141786.84260224941</v>
      </c>
      <c r="F368" s="58">
        <v>92557.861200000014</v>
      </c>
      <c r="G368" s="58">
        <v>83879.418951345127</v>
      </c>
      <c r="H368" s="92">
        <v>0.21461721517927979</v>
      </c>
      <c r="I368" s="92">
        <v>-9.3762346451614853E-2</v>
      </c>
      <c r="J368" s="92">
        <v>7.8238359744533748E-2</v>
      </c>
    </row>
    <row r="369" spans="1:10" x14ac:dyDescent="0.25">
      <c r="A369" s="91">
        <v>44682</v>
      </c>
      <c r="B369" s="58">
        <v>0</v>
      </c>
      <c r="C369" s="58">
        <v>0</v>
      </c>
      <c r="D369" s="58">
        <v>100433.20391999999</v>
      </c>
      <c r="E369" s="58">
        <v>121987.89845684313</v>
      </c>
      <c r="F369" s="58">
        <v>79633.192800000004</v>
      </c>
      <c r="G369" s="58">
        <v>72166.597787638151</v>
      </c>
      <c r="H369" s="92">
        <v>0.21461721517928001</v>
      </c>
      <c r="I369" s="92">
        <v>-9.3762346451614964E-2</v>
      </c>
      <c r="J369" s="92">
        <v>7.8238359744533748E-2</v>
      </c>
    </row>
    <row r="370" spans="1:10" x14ac:dyDescent="0.25">
      <c r="A370" s="91">
        <v>44713</v>
      </c>
      <c r="B370" s="58">
        <v>0</v>
      </c>
      <c r="C370" s="58">
        <v>0</v>
      </c>
      <c r="D370" s="58">
        <v>92372.686019999994</v>
      </c>
      <c r="E370" s="58">
        <v>112197.45465224239</v>
      </c>
      <c r="F370" s="58">
        <v>73242.031799999997</v>
      </c>
      <c r="G370" s="58">
        <v>66374.687039548211</v>
      </c>
      <c r="H370" s="92">
        <v>0.21461721517927979</v>
      </c>
      <c r="I370" s="92">
        <v>-9.3762346451614742E-2</v>
      </c>
      <c r="J370" s="92">
        <v>7.8238359744533748E-2</v>
      </c>
    </row>
    <row r="371" spans="1:10" x14ac:dyDescent="0.25">
      <c r="A371" s="91">
        <v>44743</v>
      </c>
      <c r="B371" s="58">
        <v>0</v>
      </c>
      <c r="C371" s="58">
        <v>0</v>
      </c>
      <c r="D371" s="58">
        <v>98522.293079999989</v>
      </c>
      <c r="E371" s="58">
        <v>119666.87325390642</v>
      </c>
      <c r="F371" s="58">
        <v>78118.037200000006</v>
      </c>
      <c r="G371" s="58">
        <v>70793.506731933463</v>
      </c>
      <c r="H371" s="92">
        <v>0.21461721517927979</v>
      </c>
      <c r="I371" s="92">
        <v>-9.3762346451614964E-2</v>
      </c>
      <c r="J371" s="92">
        <v>7.8238359744533748E-2</v>
      </c>
    </row>
    <row r="372" spans="1:10" x14ac:dyDescent="0.25">
      <c r="A372" s="86" t="s">
        <v>49</v>
      </c>
      <c r="B372" s="58">
        <v>0</v>
      </c>
      <c r="C372" s="58">
        <v>0</v>
      </c>
      <c r="D372" s="58">
        <v>6451.2446999999993</v>
      </c>
      <c r="E372" s="58">
        <v>7835.7928719540896</v>
      </c>
      <c r="F372" s="58">
        <v>5115.1729999999998</v>
      </c>
      <c r="G372" s="58">
        <v>4635.5623770140537</v>
      </c>
      <c r="H372" s="92">
        <v>0.21461721517928023</v>
      </c>
      <c r="I372" s="92">
        <v>-9.3762346451614853E-2</v>
      </c>
      <c r="J372" s="92">
        <v>7.823835974453397E-2</v>
      </c>
    </row>
    <row r="373" spans="1:10" x14ac:dyDescent="0.25">
      <c r="A373" s="87" t="s">
        <v>25</v>
      </c>
      <c r="B373" s="58">
        <v>0</v>
      </c>
      <c r="C373" s="58">
        <v>0</v>
      </c>
      <c r="D373" s="58">
        <v>6451.2446999999993</v>
      </c>
      <c r="E373" s="58">
        <v>7835.7928719540896</v>
      </c>
      <c r="F373" s="58">
        <v>5115.1729999999998</v>
      </c>
      <c r="G373" s="58">
        <v>4635.5623770140537</v>
      </c>
      <c r="H373" s="92">
        <v>0.21461721517928023</v>
      </c>
      <c r="I373" s="92">
        <v>-9.3762346451614853E-2</v>
      </c>
      <c r="J373" s="92">
        <v>7.823835974453397E-2</v>
      </c>
    </row>
    <row r="374" spans="1:10" x14ac:dyDescent="0.25">
      <c r="A374" s="88" t="s">
        <v>25</v>
      </c>
      <c r="B374" s="58">
        <v>0</v>
      </c>
      <c r="C374" s="58">
        <v>0</v>
      </c>
      <c r="D374" s="58">
        <v>6451.2446999999993</v>
      </c>
      <c r="E374" s="58">
        <v>7835.7928719540896</v>
      </c>
      <c r="F374" s="58">
        <v>5115.1729999999998</v>
      </c>
      <c r="G374" s="58">
        <v>4635.5623770140537</v>
      </c>
      <c r="H374" s="92">
        <v>0.21461721517928023</v>
      </c>
      <c r="I374" s="92">
        <v>-9.3762346451614853E-2</v>
      </c>
      <c r="J374" s="92">
        <v>7.823835974453397E-2</v>
      </c>
    </row>
    <row r="375" spans="1:10" x14ac:dyDescent="0.25">
      <c r="A375" s="89" t="s">
        <v>25</v>
      </c>
      <c r="B375" s="58">
        <v>0</v>
      </c>
      <c r="C375" s="58">
        <v>0</v>
      </c>
      <c r="D375" s="58">
        <v>6451.2446999999993</v>
      </c>
      <c r="E375" s="58">
        <v>7835.7928719540896</v>
      </c>
      <c r="F375" s="58">
        <v>5115.1729999999998</v>
      </c>
      <c r="G375" s="58">
        <v>4635.5623770140537</v>
      </c>
      <c r="H375" s="92">
        <v>0.21461721517928023</v>
      </c>
      <c r="I375" s="92">
        <v>-9.3762346451614853E-2</v>
      </c>
      <c r="J375" s="92">
        <v>7.823835974453397E-2</v>
      </c>
    </row>
    <row r="376" spans="1:10" x14ac:dyDescent="0.25">
      <c r="A376" s="90" t="s">
        <v>25</v>
      </c>
      <c r="B376" s="58">
        <v>0</v>
      </c>
      <c r="C376" s="58">
        <v>0</v>
      </c>
      <c r="D376" s="58">
        <v>6451.2446999999993</v>
      </c>
      <c r="E376" s="58">
        <v>7835.7928719540896</v>
      </c>
      <c r="F376" s="58">
        <v>5115.1729999999998</v>
      </c>
      <c r="G376" s="58">
        <v>4635.5623770140537</v>
      </c>
      <c r="H376" s="92">
        <v>0.21461721517928023</v>
      </c>
      <c r="I376" s="92">
        <v>-9.3762346451614853E-2</v>
      </c>
      <c r="J376" s="92">
        <v>7.823835974453397E-2</v>
      </c>
    </row>
    <row r="377" spans="1:10" x14ac:dyDescent="0.25">
      <c r="A377" s="91">
        <v>44409</v>
      </c>
      <c r="B377" s="58">
        <v>0</v>
      </c>
      <c r="C377" s="58">
        <v>0</v>
      </c>
      <c r="D377" s="58">
        <v>495.31650000000002</v>
      </c>
      <c r="E377" s="58">
        <v>601.61994786234777</v>
      </c>
      <c r="F377" s="58">
        <v>392.73500000000007</v>
      </c>
      <c r="G377" s="58">
        <v>355.91124486632509</v>
      </c>
      <c r="H377" s="92">
        <v>0.21461721517927979</v>
      </c>
      <c r="I377" s="92">
        <v>-9.3762346451614853E-2</v>
      </c>
      <c r="J377" s="92">
        <v>7.8238359744533748E-2</v>
      </c>
    </row>
    <row r="378" spans="1:10" x14ac:dyDescent="0.25">
      <c r="A378" s="91">
        <v>44440</v>
      </c>
      <c r="B378" s="58">
        <v>0</v>
      </c>
      <c r="C378" s="58">
        <v>0</v>
      </c>
      <c r="D378" s="58">
        <v>468.22571999999991</v>
      </c>
      <c r="E378" s="58">
        <v>568.71502010171321</v>
      </c>
      <c r="F378" s="58">
        <v>371.25479999999999</v>
      </c>
      <c r="G378" s="58">
        <v>336.44507882057502</v>
      </c>
      <c r="H378" s="92">
        <v>0.21461721517928001</v>
      </c>
      <c r="I378" s="92">
        <v>-9.3762346451614853E-2</v>
      </c>
      <c r="J378" s="92">
        <v>7.8238359744533748E-2</v>
      </c>
    </row>
    <row r="379" spans="1:10" x14ac:dyDescent="0.25">
      <c r="A379" s="91">
        <v>44470</v>
      </c>
      <c r="B379" s="58">
        <v>0</v>
      </c>
      <c r="C379" s="58">
        <v>0</v>
      </c>
      <c r="D379" s="58">
        <v>525.64199999999994</v>
      </c>
      <c r="E379" s="58">
        <v>638.45382222126705</v>
      </c>
      <c r="F379" s="58">
        <v>416.78000000000003</v>
      </c>
      <c r="G379" s="58">
        <v>377.70172924589599</v>
      </c>
      <c r="H379" s="92">
        <v>0.21461721517928001</v>
      </c>
      <c r="I379" s="92">
        <v>-9.3762346451614853E-2</v>
      </c>
      <c r="J379" s="92">
        <v>7.8238359744533748E-2</v>
      </c>
    </row>
    <row r="380" spans="1:10" x14ac:dyDescent="0.25">
      <c r="A380" s="91">
        <v>44501</v>
      </c>
      <c r="B380" s="58">
        <v>0</v>
      </c>
      <c r="C380" s="58">
        <v>0</v>
      </c>
      <c r="D380" s="58">
        <v>393.01847999999995</v>
      </c>
      <c r="E380" s="58">
        <v>477.36701169159346</v>
      </c>
      <c r="F380" s="58">
        <v>311.6232</v>
      </c>
      <c r="G380" s="58">
        <v>282.40467755923913</v>
      </c>
      <c r="H380" s="92">
        <v>0.21461721517928001</v>
      </c>
      <c r="I380" s="92">
        <v>-9.3762346451614853E-2</v>
      </c>
      <c r="J380" s="92">
        <v>7.8238359744533748E-2</v>
      </c>
    </row>
    <row r="381" spans="1:10" x14ac:dyDescent="0.25">
      <c r="A381" s="91">
        <v>44531</v>
      </c>
      <c r="B381" s="58">
        <v>0</v>
      </c>
      <c r="C381" s="58">
        <v>0</v>
      </c>
      <c r="D381" s="58">
        <v>602.87094000000002</v>
      </c>
      <c r="E381" s="58">
        <v>732.25742225531474</v>
      </c>
      <c r="F381" s="58">
        <v>478.01460000000009</v>
      </c>
      <c r="G381" s="58">
        <v>433.19482946586993</v>
      </c>
      <c r="H381" s="92">
        <v>0.21461721517927979</v>
      </c>
      <c r="I381" s="92">
        <v>-9.3762346451614964E-2</v>
      </c>
      <c r="J381" s="92">
        <v>7.8238359744533525E-2</v>
      </c>
    </row>
    <row r="382" spans="1:10" x14ac:dyDescent="0.25">
      <c r="A382" s="91">
        <v>44562</v>
      </c>
      <c r="B382" s="58">
        <v>0</v>
      </c>
      <c r="C382" s="58">
        <v>0</v>
      </c>
      <c r="D382" s="58">
        <v>574.97147999999993</v>
      </c>
      <c r="E382" s="58">
        <v>698.37025784510899</v>
      </c>
      <c r="F382" s="58">
        <v>455.89320000000004</v>
      </c>
      <c r="G382" s="58">
        <v>413.14758383666464</v>
      </c>
      <c r="H382" s="92">
        <v>0.21461721517928001</v>
      </c>
      <c r="I382" s="92">
        <v>-9.3762346451614964E-2</v>
      </c>
      <c r="J382" s="92">
        <v>7.823835974453397E-2</v>
      </c>
    </row>
    <row r="383" spans="1:10" x14ac:dyDescent="0.25">
      <c r="A383" s="91">
        <v>44593</v>
      </c>
      <c r="B383" s="58">
        <v>0</v>
      </c>
      <c r="C383" s="58">
        <v>0</v>
      </c>
      <c r="D383" s="58">
        <v>751.26372000000003</v>
      </c>
      <c r="E383" s="58">
        <v>912.49784745162628</v>
      </c>
      <c r="F383" s="58">
        <v>595.67480000000012</v>
      </c>
      <c r="G383" s="58">
        <v>539.82293302990365</v>
      </c>
      <c r="H383" s="92">
        <v>0.21461721517927979</v>
      </c>
      <c r="I383" s="92">
        <v>-9.3762346451614964E-2</v>
      </c>
      <c r="J383" s="92">
        <v>7.8238359744533748E-2</v>
      </c>
    </row>
    <row r="384" spans="1:10" x14ac:dyDescent="0.25">
      <c r="A384" s="91">
        <v>44621</v>
      </c>
      <c r="B384" s="58">
        <v>0</v>
      </c>
      <c r="C384" s="58">
        <v>0</v>
      </c>
      <c r="D384" s="58">
        <v>697.89083999999991</v>
      </c>
      <c r="E384" s="58">
        <v>847.67022857992833</v>
      </c>
      <c r="F384" s="58">
        <v>553.35559999999998</v>
      </c>
      <c r="G384" s="58">
        <v>501.47168052185879</v>
      </c>
      <c r="H384" s="92">
        <v>0.21461721517928001</v>
      </c>
      <c r="I384" s="92">
        <v>-9.3762346451614853E-2</v>
      </c>
      <c r="J384" s="92">
        <v>7.8238359744533748E-2</v>
      </c>
    </row>
    <row r="385" spans="1:10" x14ac:dyDescent="0.25">
      <c r="A385" s="91">
        <v>44652</v>
      </c>
      <c r="B385" s="58">
        <v>0</v>
      </c>
      <c r="C385" s="58">
        <v>0</v>
      </c>
      <c r="D385" s="58">
        <v>661.50023999999996</v>
      </c>
      <c r="E385" s="58">
        <v>803.46957934922523</v>
      </c>
      <c r="F385" s="58">
        <v>524.50160000000005</v>
      </c>
      <c r="G385" s="58">
        <v>475.32309926637367</v>
      </c>
      <c r="H385" s="92">
        <v>0.21461721517927979</v>
      </c>
      <c r="I385" s="92">
        <v>-9.3762346451614964E-2</v>
      </c>
      <c r="J385" s="92">
        <v>7.823835974453397E-2</v>
      </c>
    </row>
    <row r="386" spans="1:10" x14ac:dyDescent="0.25">
      <c r="A386" s="91">
        <v>44682</v>
      </c>
      <c r="B386" s="58">
        <v>0</v>
      </c>
      <c r="C386" s="58">
        <v>0</v>
      </c>
      <c r="D386" s="58">
        <v>502.19027999999997</v>
      </c>
      <c r="E386" s="58">
        <v>609.96895938370278</v>
      </c>
      <c r="F386" s="58">
        <v>398.18520000000001</v>
      </c>
      <c r="G386" s="58">
        <v>360.85042132569447</v>
      </c>
      <c r="H386" s="92">
        <v>0.21461721517927979</v>
      </c>
      <c r="I386" s="92">
        <v>-9.3762346451614853E-2</v>
      </c>
      <c r="J386" s="92">
        <v>7.8238359744533748E-2</v>
      </c>
    </row>
    <row r="387" spans="1:10" x14ac:dyDescent="0.25">
      <c r="A387" s="91">
        <v>44713</v>
      </c>
      <c r="B387" s="58">
        <v>0</v>
      </c>
      <c r="C387" s="58">
        <v>0</v>
      </c>
      <c r="D387" s="58">
        <v>391.80545999999998</v>
      </c>
      <c r="E387" s="58">
        <v>475.89365671723669</v>
      </c>
      <c r="F387" s="58">
        <v>310.66140000000001</v>
      </c>
      <c r="G387" s="58">
        <v>281.5330581840563</v>
      </c>
      <c r="H387" s="92">
        <v>0.21461721517927979</v>
      </c>
      <c r="I387" s="92">
        <v>-9.3762346451614853E-2</v>
      </c>
      <c r="J387" s="92">
        <v>7.8238359744533748E-2</v>
      </c>
    </row>
    <row r="388" spans="1:10" x14ac:dyDescent="0.25">
      <c r="A388" s="91">
        <v>44743</v>
      </c>
      <c r="B388" s="58">
        <v>0</v>
      </c>
      <c r="C388" s="58">
        <v>0</v>
      </c>
      <c r="D388" s="58">
        <v>386.54903999999993</v>
      </c>
      <c r="E388" s="58">
        <v>469.50911849502404</v>
      </c>
      <c r="F388" s="58">
        <v>306.49360000000001</v>
      </c>
      <c r="G388" s="58">
        <v>277.75604089159731</v>
      </c>
      <c r="H388" s="92">
        <v>0.21461721517928001</v>
      </c>
      <c r="I388" s="92">
        <v>-9.3762346451614964E-2</v>
      </c>
      <c r="J388" s="92">
        <v>7.8238359744533748E-2</v>
      </c>
    </row>
    <row r="389" spans="1:10" x14ac:dyDescent="0.25">
      <c r="A389" s="86" t="s">
        <v>33</v>
      </c>
      <c r="B389" s="58">
        <v>0</v>
      </c>
      <c r="C389" s="58">
        <v>0</v>
      </c>
      <c r="D389" s="58">
        <v>470367.10464000003</v>
      </c>
      <c r="E389" s="58">
        <v>571315.98274977773</v>
      </c>
      <c r="F389" s="58">
        <v>372952.69760000001</v>
      </c>
      <c r="G389" s="58">
        <v>337983.77755756443</v>
      </c>
      <c r="H389" s="92">
        <v>0.21461721517927979</v>
      </c>
      <c r="I389" s="92">
        <v>-9.3762346451614964E-2</v>
      </c>
      <c r="J389" s="92">
        <v>7.8238359744533525E-2</v>
      </c>
    </row>
    <row r="390" spans="1:10" x14ac:dyDescent="0.25">
      <c r="A390" s="87" t="s">
        <v>25</v>
      </c>
      <c r="B390" s="58">
        <v>0</v>
      </c>
      <c r="C390" s="58">
        <v>0</v>
      </c>
      <c r="D390" s="58">
        <v>470367.10464000003</v>
      </c>
      <c r="E390" s="58">
        <v>571315.98274977773</v>
      </c>
      <c r="F390" s="58">
        <v>372952.69760000001</v>
      </c>
      <c r="G390" s="58">
        <v>337983.77755756443</v>
      </c>
      <c r="H390" s="92">
        <v>0.21461721517927979</v>
      </c>
      <c r="I390" s="92">
        <v>-9.3762346451614964E-2</v>
      </c>
      <c r="J390" s="92">
        <v>7.8238359744533525E-2</v>
      </c>
    </row>
    <row r="391" spans="1:10" x14ac:dyDescent="0.25">
      <c r="A391" s="88" t="s">
        <v>25</v>
      </c>
      <c r="B391" s="58">
        <v>0</v>
      </c>
      <c r="C391" s="58">
        <v>0</v>
      </c>
      <c r="D391" s="58">
        <v>470367.10464000003</v>
      </c>
      <c r="E391" s="58">
        <v>571315.98274977773</v>
      </c>
      <c r="F391" s="58">
        <v>372952.69760000001</v>
      </c>
      <c r="G391" s="58">
        <v>337983.77755756443</v>
      </c>
      <c r="H391" s="92">
        <v>0.21461721517927979</v>
      </c>
      <c r="I391" s="92">
        <v>-9.3762346451614964E-2</v>
      </c>
      <c r="J391" s="92">
        <v>7.8238359744533525E-2</v>
      </c>
    </row>
    <row r="392" spans="1:10" x14ac:dyDescent="0.25">
      <c r="A392" s="89" t="s">
        <v>25</v>
      </c>
      <c r="B392" s="58">
        <v>0</v>
      </c>
      <c r="C392" s="58">
        <v>0</v>
      </c>
      <c r="D392" s="58">
        <v>470367.10464000003</v>
      </c>
      <c r="E392" s="58">
        <v>571315.98274977773</v>
      </c>
      <c r="F392" s="58">
        <v>372952.69760000001</v>
      </c>
      <c r="G392" s="58">
        <v>337983.77755756443</v>
      </c>
      <c r="H392" s="92">
        <v>0.21461721517927979</v>
      </c>
      <c r="I392" s="92">
        <v>-9.3762346451614964E-2</v>
      </c>
      <c r="J392" s="92">
        <v>7.8238359744533525E-2</v>
      </c>
    </row>
    <row r="393" spans="1:10" x14ac:dyDescent="0.25">
      <c r="A393" s="90" t="s">
        <v>25</v>
      </c>
      <c r="B393" s="58">
        <v>0</v>
      </c>
      <c r="C393" s="58">
        <v>0</v>
      </c>
      <c r="D393" s="58">
        <v>470367.10464000003</v>
      </c>
      <c r="E393" s="58">
        <v>571315.98274977773</v>
      </c>
      <c r="F393" s="58">
        <v>372952.69760000001</v>
      </c>
      <c r="G393" s="58">
        <v>337983.77755756443</v>
      </c>
      <c r="H393" s="92">
        <v>0.21461721517927979</v>
      </c>
      <c r="I393" s="92">
        <v>-9.3762346451614964E-2</v>
      </c>
      <c r="J393" s="92">
        <v>7.8238359744533525E-2</v>
      </c>
    </row>
    <row r="394" spans="1:10" x14ac:dyDescent="0.25">
      <c r="A394" s="91">
        <v>44409</v>
      </c>
      <c r="B394" s="58">
        <v>0</v>
      </c>
      <c r="C394" s="58">
        <v>0</v>
      </c>
      <c r="D394" s="58">
        <v>44391.275580000001</v>
      </c>
      <c r="E394" s="58">
        <v>53918.407523235568</v>
      </c>
      <c r="F394" s="58">
        <v>35197.712200000002</v>
      </c>
      <c r="G394" s="58">
        <v>31897.492114399367</v>
      </c>
      <c r="H394" s="92">
        <v>0.21461721517927979</v>
      </c>
      <c r="I394" s="92">
        <v>-9.3762346451614964E-2</v>
      </c>
      <c r="J394" s="92">
        <v>7.8238359744533748E-2</v>
      </c>
    </row>
    <row r="395" spans="1:10" x14ac:dyDescent="0.25">
      <c r="A395" s="91">
        <v>44440</v>
      </c>
      <c r="B395" s="58">
        <v>0</v>
      </c>
      <c r="C395" s="58">
        <v>0</v>
      </c>
      <c r="D395" s="58">
        <v>39134.451239999995</v>
      </c>
      <c r="E395" s="58">
        <v>47533.378182698114</v>
      </c>
      <c r="F395" s="58">
        <v>31029.5916</v>
      </c>
      <c r="G395" s="58">
        <v>28120.184282148683</v>
      </c>
      <c r="H395" s="92">
        <v>0.21461721517928001</v>
      </c>
      <c r="I395" s="92">
        <v>-9.3762346451614853E-2</v>
      </c>
      <c r="J395" s="92">
        <v>7.8238359744533748E-2</v>
      </c>
    </row>
    <row r="396" spans="1:10" x14ac:dyDescent="0.25">
      <c r="A396" s="91">
        <v>44470</v>
      </c>
      <c r="B396" s="58">
        <v>0</v>
      </c>
      <c r="C396" s="58">
        <v>0</v>
      </c>
      <c r="D396" s="58">
        <v>45703.763220000001</v>
      </c>
      <c r="E396" s="58">
        <v>55512.577605489598</v>
      </c>
      <c r="F396" s="58">
        <v>36238.379800000002</v>
      </c>
      <c r="G396" s="58">
        <v>32840.584278347204</v>
      </c>
      <c r="H396" s="92">
        <v>0.21461721517927979</v>
      </c>
      <c r="I396" s="92">
        <v>-9.3762346451614742E-2</v>
      </c>
      <c r="J396" s="92">
        <v>7.8238359744533748E-2</v>
      </c>
    </row>
    <row r="397" spans="1:10" x14ac:dyDescent="0.25">
      <c r="A397" s="91">
        <v>44501</v>
      </c>
      <c r="B397" s="58">
        <v>0</v>
      </c>
      <c r="C397" s="58">
        <v>0</v>
      </c>
      <c r="D397" s="58">
        <v>38226.70794</v>
      </c>
      <c r="E397" s="58">
        <v>46430.817543554469</v>
      </c>
      <c r="F397" s="58">
        <v>30309.8446</v>
      </c>
      <c r="G397" s="58">
        <v>27467.922449720194</v>
      </c>
      <c r="H397" s="92">
        <v>0.21461721517928001</v>
      </c>
      <c r="I397" s="92">
        <v>-9.3762346451614853E-2</v>
      </c>
      <c r="J397" s="92">
        <v>7.8238359744533748E-2</v>
      </c>
    </row>
    <row r="398" spans="1:10" x14ac:dyDescent="0.25">
      <c r="A398" s="91">
        <v>44531</v>
      </c>
      <c r="B398" s="58">
        <v>0</v>
      </c>
      <c r="C398" s="58">
        <v>0</v>
      </c>
      <c r="D398" s="58">
        <v>39552.538799999995</v>
      </c>
      <c r="E398" s="58">
        <v>48041.194530526409</v>
      </c>
      <c r="F398" s="58">
        <v>31361.092000000004</v>
      </c>
      <c r="G398" s="58">
        <v>28420.602426795034</v>
      </c>
      <c r="H398" s="92">
        <v>0.21461721517927979</v>
      </c>
      <c r="I398" s="92">
        <v>-9.3762346451614964E-2</v>
      </c>
      <c r="J398" s="92">
        <v>7.8238359744533525E-2</v>
      </c>
    </row>
    <row r="399" spans="1:10" x14ac:dyDescent="0.25">
      <c r="A399" s="91">
        <v>44562</v>
      </c>
      <c r="B399" s="58">
        <v>0</v>
      </c>
      <c r="C399" s="58">
        <v>0</v>
      </c>
      <c r="D399" s="58">
        <v>37755.247499999998</v>
      </c>
      <c r="E399" s="58">
        <v>45858.17357685446</v>
      </c>
      <c r="F399" s="58">
        <v>29936.025000000001</v>
      </c>
      <c r="G399" s="58">
        <v>27129.153052565794</v>
      </c>
      <c r="H399" s="92">
        <v>0.21461721517927979</v>
      </c>
      <c r="I399" s="92">
        <v>-9.3762346451614964E-2</v>
      </c>
      <c r="J399" s="92">
        <v>7.8238359744533525E-2</v>
      </c>
    </row>
    <row r="400" spans="1:10" x14ac:dyDescent="0.25">
      <c r="A400" s="91">
        <v>44593</v>
      </c>
      <c r="B400" s="58">
        <v>0</v>
      </c>
      <c r="C400" s="58">
        <v>0</v>
      </c>
      <c r="D400" s="58">
        <v>42190.048619999994</v>
      </c>
      <c r="E400" s="58">
        <v>51244.759363102814</v>
      </c>
      <c r="F400" s="58">
        <v>33452.3658</v>
      </c>
      <c r="G400" s="58">
        <v>30315.793488234249</v>
      </c>
      <c r="H400" s="92">
        <v>0.21461721517928001</v>
      </c>
      <c r="I400" s="92">
        <v>-9.3762346451614853E-2</v>
      </c>
      <c r="J400" s="92">
        <v>7.823835974453397E-2</v>
      </c>
    </row>
    <row r="401" spans="1:10" x14ac:dyDescent="0.25">
      <c r="A401" s="91">
        <v>44621</v>
      </c>
      <c r="B401" s="58">
        <v>0</v>
      </c>
      <c r="C401" s="58">
        <v>0</v>
      </c>
      <c r="D401" s="58">
        <v>36881.468760000003</v>
      </c>
      <c r="E401" s="58">
        <v>44796.866876992804</v>
      </c>
      <c r="F401" s="58">
        <v>29243.208400000003</v>
      </c>
      <c r="G401" s="58">
        <v>26501.296562642427</v>
      </c>
      <c r="H401" s="92">
        <v>0.21461721517927956</v>
      </c>
      <c r="I401" s="92">
        <v>-9.3762346451614964E-2</v>
      </c>
      <c r="J401" s="92">
        <v>7.8238359744533525E-2</v>
      </c>
    </row>
    <row r="402" spans="1:10" x14ac:dyDescent="0.25">
      <c r="A402" s="91">
        <v>44652</v>
      </c>
      <c r="B402" s="58">
        <v>0</v>
      </c>
      <c r="C402" s="58">
        <v>0</v>
      </c>
      <c r="D402" s="58">
        <v>35583.941699999996</v>
      </c>
      <c r="E402" s="58">
        <v>43220.868172755843</v>
      </c>
      <c r="F402" s="58">
        <v>28214.403000000002</v>
      </c>
      <c r="G402" s="58">
        <v>25568.954370988518</v>
      </c>
      <c r="H402" s="92">
        <v>0.21461721517927979</v>
      </c>
      <c r="I402" s="92">
        <v>-9.3762346451614964E-2</v>
      </c>
      <c r="J402" s="92">
        <v>7.8238359744533525E-2</v>
      </c>
    </row>
    <row r="403" spans="1:10" x14ac:dyDescent="0.25">
      <c r="A403" s="91">
        <v>44682</v>
      </c>
      <c r="B403" s="58">
        <v>0</v>
      </c>
      <c r="C403" s="58">
        <v>0</v>
      </c>
      <c r="D403" s="58">
        <v>38147.861639999996</v>
      </c>
      <c r="E403" s="58">
        <v>46335.049470221275</v>
      </c>
      <c r="F403" s="58">
        <v>30247.327600000004</v>
      </c>
      <c r="G403" s="58">
        <v>27411.267190333307</v>
      </c>
      <c r="H403" s="92">
        <v>0.21461721517928001</v>
      </c>
      <c r="I403" s="92">
        <v>-9.3762346451615075E-2</v>
      </c>
      <c r="J403" s="92">
        <v>7.8238359744533748E-2</v>
      </c>
    </row>
    <row r="404" spans="1:10" x14ac:dyDescent="0.25">
      <c r="A404" s="91">
        <v>44713</v>
      </c>
      <c r="B404" s="58">
        <v>0</v>
      </c>
      <c r="C404" s="58">
        <v>0</v>
      </c>
      <c r="D404" s="58">
        <v>35165.045460000001</v>
      </c>
      <c r="E404" s="58">
        <v>42712.069588277976</v>
      </c>
      <c r="F404" s="58">
        <v>27882.261399999999</v>
      </c>
      <c r="G404" s="58">
        <v>25267.955146758715</v>
      </c>
      <c r="H404" s="92">
        <v>0.21461721517927979</v>
      </c>
      <c r="I404" s="92">
        <v>-9.3762346451614742E-2</v>
      </c>
      <c r="J404" s="92">
        <v>7.8238359744533748E-2</v>
      </c>
    </row>
    <row r="405" spans="1:10" x14ac:dyDescent="0.25">
      <c r="A405" s="91">
        <v>44743</v>
      </c>
      <c r="B405" s="58">
        <v>0</v>
      </c>
      <c r="C405" s="58">
        <v>0</v>
      </c>
      <c r="D405" s="58">
        <v>37634.754179999996</v>
      </c>
      <c r="E405" s="58">
        <v>45711.820316068362</v>
      </c>
      <c r="F405" s="58">
        <v>29840.486200000007</v>
      </c>
      <c r="G405" s="58">
        <v>27042.572194630968</v>
      </c>
      <c r="H405" s="92">
        <v>0.21461721517928001</v>
      </c>
      <c r="I405" s="92">
        <v>-9.3762346451615075E-2</v>
      </c>
      <c r="J405" s="92">
        <v>7.8238359744533748E-2</v>
      </c>
    </row>
    <row r="406" spans="1:10" x14ac:dyDescent="0.25">
      <c r="A406" s="86" t="s">
        <v>43</v>
      </c>
      <c r="B406" s="58">
        <v>0</v>
      </c>
      <c r="C406" s="58">
        <v>0</v>
      </c>
      <c r="D406" s="58">
        <v>187583.43449999997</v>
      </c>
      <c r="E406" s="58">
        <v>227842.06882615483</v>
      </c>
      <c r="F406" s="58">
        <v>148734.35499999998</v>
      </c>
      <c r="G406" s="58">
        <v>134788.67287723252</v>
      </c>
      <c r="H406" s="92">
        <v>0.21461721517928001</v>
      </c>
      <c r="I406" s="92">
        <v>-9.3762346451614853E-2</v>
      </c>
      <c r="J406" s="92">
        <v>7.8238359744533748E-2</v>
      </c>
    </row>
    <row r="407" spans="1:10" x14ac:dyDescent="0.25">
      <c r="A407" s="87" t="s">
        <v>25</v>
      </c>
      <c r="B407" s="58">
        <v>0</v>
      </c>
      <c r="C407" s="58">
        <v>0</v>
      </c>
      <c r="D407" s="58">
        <v>187583.43449999997</v>
      </c>
      <c r="E407" s="58">
        <v>227842.06882615483</v>
      </c>
      <c r="F407" s="58">
        <v>148734.35499999998</v>
      </c>
      <c r="G407" s="58">
        <v>134788.67287723252</v>
      </c>
      <c r="H407" s="92">
        <v>0.21461721517928001</v>
      </c>
      <c r="I407" s="92">
        <v>-9.3762346451614853E-2</v>
      </c>
      <c r="J407" s="92">
        <v>7.8238359744533748E-2</v>
      </c>
    </row>
    <row r="408" spans="1:10" x14ac:dyDescent="0.25">
      <c r="A408" s="88" t="s">
        <v>25</v>
      </c>
      <c r="B408" s="58">
        <v>0</v>
      </c>
      <c r="C408" s="58">
        <v>0</v>
      </c>
      <c r="D408" s="58">
        <v>187583.43449999997</v>
      </c>
      <c r="E408" s="58">
        <v>227842.06882615483</v>
      </c>
      <c r="F408" s="58">
        <v>148734.35499999998</v>
      </c>
      <c r="G408" s="58">
        <v>134788.67287723252</v>
      </c>
      <c r="H408" s="92">
        <v>0.21461721517928001</v>
      </c>
      <c r="I408" s="92">
        <v>-9.3762346451614853E-2</v>
      </c>
      <c r="J408" s="92">
        <v>7.8238359744533748E-2</v>
      </c>
    </row>
    <row r="409" spans="1:10" x14ac:dyDescent="0.25">
      <c r="A409" s="89" t="s">
        <v>25</v>
      </c>
      <c r="B409" s="58">
        <v>0</v>
      </c>
      <c r="C409" s="58">
        <v>0</v>
      </c>
      <c r="D409" s="58">
        <v>187583.43449999997</v>
      </c>
      <c r="E409" s="58">
        <v>227842.06882615483</v>
      </c>
      <c r="F409" s="58">
        <v>148734.35499999998</v>
      </c>
      <c r="G409" s="58">
        <v>134788.67287723252</v>
      </c>
      <c r="H409" s="92">
        <v>0.21461721517928001</v>
      </c>
      <c r="I409" s="92">
        <v>-9.3762346451614853E-2</v>
      </c>
      <c r="J409" s="92">
        <v>7.8238359744533748E-2</v>
      </c>
    </row>
    <row r="410" spans="1:10" x14ac:dyDescent="0.25">
      <c r="A410" s="90" t="s">
        <v>25</v>
      </c>
      <c r="B410" s="58">
        <v>0</v>
      </c>
      <c r="C410" s="58">
        <v>0</v>
      </c>
      <c r="D410" s="58">
        <v>187583.43449999997</v>
      </c>
      <c r="E410" s="58">
        <v>227842.06882615483</v>
      </c>
      <c r="F410" s="58">
        <v>148734.35499999998</v>
      </c>
      <c r="G410" s="58">
        <v>134788.67287723252</v>
      </c>
      <c r="H410" s="92">
        <v>0.21461721517928001</v>
      </c>
      <c r="I410" s="92">
        <v>-9.3762346451614853E-2</v>
      </c>
      <c r="J410" s="92">
        <v>7.8238359744533748E-2</v>
      </c>
    </row>
    <row r="411" spans="1:10" x14ac:dyDescent="0.25">
      <c r="A411" s="91">
        <v>44409</v>
      </c>
      <c r="B411" s="58">
        <v>0</v>
      </c>
      <c r="C411" s="58">
        <v>0</v>
      </c>
      <c r="D411" s="58">
        <v>13022.578379999999</v>
      </c>
      <c r="E411" s="58">
        <v>15817.447886369499</v>
      </c>
      <c r="F411" s="58">
        <v>10325.564200000001</v>
      </c>
      <c r="G411" s="58">
        <v>9357.4150721712085</v>
      </c>
      <c r="H411" s="92">
        <v>0.21461721517928001</v>
      </c>
      <c r="I411" s="92">
        <v>-9.3762346451614964E-2</v>
      </c>
      <c r="J411" s="92">
        <v>7.8238359744533748E-2</v>
      </c>
    </row>
    <row r="412" spans="1:10" x14ac:dyDescent="0.25">
      <c r="A412" s="91">
        <v>44440</v>
      </c>
      <c r="B412" s="58">
        <v>0</v>
      </c>
      <c r="C412" s="58">
        <v>0</v>
      </c>
      <c r="D412" s="58">
        <v>12085.318259999998</v>
      </c>
      <c r="E412" s="58">
        <v>14679.035609516499</v>
      </c>
      <c r="F412" s="58">
        <v>9582.4134000000013</v>
      </c>
      <c r="G412" s="58">
        <v>8683.9438349466036</v>
      </c>
      <c r="H412" s="92">
        <v>0.21461721517928001</v>
      </c>
      <c r="I412" s="92">
        <v>-9.3762346451614964E-2</v>
      </c>
      <c r="J412" s="92">
        <v>7.823835974453397E-2</v>
      </c>
    </row>
    <row r="413" spans="1:10" x14ac:dyDescent="0.25">
      <c r="A413" s="91">
        <v>44470</v>
      </c>
      <c r="B413" s="58">
        <v>0</v>
      </c>
      <c r="C413" s="58">
        <v>0</v>
      </c>
      <c r="D413" s="58">
        <v>13350.49812</v>
      </c>
      <c r="E413" s="58">
        <v>16215.744847770611</v>
      </c>
      <c r="F413" s="58">
        <v>10585.570800000001</v>
      </c>
      <c r="G413" s="58">
        <v>9593.042843262303</v>
      </c>
      <c r="H413" s="92">
        <v>0.21461721517927979</v>
      </c>
      <c r="I413" s="92">
        <v>-9.3762346451614853E-2</v>
      </c>
      <c r="J413" s="92">
        <v>7.8238359744533748E-2</v>
      </c>
    </row>
    <row r="414" spans="1:10" x14ac:dyDescent="0.25">
      <c r="A414" s="91">
        <v>44501</v>
      </c>
      <c r="B414" s="58">
        <v>0</v>
      </c>
      <c r="C414" s="58">
        <v>0</v>
      </c>
      <c r="D414" s="58">
        <v>12498.149399999998</v>
      </c>
      <c r="E414" s="58">
        <v>15180.467419122588</v>
      </c>
      <c r="F414" s="58">
        <v>9909.746000000001</v>
      </c>
      <c r="G414" s="58">
        <v>8980.584962300496</v>
      </c>
      <c r="H414" s="92">
        <v>0.21461721517928001</v>
      </c>
      <c r="I414" s="92">
        <v>-9.3762346451614853E-2</v>
      </c>
      <c r="J414" s="92">
        <v>7.8238359744533748E-2</v>
      </c>
    </row>
    <row r="415" spans="1:10" x14ac:dyDescent="0.25">
      <c r="A415" s="91">
        <v>44531</v>
      </c>
      <c r="B415" s="58">
        <v>0</v>
      </c>
      <c r="C415" s="58">
        <v>0</v>
      </c>
      <c r="D415" s="58">
        <v>15867.51462</v>
      </c>
      <c r="E415" s="58">
        <v>19272.956419560909</v>
      </c>
      <c r="F415" s="58">
        <v>12581.305800000002</v>
      </c>
      <c r="G415" s="58">
        <v>11401.653046766689</v>
      </c>
      <c r="H415" s="92">
        <v>0.21461721517927979</v>
      </c>
      <c r="I415" s="92">
        <v>-9.3762346451614964E-2</v>
      </c>
      <c r="J415" s="92">
        <v>7.8238359744533525E-2</v>
      </c>
    </row>
    <row r="416" spans="1:10" x14ac:dyDescent="0.25">
      <c r="A416" s="91">
        <v>44562</v>
      </c>
      <c r="B416" s="58">
        <v>0</v>
      </c>
      <c r="C416" s="58">
        <v>0</v>
      </c>
      <c r="D416" s="58">
        <v>15600.650219999998</v>
      </c>
      <c r="E416" s="58">
        <v>18948.818325202417</v>
      </c>
      <c r="F416" s="58">
        <v>12369.709800000001</v>
      </c>
      <c r="G416" s="58">
        <v>11209.896784226465</v>
      </c>
      <c r="H416" s="92">
        <v>0.21461721517927979</v>
      </c>
      <c r="I416" s="92">
        <v>-9.3762346451614853E-2</v>
      </c>
      <c r="J416" s="92">
        <v>7.8238359744533748E-2</v>
      </c>
    </row>
    <row r="417" spans="1:10" x14ac:dyDescent="0.25">
      <c r="A417" s="91">
        <v>44593</v>
      </c>
      <c r="B417" s="58">
        <v>0</v>
      </c>
      <c r="C417" s="58">
        <v>0</v>
      </c>
      <c r="D417" s="58">
        <v>20329.406519999997</v>
      </c>
      <c r="E417" s="58">
        <v>24692.447133569895</v>
      </c>
      <c r="F417" s="58">
        <v>16119.1268</v>
      </c>
      <c r="G417" s="58">
        <v>14607.759648480889</v>
      </c>
      <c r="H417" s="92">
        <v>0.21461721517928001</v>
      </c>
      <c r="I417" s="92">
        <v>-9.3762346451614964E-2</v>
      </c>
      <c r="J417" s="92">
        <v>7.8238359744533748E-2</v>
      </c>
    </row>
    <row r="418" spans="1:10" x14ac:dyDescent="0.25">
      <c r="A418" s="91">
        <v>44621</v>
      </c>
      <c r="B418" s="58">
        <v>0</v>
      </c>
      <c r="C418" s="58">
        <v>0</v>
      </c>
      <c r="D418" s="58">
        <v>20924.19066</v>
      </c>
      <c r="E418" s="58">
        <v>25414.882189329499</v>
      </c>
      <c r="F418" s="58">
        <v>16590.7294</v>
      </c>
      <c r="G418" s="58">
        <v>15035.143682112208</v>
      </c>
      <c r="H418" s="92">
        <v>0.21461721517928001</v>
      </c>
      <c r="I418" s="92">
        <v>-9.3762346451614853E-2</v>
      </c>
      <c r="J418" s="92">
        <v>7.8238359744533748E-2</v>
      </c>
    </row>
    <row r="419" spans="1:10" x14ac:dyDescent="0.25">
      <c r="A419" s="91">
        <v>44652</v>
      </c>
      <c r="B419" s="58">
        <v>0</v>
      </c>
      <c r="C419" s="58">
        <v>0</v>
      </c>
      <c r="D419" s="58">
        <v>21250.0887</v>
      </c>
      <c r="E419" s="58">
        <v>25810.723559106682</v>
      </c>
      <c r="F419" s="58">
        <v>16849.133000000002</v>
      </c>
      <c r="G419" s="58">
        <v>15269.318754244663</v>
      </c>
      <c r="H419" s="92">
        <v>0.21461721517927979</v>
      </c>
      <c r="I419" s="92">
        <v>-9.3762346451614964E-2</v>
      </c>
      <c r="J419" s="92">
        <v>7.8238359744533748E-2</v>
      </c>
    </row>
    <row r="420" spans="1:10" x14ac:dyDescent="0.25">
      <c r="A420" s="91">
        <v>44682</v>
      </c>
      <c r="B420" s="58">
        <v>0</v>
      </c>
      <c r="C420" s="58">
        <v>0</v>
      </c>
      <c r="D420" s="58">
        <v>14918.124299999999</v>
      </c>
      <c r="E420" s="58">
        <v>18119.810592964346</v>
      </c>
      <c r="F420" s="58">
        <v>11828.537000000002</v>
      </c>
      <c r="G420" s="58">
        <v>10719.465615790255</v>
      </c>
      <c r="H420" s="92">
        <v>0.21461721517928001</v>
      </c>
      <c r="I420" s="92">
        <v>-9.3762346451614964E-2</v>
      </c>
      <c r="J420" s="92">
        <v>7.8238359744533748E-2</v>
      </c>
    </row>
    <row r="421" spans="1:10" x14ac:dyDescent="0.25">
      <c r="A421" s="91">
        <v>44713</v>
      </c>
      <c r="B421" s="58">
        <v>0</v>
      </c>
      <c r="C421" s="58">
        <v>0</v>
      </c>
      <c r="D421" s="58">
        <v>12554.757</v>
      </c>
      <c r="E421" s="58">
        <v>15249.223984592571</v>
      </c>
      <c r="F421" s="58">
        <v>9954.630000000001</v>
      </c>
      <c r="G421" s="58">
        <v>9021.260533142362</v>
      </c>
      <c r="H421" s="92">
        <v>0.21461721517928001</v>
      </c>
      <c r="I421" s="92">
        <v>-9.3762346451614853E-2</v>
      </c>
      <c r="J421" s="92">
        <v>7.8238359744533748E-2</v>
      </c>
    </row>
    <row r="422" spans="1:10" x14ac:dyDescent="0.25">
      <c r="A422" s="91">
        <v>44743</v>
      </c>
      <c r="B422" s="58">
        <v>0</v>
      </c>
      <c r="C422" s="58">
        <v>0</v>
      </c>
      <c r="D422" s="58">
        <v>15182.15832</v>
      </c>
      <c r="E422" s="58">
        <v>18440.510859049333</v>
      </c>
      <c r="F422" s="58">
        <v>12037.888800000001</v>
      </c>
      <c r="G422" s="58">
        <v>10909.188099788387</v>
      </c>
      <c r="H422" s="92">
        <v>0.21461721517927979</v>
      </c>
      <c r="I422" s="92">
        <v>-9.3762346451614742E-2</v>
      </c>
      <c r="J422" s="92">
        <v>7.8238359744533525E-2</v>
      </c>
    </row>
    <row r="423" spans="1:10" x14ac:dyDescent="0.25">
      <c r="A423" s="86" t="s">
        <v>47</v>
      </c>
      <c r="B423" s="58">
        <v>0</v>
      </c>
      <c r="C423" s="58">
        <v>0</v>
      </c>
      <c r="D423" s="58">
        <v>3990.4557203999993</v>
      </c>
      <c r="E423" s="58">
        <v>4846.8762144084749</v>
      </c>
      <c r="F423" s="58">
        <v>3164.0206359999993</v>
      </c>
      <c r="G423" s="58">
        <v>2958.8659551477554</v>
      </c>
      <c r="H423" s="92">
        <v>0.21461721517928001</v>
      </c>
      <c r="I423" s="92">
        <v>-6.4839868146878921E-2</v>
      </c>
      <c r="J423" s="92">
        <v>9.1029137663393822E-2</v>
      </c>
    </row>
    <row r="424" spans="1:10" x14ac:dyDescent="0.25">
      <c r="A424" s="87" t="s">
        <v>48</v>
      </c>
      <c r="B424" s="58">
        <v>0</v>
      </c>
      <c r="C424" s="58">
        <v>0</v>
      </c>
      <c r="D424" s="58">
        <v>3990.4557203999993</v>
      </c>
      <c r="E424" s="58">
        <v>4846.8762144084749</v>
      </c>
      <c r="F424" s="58">
        <v>3164.0206359999993</v>
      </c>
      <c r="G424" s="58">
        <v>2958.8659551477554</v>
      </c>
      <c r="H424" s="92">
        <v>0.21461721517928001</v>
      </c>
      <c r="I424" s="92">
        <v>-6.4839868146878921E-2</v>
      </c>
      <c r="J424" s="92">
        <v>9.1029137663393822E-2</v>
      </c>
    </row>
    <row r="425" spans="1:10" x14ac:dyDescent="0.25">
      <c r="A425" s="88" t="s">
        <v>25</v>
      </c>
      <c r="B425" s="58">
        <v>0</v>
      </c>
      <c r="C425" s="58">
        <v>0</v>
      </c>
      <c r="D425" s="58">
        <v>3990.4557203999993</v>
      </c>
      <c r="E425" s="58">
        <v>4846.8762144084749</v>
      </c>
      <c r="F425" s="58">
        <v>3164.0206359999993</v>
      </c>
      <c r="G425" s="58">
        <v>2958.8659551477554</v>
      </c>
      <c r="H425" s="92">
        <v>0.21461721517928001</v>
      </c>
      <c r="I425" s="92">
        <v>-6.4839868146878921E-2</v>
      </c>
      <c r="J425" s="92">
        <v>9.1029137663393822E-2</v>
      </c>
    </row>
    <row r="426" spans="1:10" x14ac:dyDescent="0.25">
      <c r="A426" s="89" t="s">
        <v>25</v>
      </c>
      <c r="B426" s="58">
        <v>0</v>
      </c>
      <c r="C426" s="58">
        <v>0</v>
      </c>
      <c r="D426" s="58">
        <v>3990.4557203999993</v>
      </c>
      <c r="E426" s="58">
        <v>4846.8762144084749</v>
      </c>
      <c r="F426" s="58">
        <v>3164.0206359999993</v>
      </c>
      <c r="G426" s="58">
        <v>2958.8659551477554</v>
      </c>
      <c r="H426" s="92">
        <v>0.21461721517928001</v>
      </c>
      <c r="I426" s="92">
        <v>-6.4839868146878921E-2</v>
      </c>
      <c r="J426" s="92">
        <v>9.1029137663393822E-2</v>
      </c>
    </row>
    <row r="427" spans="1:10" x14ac:dyDescent="0.25">
      <c r="A427" s="90" t="s">
        <v>25</v>
      </c>
      <c r="B427" s="58">
        <v>0</v>
      </c>
      <c r="C427" s="58">
        <v>0</v>
      </c>
      <c r="D427" s="58">
        <v>3990.4557203999993</v>
      </c>
      <c r="E427" s="58">
        <v>4846.8762144084749</v>
      </c>
      <c r="F427" s="58">
        <v>3164.0206359999993</v>
      </c>
      <c r="G427" s="58">
        <v>2958.8659551477554</v>
      </c>
      <c r="H427" s="92">
        <v>0.21461721517928001</v>
      </c>
      <c r="I427" s="92">
        <v>-6.4839868146878921E-2</v>
      </c>
      <c r="J427" s="92">
        <v>9.1029137663393822E-2</v>
      </c>
    </row>
    <row r="428" spans="1:10" x14ac:dyDescent="0.25">
      <c r="A428" s="91">
        <v>44409</v>
      </c>
      <c r="B428" s="58">
        <v>0</v>
      </c>
      <c r="C428" s="58">
        <v>0</v>
      </c>
      <c r="D428" s="58">
        <v>349.2931524</v>
      </c>
      <c r="E428" s="58">
        <v>424.25747604927977</v>
      </c>
      <c r="F428" s="58">
        <v>276.95351599999998</v>
      </c>
      <c r="G428" s="58">
        <v>258.99588653974541</v>
      </c>
      <c r="H428" s="92">
        <v>0.21461721517927979</v>
      </c>
      <c r="I428" s="92">
        <v>-6.4839868146879032E-2</v>
      </c>
      <c r="J428" s="92">
        <v>9.10291376633936E-2</v>
      </c>
    </row>
    <row r="429" spans="1:10" x14ac:dyDescent="0.25">
      <c r="A429" s="91">
        <v>44440</v>
      </c>
      <c r="B429" s="58">
        <v>0</v>
      </c>
      <c r="C429" s="58">
        <v>0</v>
      </c>
      <c r="D429" s="58">
        <v>354.23418720000001</v>
      </c>
      <c r="E429" s="58">
        <v>430.25894197815967</v>
      </c>
      <c r="F429" s="58">
        <v>280.87124799999998</v>
      </c>
      <c r="G429" s="58">
        <v>262.65959331343061</v>
      </c>
      <c r="H429" s="92">
        <v>0.21461721517927979</v>
      </c>
      <c r="I429" s="92">
        <v>-6.4839868146879032E-2</v>
      </c>
      <c r="J429" s="92">
        <v>9.10291376633936E-2</v>
      </c>
    </row>
    <row r="430" spans="1:10" x14ac:dyDescent="0.25">
      <c r="A430" s="91">
        <v>44470</v>
      </c>
      <c r="B430" s="58">
        <v>0</v>
      </c>
      <c r="C430" s="58">
        <v>0</v>
      </c>
      <c r="D430" s="58">
        <v>461.03655479999998</v>
      </c>
      <c r="E430" s="58">
        <v>559.9829362870255</v>
      </c>
      <c r="F430" s="58">
        <v>365.55453199999999</v>
      </c>
      <c r="G430" s="58">
        <v>341.85202434462593</v>
      </c>
      <c r="H430" s="92">
        <v>0.21461721517928001</v>
      </c>
      <c r="I430" s="92">
        <v>-6.4839868146879032E-2</v>
      </c>
      <c r="J430" s="92">
        <v>9.1029137663393822E-2</v>
      </c>
    </row>
    <row r="431" spans="1:10" x14ac:dyDescent="0.25">
      <c r="A431" s="91">
        <v>44501</v>
      </c>
      <c r="B431" s="58">
        <v>0</v>
      </c>
      <c r="C431" s="58">
        <v>0</v>
      </c>
      <c r="D431" s="58">
        <v>433.67082359999995</v>
      </c>
      <c r="E431" s="58">
        <v>526.74404806553673</v>
      </c>
      <c r="F431" s="58">
        <v>343.85632399999997</v>
      </c>
      <c r="G431" s="58">
        <v>321.56072529036948</v>
      </c>
      <c r="H431" s="92">
        <v>0.21461721517928001</v>
      </c>
      <c r="I431" s="92">
        <v>-6.4839868146879032E-2</v>
      </c>
      <c r="J431" s="92">
        <v>9.1029137663393822E-2</v>
      </c>
    </row>
    <row r="432" spans="1:10" x14ac:dyDescent="0.25">
      <c r="A432" s="91">
        <v>44531</v>
      </c>
      <c r="B432" s="58">
        <v>0</v>
      </c>
      <c r="C432" s="58">
        <v>0</v>
      </c>
      <c r="D432" s="58">
        <v>330.28917239999998</v>
      </c>
      <c r="E432" s="58">
        <v>401.17491478435699</v>
      </c>
      <c r="F432" s="58">
        <v>261.88531599999999</v>
      </c>
      <c r="G432" s="58">
        <v>244.90470664095622</v>
      </c>
      <c r="H432" s="92">
        <v>0.21461721517927979</v>
      </c>
      <c r="I432" s="92">
        <v>-6.4839868146879143E-2</v>
      </c>
      <c r="J432" s="92">
        <v>9.10291376633936E-2</v>
      </c>
    </row>
    <row r="433" spans="1:10" x14ac:dyDescent="0.25">
      <c r="A433" s="91">
        <v>44562</v>
      </c>
      <c r="B433" s="58">
        <v>0</v>
      </c>
      <c r="C433" s="58">
        <v>0</v>
      </c>
      <c r="D433" s="58">
        <v>262.63500359999995</v>
      </c>
      <c r="E433" s="58">
        <v>319.0009966812321</v>
      </c>
      <c r="F433" s="58">
        <v>208.24252399999997</v>
      </c>
      <c r="G433" s="58">
        <v>194.74010620126666</v>
      </c>
      <c r="H433" s="92">
        <v>0.21461721517928001</v>
      </c>
      <c r="I433" s="92">
        <v>-6.4839868146879143E-2</v>
      </c>
      <c r="J433" s="92">
        <v>9.1029137663393822E-2</v>
      </c>
    </row>
    <row r="434" spans="1:10" x14ac:dyDescent="0.25">
      <c r="A434" s="91">
        <v>44593</v>
      </c>
      <c r="B434" s="58">
        <v>0</v>
      </c>
      <c r="C434" s="58">
        <v>0</v>
      </c>
      <c r="D434" s="58">
        <v>335.61028679999998</v>
      </c>
      <c r="E434" s="58">
        <v>407.63803193853539</v>
      </c>
      <c r="F434" s="58">
        <v>266.10441199999997</v>
      </c>
      <c r="G434" s="58">
        <v>248.85023701261719</v>
      </c>
      <c r="H434" s="92">
        <v>0.21461721517927979</v>
      </c>
      <c r="I434" s="92">
        <v>-6.4839868146879032E-2</v>
      </c>
      <c r="J434" s="92">
        <v>9.10291376633936E-2</v>
      </c>
    </row>
    <row r="435" spans="1:10" x14ac:dyDescent="0.25">
      <c r="A435" s="91">
        <v>44621</v>
      </c>
      <c r="B435" s="58">
        <v>0</v>
      </c>
      <c r="C435" s="58">
        <v>0</v>
      </c>
      <c r="D435" s="58">
        <v>270.23659559999999</v>
      </c>
      <c r="E435" s="58">
        <v>328.23402118720117</v>
      </c>
      <c r="F435" s="58">
        <v>214.26980399999997</v>
      </c>
      <c r="G435" s="58">
        <v>200.37657816078234</v>
      </c>
      <c r="H435" s="92">
        <v>0.21461721517927956</v>
      </c>
      <c r="I435" s="92">
        <v>-6.4839868146879032E-2</v>
      </c>
      <c r="J435" s="92">
        <v>9.1029137663393378E-2</v>
      </c>
    </row>
    <row r="436" spans="1:10" x14ac:dyDescent="0.25">
      <c r="A436" s="91">
        <v>44652</v>
      </c>
      <c r="B436" s="58">
        <v>0</v>
      </c>
      <c r="C436" s="58">
        <v>0</v>
      </c>
      <c r="D436" s="58">
        <v>301.78320239999999</v>
      </c>
      <c r="E436" s="58">
        <v>366.55107288697297</v>
      </c>
      <c r="F436" s="58">
        <v>239.283016</v>
      </c>
      <c r="G436" s="58">
        <v>223.76793679277245</v>
      </c>
      <c r="H436" s="92">
        <v>0.21461721517928001</v>
      </c>
      <c r="I436" s="92">
        <v>-6.4839868146879032E-2</v>
      </c>
      <c r="J436" s="92">
        <v>9.1029137663393822E-2</v>
      </c>
    </row>
    <row r="437" spans="1:10" x14ac:dyDescent="0.25">
      <c r="A437" s="91">
        <v>44682</v>
      </c>
      <c r="B437" s="58">
        <v>0</v>
      </c>
      <c r="C437" s="58">
        <v>0</v>
      </c>
      <c r="D437" s="58">
        <v>256.93380960000002</v>
      </c>
      <c r="E437" s="58">
        <v>312.07622830175529</v>
      </c>
      <c r="F437" s="58">
        <v>203.72206399999999</v>
      </c>
      <c r="G437" s="58">
        <v>190.51275223162995</v>
      </c>
      <c r="H437" s="92">
        <v>0.21461721517927956</v>
      </c>
      <c r="I437" s="92">
        <v>-6.4839868146879032E-2</v>
      </c>
      <c r="J437" s="92">
        <v>9.10291376633936E-2</v>
      </c>
    </row>
    <row r="438" spans="1:10" x14ac:dyDescent="0.25">
      <c r="A438" s="91">
        <v>44713</v>
      </c>
      <c r="B438" s="58">
        <v>0</v>
      </c>
      <c r="C438" s="58">
        <v>0</v>
      </c>
      <c r="D438" s="58">
        <v>319.64694359999999</v>
      </c>
      <c r="E438" s="58">
        <v>388.24868047600029</v>
      </c>
      <c r="F438" s="58">
        <v>253.44712399999997</v>
      </c>
      <c r="G438" s="58">
        <v>237.01364589763426</v>
      </c>
      <c r="H438" s="92">
        <v>0.21461721517927979</v>
      </c>
      <c r="I438" s="92">
        <v>-6.4839868146879032E-2</v>
      </c>
      <c r="J438" s="92">
        <v>9.1029137663393378E-2</v>
      </c>
    </row>
    <row r="439" spans="1:10" x14ac:dyDescent="0.25">
      <c r="A439" s="91">
        <v>44743</v>
      </c>
      <c r="B439" s="58">
        <v>0</v>
      </c>
      <c r="C439" s="58">
        <v>0</v>
      </c>
      <c r="D439" s="58">
        <v>315.08598839999996</v>
      </c>
      <c r="E439" s="58">
        <v>382.70886577241885</v>
      </c>
      <c r="F439" s="58">
        <v>249.83075599999998</v>
      </c>
      <c r="G439" s="58">
        <v>233.63176272192484</v>
      </c>
      <c r="H439" s="92">
        <v>0.21461721517928001</v>
      </c>
      <c r="I439" s="92">
        <v>-6.4839868146879143E-2</v>
      </c>
      <c r="J439" s="92">
        <v>9.10291376633936E-2</v>
      </c>
    </row>
    <row r="440" spans="1:10" x14ac:dyDescent="0.25">
      <c r="A440" s="83" t="s">
        <v>44</v>
      </c>
      <c r="B440" s="58">
        <v>0</v>
      </c>
      <c r="C440" s="58">
        <v>0</v>
      </c>
      <c r="D440" s="58">
        <v>79325.62344000001</v>
      </c>
      <c r="E440" s="58">
        <v>96348.968087746471</v>
      </c>
      <c r="F440" s="58">
        <v>62896.205679999999</v>
      </c>
      <c r="G440" s="58">
        <v>56998.909852539822</v>
      </c>
      <c r="H440" s="92">
        <v>0.21460083021752108</v>
      </c>
      <c r="I440" s="92">
        <v>-9.3762346451614742E-2</v>
      </c>
      <c r="J440" s="92">
        <v>7.8230246996040753E-2</v>
      </c>
    </row>
    <row r="441" spans="1:10" x14ac:dyDescent="0.25">
      <c r="A441" s="84" t="s">
        <v>23</v>
      </c>
      <c r="B441" s="58">
        <v>0</v>
      </c>
      <c r="C441" s="58">
        <v>0</v>
      </c>
      <c r="D441" s="58">
        <v>79325.62344000001</v>
      </c>
      <c r="E441" s="58">
        <v>96348.968087746471</v>
      </c>
      <c r="F441" s="58">
        <v>62896.205679999999</v>
      </c>
      <c r="G441" s="58">
        <v>56998.909852539822</v>
      </c>
      <c r="H441" s="92">
        <v>0.21460083021752108</v>
      </c>
      <c r="I441" s="92">
        <v>-9.3762346451614742E-2</v>
      </c>
      <c r="J441" s="92">
        <v>7.8230246996040753E-2</v>
      </c>
    </row>
    <row r="442" spans="1:10" x14ac:dyDescent="0.25">
      <c r="A442" s="85" t="s">
        <v>26</v>
      </c>
      <c r="B442" s="58">
        <v>0</v>
      </c>
      <c r="C442" s="58">
        <v>0</v>
      </c>
      <c r="D442" s="58">
        <v>79325.62344000001</v>
      </c>
      <c r="E442" s="58">
        <v>96348.968087746471</v>
      </c>
      <c r="F442" s="58">
        <v>62896.205679999999</v>
      </c>
      <c r="G442" s="58">
        <v>56998.909852539822</v>
      </c>
      <c r="H442" s="92">
        <v>0.21460083021752108</v>
      </c>
      <c r="I442" s="92">
        <v>-9.3762346451614742E-2</v>
      </c>
      <c r="J442" s="92">
        <v>7.8230246996040753E-2</v>
      </c>
    </row>
    <row r="443" spans="1:10" x14ac:dyDescent="0.25">
      <c r="A443" s="86" t="s">
        <v>45</v>
      </c>
      <c r="B443" s="58">
        <v>0</v>
      </c>
      <c r="C443" s="58">
        <v>0</v>
      </c>
      <c r="D443" s="58">
        <v>79325.62344000001</v>
      </c>
      <c r="E443" s="58">
        <v>96348.968087746471</v>
      </c>
      <c r="F443" s="58">
        <v>62896.205679999999</v>
      </c>
      <c r="G443" s="58">
        <v>56998.909852539822</v>
      </c>
      <c r="H443" s="92">
        <v>0.21460083021752108</v>
      </c>
      <c r="I443" s="92">
        <v>-9.3762346451614742E-2</v>
      </c>
      <c r="J443" s="92">
        <v>7.8230246996040753E-2</v>
      </c>
    </row>
    <row r="444" spans="1:10" x14ac:dyDescent="0.25">
      <c r="A444" s="87" t="s">
        <v>46</v>
      </c>
      <c r="B444" s="58">
        <v>0</v>
      </c>
      <c r="C444" s="58">
        <v>0</v>
      </c>
      <c r="D444" s="58">
        <v>79325.62344000001</v>
      </c>
      <c r="E444" s="58">
        <v>96348.968087746471</v>
      </c>
      <c r="F444" s="58">
        <v>62896.205679999999</v>
      </c>
      <c r="G444" s="58">
        <v>56998.909852539822</v>
      </c>
      <c r="H444" s="92">
        <v>0.21460083021752108</v>
      </c>
      <c r="I444" s="92">
        <v>-9.3762346451614742E-2</v>
      </c>
      <c r="J444" s="92">
        <v>7.8230246996040753E-2</v>
      </c>
    </row>
    <row r="445" spans="1:10" x14ac:dyDescent="0.25">
      <c r="A445" s="88" t="s">
        <v>25</v>
      </c>
      <c r="B445" s="58">
        <v>0</v>
      </c>
      <c r="C445" s="58">
        <v>0</v>
      </c>
      <c r="D445" s="58">
        <v>79325.62344000001</v>
      </c>
      <c r="E445" s="58">
        <v>96348.968087746471</v>
      </c>
      <c r="F445" s="58">
        <v>62896.205679999999</v>
      </c>
      <c r="G445" s="58">
        <v>56998.909852539822</v>
      </c>
      <c r="H445" s="92">
        <v>0.21460083021752108</v>
      </c>
      <c r="I445" s="92">
        <v>-9.3762346451614742E-2</v>
      </c>
      <c r="J445" s="92">
        <v>7.8230246996040753E-2</v>
      </c>
    </row>
    <row r="446" spans="1:10" x14ac:dyDescent="0.25">
      <c r="A446" s="89" t="s">
        <v>25</v>
      </c>
      <c r="B446" s="58">
        <v>0</v>
      </c>
      <c r="C446" s="58">
        <v>0</v>
      </c>
      <c r="D446" s="58">
        <v>79325.62344000001</v>
      </c>
      <c r="E446" s="58">
        <v>96348.968087746471</v>
      </c>
      <c r="F446" s="58">
        <v>62896.205679999999</v>
      </c>
      <c r="G446" s="58">
        <v>56998.909852539822</v>
      </c>
      <c r="H446" s="92">
        <v>0.21460083021752108</v>
      </c>
      <c r="I446" s="92">
        <v>-9.3762346451614742E-2</v>
      </c>
      <c r="J446" s="92">
        <v>7.8230246996040753E-2</v>
      </c>
    </row>
    <row r="447" spans="1:10" x14ac:dyDescent="0.25">
      <c r="A447" s="90" t="s">
        <v>25</v>
      </c>
      <c r="B447" s="58">
        <v>0</v>
      </c>
      <c r="C447" s="58">
        <v>0</v>
      </c>
      <c r="D447" s="58">
        <v>79325.62344000001</v>
      </c>
      <c r="E447" s="58">
        <v>96348.968087746471</v>
      </c>
      <c r="F447" s="58">
        <v>62896.205679999999</v>
      </c>
      <c r="G447" s="58">
        <v>56998.909852539822</v>
      </c>
      <c r="H447" s="92">
        <v>0.21460083021752108</v>
      </c>
      <c r="I447" s="92">
        <v>-9.3762346451614742E-2</v>
      </c>
      <c r="J447" s="92">
        <v>7.8230246996040753E-2</v>
      </c>
    </row>
    <row r="448" spans="1:10" x14ac:dyDescent="0.25">
      <c r="A448" s="91">
        <v>44409</v>
      </c>
      <c r="B448" s="58">
        <v>0</v>
      </c>
      <c r="C448" s="58">
        <v>0</v>
      </c>
      <c r="D448" s="58">
        <v>6733.7468099999996</v>
      </c>
      <c r="E448" s="58">
        <v>8178.8144659005866</v>
      </c>
      <c r="F448" s="58">
        <v>5339.0960700000005</v>
      </c>
      <c r="G448" s="58">
        <v>4838.4898945462046</v>
      </c>
      <c r="H448" s="92">
        <v>0.21460083021752152</v>
      </c>
      <c r="I448" s="92">
        <v>-9.3762346451614964E-2</v>
      </c>
      <c r="J448" s="92">
        <v>7.8230246996040753E-2</v>
      </c>
    </row>
    <row r="449" spans="1:10" x14ac:dyDescent="0.25">
      <c r="A449" s="91">
        <v>44440</v>
      </c>
      <c r="B449" s="58">
        <v>0</v>
      </c>
      <c r="C449" s="58">
        <v>0</v>
      </c>
      <c r="D449" s="58">
        <v>6519.1404599999996</v>
      </c>
      <c r="E449" s="58">
        <v>7918.1534150206344</v>
      </c>
      <c r="F449" s="58">
        <v>5168.9376200000006</v>
      </c>
      <c r="G449" s="58">
        <v>4684.2859000867747</v>
      </c>
      <c r="H449" s="92">
        <v>0.21460083021752152</v>
      </c>
      <c r="I449" s="92">
        <v>-9.3762346451614853E-2</v>
      </c>
      <c r="J449" s="92">
        <v>7.8230246996040753E-2</v>
      </c>
    </row>
    <row r="450" spans="1:10" x14ac:dyDescent="0.25">
      <c r="A450" s="91">
        <v>44470</v>
      </c>
      <c r="B450" s="58">
        <v>0</v>
      </c>
      <c r="C450" s="58">
        <v>0</v>
      </c>
      <c r="D450" s="58">
        <v>6734.8587599999992</v>
      </c>
      <c r="E450" s="58">
        <v>8180.1650412937461</v>
      </c>
      <c r="F450" s="58">
        <v>5339.9777199999999</v>
      </c>
      <c r="G450" s="58">
        <v>4839.2888789734552</v>
      </c>
      <c r="H450" s="92">
        <v>0.21460083021752152</v>
      </c>
      <c r="I450" s="92">
        <v>-9.3762346451614853E-2</v>
      </c>
      <c r="J450" s="92">
        <v>7.8230246996040753E-2</v>
      </c>
    </row>
    <row r="451" spans="1:10" x14ac:dyDescent="0.25">
      <c r="A451" s="91">
        <v>44501</v>
      </c>
      <c r="B451" s="58">
        <v>0</v>
      </c>
      <c r="C451" s="58">
        <v>0</v>
      </c>
      <c r="D451" s="58">
        <v>6526.0345499999994</v>
      </c>
      <c r="E451" s="58">
        <v>7926.5269824582283</v>
      </c>
      <c r="F451" s="58">
        <v>5174.4038500000006</v>
      </c>
      <c r="G451" s="58">
        <v>4689.2396035357297</v>
      </c>
      <c r="H451" s="92">
        <v>0.21460083021752152</v>
      </c>
      <c r="I451" s="92">
        <v>-9.3762346451615075E-2</v>
      </c>
      <c r="J451" s="92">
        <v>7.8230246996040753E-2</v>
      </c>
    </row>
    <row r="452" spans="1:10" x14ac:dyDescent="0.25">
      <c r="A452" s="91">
        <v>44531</v>
      </c>
      <c r="B452" s="58">
        <v>0</v>
      </c>
      <c r="C452" s="58">
        <v>0</v>
      </c>
      <c r="D452" s="58">
        <v>6923.8902599999992</v>
      </c>
      <c r="E452" s="58">
        <v>8409.7628581310109</v>
      </c>
      <c r="F452" s="58">
        <v>5489.8582200000001</v>
      </c>
      <c r="G452" s="58">
        <v>4975.1162316061145</v>
      </c>
      <c r="H452" s="92">
        <v>0.21460083021752174</v>
      </c>
      <c r="I452" s="92">
        <v>-9.3762346451614853E-2</v>
      </c>
      <c r="J452" s="92">
        <v>7.8230246996040975E-2</v>
      </c>
    </row>
    <row r="453" spans="1:10" x14ac:dyDescent="0.25">
      <c r="A453" s="91">
        <v>44562</v>
      </c>
      <c r="B453" s="58">
        <v>0</v>
      </c>
      <c r="C453" s="58">
        <v>0</v>
      </c>
      <c r="D453" s="58">
        <v>6748.6469399999996</v>
      </c>
      <c r="E453" s="58">
        <v>8196.9121761689348</v>
      </c>
      <c r="F453" s="58">
        <v>5350.9101800000008</v>
      </c>
      <c r="G453" s="58">
        <v>4849.1962858713669</v>
      </c>
      <c r="H453" s="92">
        <v>0.2146008302175213</v>
      </c>
      <c r="I453" s="92">
        <v>-9.3762346451615075E-2</v>
      </c>
      <c r="J453" s="92">
        <v>7.8230246996040531E-2</v>
      </c>
    </row>
    <row r="454" spans="1:10" x14ac:dyDescent="0.25">
      <c r="A454" s="91">
        <v>44593</v>
      </c>
      <c r="B454" s="58">
        <v>0</v>
      </c>
      <c r="C454" s="58">
        <v>0</v>
      </c>
      <c r="D454" s="58">
        <v>6041.6691300000002</v>
      </c>
      <c r="E454" s="58">
        <v>7338.2163411975707</v>
      </c>
      <c r="F454" s="58">
        <v>4790.3571100000008</v>
      </c>
      <c r="G454" s="58">
        <v>4341.2019870252234</v>
      </c>
      <c r="H454" s="92">
        <v>0.21460083021752152</v>
      </c>
      <c r="I454" s="92">
        <v>-9.3762346451615075E-2</v>
      </c>
      <c r="J454" s="92">
        <v>7.8230246996040531E-2</v>
      </c>
    </row>
    <row r="455" spans="1:10" x14ac:dyDescent="0.25">
      <c r="A455" s="91">
        <v>44621</v>
      </c>
      <c r="B455" s="58">
        <v>0</v>
      </c>
      <c r="C455" s="58">
        <v>0</v>
      </c>
      <c r="D455" s="58">
        <v>6721.0705799999996</v>
      </c>
      <c r="E455" s="58">
        <v>8163.4179064185582</v>
      </c>
      <c r="F455" s="58">
        <v>5329.0452600000008</v>
      </c>
      <c r="G455" s="58">
        <v>4829.3814720755445</v>
      </c>
      <c r="H455" s="92">
        <v>0.21460083021752152</v>
      </c>
      <c r="I455" s="92">
        <v>-9.3762346451614853E-2</v>
      </c>
      <c r="J455" s="92">
        <v>7.8230246996040753E-2</v>
      </c>
    </row>
    <row r="456" spans="1:10" x14ac:dyDescent="0.25">
      <c r="A456" s="91">
        <v>44652</v>
      </c>
      <c r="B456" s="58">
        <v>0</v>
      </c>
      <c r="C456" s="58">
        <v>0</v>
      </c>
      <c r="D456" s="58">
        <v>6517.1389499999996</v>
      </c>
      <c r="E456" s="58">
        <v>7915.722379312946</v>
      </c>
      <c r="F456" s="58">
        <v>5167.3506500000003</v>
      </c>
      <c r="G456" s="58">
        <v>4682.8477281177229</v>
      </c>
      <c r="H456" s="92">
        <v>0.21460083021752152</v>
      </c>
      <c r="I456" s="92">
        <v>-9.3762346451614853E-2</v>
      </c>
      <c r="J456" s="92">
        <v>7.8230246996040531E-2</v>
      </c>
    </row>
    <row r="457" spans="1:10" x14ac:dyDescent="0.25">
      <c r="A457" s="91">
        <v>44682</v>
      </c>
      <c r="B457" s="58">
        <v>0</v>
      </c>
      <c r="C457" s="58">
        <v>0</v>
      </c>
      <c r="D457" s="58">
        <v>6688.8240299999998</v>
      </c>
      <c r="E457" s="58">
        <v>8124.2512200169076</v>
      </c>
      <c r="F457" s="58">
        <v>5303.4774100000004</v>
      </c>
      <c r="G457" s="58">
        <v>4806.2109236852675</v>
      </c>
      <c r="H457" s="92">
        <v>0.21460083021752152</v>
      </c>
      <c r="I457" s="92">
        <v>-9.3762346451614853E-2</v>
      </c>
      <c r="J457" s="92">
        <v>7.8230246996040753E-2</v>
      </c>
    </row>
    <row r="458" spans="1:10" x14ac:dyDescent="0.25">
      <c r="A458" s="91">
        <v>44713</v>
      </c>
      <c r="B458" s="58">
        <v>0</v>
      </c>
      <c r="C458" s="58">
        <v>0</v>
      </c>
      <c r="D458" s="58">
        <v>6484.4476199999999</v>
      </c>
      <c r="E458" s="58">
        <v>7876.0154627540314</v>
      </c>
      <c r="F458" s="58">
        <v>5141.4301400000004</v>
      </c>
      <c r="G458" s="58">
        <v>4659.3575859565453</v>
      </c>
      <c r="H458" s="92">
        <v>0.21460083021752152</v>
      </c>
      <c r="I458" s="92">
        <v>-9.3762346451614964E-2</v>
      </c>
      <c r="J458" s="92">
        <v>7.8230246996040753E-2</v>
      </c>
    </row>
    <row r="459" spans="1:10" x14ac:dyDescent="0.25">
      <c r="A459" s="91">
        <v>44743</v>
      </c>
      <c r="B459" s="58">
        <v>0</v>
      </c>
      <c r="C459" s="58">
        <v>0</v>
      </c>
      <c r="D459" s="58">
        <v>6686.15535</v>
      </c>
      <c r="E459" s="58">
        <v>8121.0098390733228</v>
      </c>
      <c r="F459" s="58">
        <v>5301.3614500000003</v>
      </c>
      <c r="G459" s="58">
        <v>4804.2933610598648</v>
      </c>
      <c r="H459" s="92">
        <v>0.21460083021752152</v>
      </c>
      <c r="I459" s="92">
        <v>-9.3762346451614853E-2</v>
      </c>
      <c r="J459" s="92">
        <v>7.8230246996040753E-2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7752-2E35-48C0-8947-A896071547D7}">
  <sheetPr codeName="Planilha30">
    <tabColor indexed="12" tint="-0.249977111117893"/>
  </sheetPr>
  <dimension ref="A1:AX379"/>
  <sheetViews>
    <sheetView showGridLines="0" topLeftCell="AM1" workbookViewId="0">
      <selection activeCell="AU10" sqref="AU10"/>
    </sheetView>
  </sheetViews>
  <sheetFormatPr defaultColWidth="9.140625"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50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590</v>
      </c>
      <c r="AC1" s="1" t="s">
        <v>591</v>
      </c>
      <c r="AD1" s="1" t="s">
        <v>592</v>
      </c>
      <c r="AE1" s="1" t="s">
        <v>593</v>
      </c>
      <c r="AF1" s="1" t="s">
        <v>594</v>
      </c>
      <c r="AG1" s="1" t="s">
        <v>595</v>
      </c>
      <c r="AI1" s="34" t="s">
        <v>58</v>
      </c>
      <c r="AJ1" s="34" t="s">
        <v>596</v>
      </c>
      <c r="AK1" s="34" t="s">
        <v>597</v>
      </c>
      <c r="AL1" s="34" t="s">
        <v>598</v>
      </c>
      <c r="AN1" s="34" t="s">
        <v>58</v>
      </c>
      <c r="AO1" s="34" t="s">
        <v>599</v>
      </c>
      <c r="AP1" s="34" t="s">
        <v>600</v>
      </c>
      <c r="AQ1" s="34" t="s">
        <v>598</v>
      </c>
      <c r="AS1" s="34" t="s">
        <v>58</v>
      </c>
      <c r="AT1" s="34" t="s">
        <v>601</v>
      </c>
      <c r="AU1" s="34" t="s">
        <v>602</v>
      </c>
      <c r="AV1" s="34" t="s">
        <v>598</v>
      </c>
    </row>
    <row r="2" spans="1:50" ht="11.25" customHeight="1" x14ac:dyDescent="0.25">
      <c r="A2" s="4" t="s">
        <v>21</v>
      </c>
      <c r="B2" s="4" t="s">
        <v>34</v>
      </c>
      <c r="C2" s="4" t="s">
        <v>35</v>
      </c>
      <c r="D2" s="4" t="s">
        <v>40</v>
      </c>
      <c r="E2" s="4" t="s">
        <v>25</v>
      </c>
      <c r="F2" s="4" t="s">
        <v>25</v>
      </c>
      <c r="G2" s="4" t="s">
        <v>25</v>
      </c>
      <c r="H2" s="4" t="s">
        <v>37</v>
      </c>
      <c r="I2" s="5">
        <v>44409</v>
      </c>
      <c r="J2" s="6">
        <v>0</v>
      </c>
      <c r="K2" s="6">
        <v>0</v>
      </c>
      <c r="L2" s="6">
        <v>42.155999999999999</v>
      </c>
      <c r="M2" s="6">
        <v>42.155999999999999</v>
      </c>
      <c r="N2" s="6">
        <v>42.155999999999999</v>
      </c>
      <c r="O2" s="6">
        <v>42.155999999999999</v>
      </c>
      <c r="P2" s="6">
        <v>0</v>
      </c>
      <c r="Q2" s="4" t="s">
        <v>26</v>
      </c>
      <c r="R2" s="4">
        <v>0</v>
      </c>
      <c r="S2" s="6">
        <v>0</v>
      </c>
      <c r="T2" s="6">
        <v>8</v>
      </c>
      <c r="U2" s="6">
        <v>51</v>
      </c>
      <c r="V2" s="6">
        <f>IF(ISERROR(VLOOKUP($S$2,'TAR FIN'!$A$1:$O$88,15,0)),0,VLOOKUP($S$2,'TAR FIN'!$A$1:$O$88,15,0))</f>
        <v>0</v>
      </c>
      <c r="W2" s="6">
        <f>IF(ISERROR(VLOOKUP($T$2,'TAR FIN'!$A$1:$O$88,15,0)),0,VLOOKUP($T$2,'TAR FIN'!$A$1:$O$88,15,0))</f>
        <v>70.19</v>
      </c>
      <c r="X2" s="6">
        <f>IF(ISERROR(VLOOKUP($U$2,'TAR FIN'!$A$1:$O$88,15,0)),0,VLOOKUP($U$2,'TAR FIN'!$A$1:$O$88,15,0))</f>
        <v>302.62</v>
      </c>
      <c r="Y2" s="6"/>
      <c r="Z2" s="6">
        <f ca="1">('TUSD BE'!$AM$12+'TUSD BF_350'!$AM$12+'TUSD CVA'!$AM$12)*1</f>
        <v>126.25</v>
      </c>
      <c r="AA2" s="6">
        <f ca="1">('TE BE'!$AB$6+'TE BF_350'!$AB$6+'TE CVA'!$AB$6)*1</f>
        <v>250.04</v>
      </c>
      <c r="AB2" s="6">
        <f>$K$2*$V$2</f>
        <v>0</v>
      </c>
      <c r="AC2" s="6">
        <f>$M$2*$W$2</f>
        <v>2958.9296399999998</v>
      </c>
      <c r="AD2" s="6">
        <f>$O$2*$X$2</f>
        <v>12757.24872</v>
      </c>
      <c r="AE2" s="6">
        <f>$K$2*$Y$2</f>
        <v>0</v>
      </c>
      <c r="AF2" s="6">
        <f ca="1">$M$2*$Z$2</f>
        <v>5322.1949999999997</v>
      </c>
      <c r="AG2" s="6">
        <f ca="1">$O$2*$AA$2</f>
        <v>10540.686239999999</v>
      </c>
      <c r="AI2" s="35" t="s">
        <v>34</v>
      </c>
      <c r="AJ2" s="36">
        <f>SUMIF($B$2:$B$379,AI2,$AB$2:$AB$379)+SUMIF($B$2:$B$379,AI2,$AC$2:$AC$379)</f>
        <v>1586294.6785364186</v>
      </c>
      <c r="AK2" s="36">
        <f ca="1">SUMIF($B$2:$B$379,AI2,$AE$2:$AE$379)+SUMIF($B$2:$B$379,AI2,$AF$2:$AF$379)</f>
        <v>1729093.1851332118</v>
      </c>
      <c r="AL2" s="37">
        <f t="shared" ref="AL2:AL9" ca="1" si="0">IF(AJ2&lt;&gt;0,AK2/AJ2-1,0)</f>
        <v>9.0020163673842024E-2</v>
      </c>
      <c r="AN2" s="35" t="s">
        <v>34</v>
      </c>
      <c r="AO2" s="36">
        <f>SUMIF($B$2:$B$379,AN2,$AD$2:$AD$379)</f>
        <v>716110.51144000015</v>
      </c>
      <c r="AP2" s="36">
        <f ca="1">SUMIF($B$2:$B$379,AN2,$AG$2:$AG$379)</f>
        <v>589226.44088000001</v>
      </c>
      <c r="AQ2" s="37">
        <f t="shared" ref="AQ2:AQ9" ca="1" si="1">IF(AO2&lt;&gt;0,AP2/AO2-1,0)</f>
        <v>-0.17718504132114143</v>
      </c>
      <c r="AS2" s="35" t="s">
        <v>34</v>
      </c>
      <c r="AT2" s="36">
        <f>SUMIF($B$2:$B$379,AS2,$AB$2:$AB$379)+SUMIF($B$2:$B$379,AS2,$AC$2:$AC$379)+SUMIF($B$2:$B$379,AS2,$AD$2:$AD$379)</f>
        <v>2302405.1899764189</v>
      </c>
      <c r="AU2" s="36">
        <f ca="1">SUMIF($B$2:$B$379,AS2,$AE$2:$AE$379)+SUMIF($B$2:$B$379,AS2,$AF$2:$AF$379)+SUMIF($B$2:$B$379,AS2,$AG$2:$AG$379)</f>
        <v>2318319.6260132119</v>
      </c>
      <c r="AV2" s="37">
        <f t="shared" ref="AV2:AV9" ca="1" si="2">IF(AT2&lt;&gt;0,AU2/AT2-1,0)</f>
        <v>6.9120918012506305E-3</v>
      </c>
      <c r="AX2" s="96">
        <v>6.9120918012506305E-3</v>
      </c>
    </row>
    <row r="3" spans="1:50" ht="11.25" customHeight="1" x14ac:dyDescent="0.25">
      <c r="A3" s="4" t="s">
        <v>21</v>
      </c>
      <c r="B3" s="4" t="s">
        <v>34</v>
      </c>
      <c r="C3" s="4" t="s">
        <v>35</v>
      </c>
      <c r="D3" s="4" t="s">
        <v>40</v>
      </c>
      <c r="E3" s="4" t="s">
        <v>25</v>
      </c>
      <c r="F3" s="4" t="s">
        <v>25</v>
      </c>
      <c r="G3" s="4" t="s">
        <v>25</v>
      </c>
      <c r="H3" s="4" t="s">
        <v>37</v>
      </c>
      <c r="I3" s="5">
        <v>44440</v>
      </c>
      <c r="J3" s="6">
        <v>0</v>
      </c>
      <c r="K3" s="6">
        <v>0</v>
      </c>
      <c r="L3" s="6">
        <v>42.073</v>
      </c>
      <c r="M3" s="6">
        <v>42.073</v>
      </c>
      <c r="N3" s="6">
        <v>42.073</v>
      </c>
      <c r="O3" s="6">
        <v>42.073</v>
      </c>
      <c r="P3" s="6">
        <v>0</v>
      </c>
      <c r="Q3" s="4" t="s">
        <v>26</v>
      </c>
      <c r="R3" s="4">
        <v>0</v>
      </c>
      <c r="S3" s="6">
        <v>0</v>
      </c>
      <c r="T3" s="6">
        <v>8</v>
      </c>
      <c r="U3" s="6">
        <v>51</v>
      </c>
      <c r="V3" s="6">
        <f>IF(ISERROR(VLOOKUP($S$3,'TAR FIN'!$A$1:$O$88,15,0)),0,VLOOKUP($S$3,'TAR FIN'!$A$1:$O$88,15,0))</f>
        <v>0</v>
      </c>
      <c r="W3" s="6">
        <f>IF(ISERROR(VLOOKUP($T$3,'TAR FIN'!$A$1:$O$88,15,0)),0,VLOOKUP($T$3,'TAR FIN'!$A$1:$O$88,15,0))</f>
        <v>70.19</v>
      </c>
      <c r="X3" s="6">
        <f>IF(ISERROR(VLOOKUP($U$3,'TAR FIN'!$A$1:$O$88,15,0)),0,VLOOKUP($U$3,'TAR FIN'!$A$1:$O$88,15,0))</f>
        <v>302.62</v>
      </c>
      <c r="Y3" s="6"/>
      <c r="Z3" s="6">
        <f ca="1">('TUSD BE'!$AM$12+'TUSD BF_350'!$AM$12+'TUSD CVA'!$AM$12)*1</f>
        <v>126.25</v>
      </c>
      <c r="AA3" s="6">
        <f ca="1">('TE BE'!$AB$6+'TE BF_350'!$AB$6+'TE CVA'!$AB$6)*1</f>
        <v>250.04</v>
      </c>
      <c r="AB3" s="6">
        <f>$K$3*$V$3</f>
        <v>0</v>
      </c>
      <c r="AC3" s="6">
        <f>$M$3*$W$3</f>
        <v>2953.1038699999999</v>
      </c>
      <c r="AD3" s="6">
        <f>$O$3*$X$3</f>
        <v>12732.13126</v>
      </c>
      <c r="AE3" s="6">
        <f>$K$3*$Y$3</f>
        <v>0</v>
      </c>
      <c r="AF3" s="6">
        <f ca="1">$M$3*$Z$3</f>
        <v>5311.7162500000004</v>
      </c>
      <c r="AG3" s="6">
        <f ca="1">$O$3*$AA$3</f>
        <v>10519.932919999999</v>
      </c>
      <c r="AI3" s="35" t="s">
        <v>22</v>
      </c>
      <c r="AJ3" s="36">
        <f>SUMIF($B$2:$B$379,AI3,$AB$2:$AB$379)+SUMIF($B$2:$B$379,AI3,$AC$2:$AC$379)</f>
        <v>0</v>
      </c>
      <c r="AK3" s="36">
        <f ca="1">SUMIF($B$2:$B$379,AI3,$AE$2:$AE$379)+SUMIF($B$2:$B$379,AI3,$AF$2:$AF$379)</f>
        <v>2182492.1721319999</v>
      </c>
      <c r="AL3" s="37">
        <f t="shared" si="0"/>
        <v>0</v>
      </c>
      <c r="AN3" s="35" t="s">
        <v>22</v>
      </c>
      <c r="AO3" s="36">
        <f>SUMIF($B$2:$B$379,AN3,$AD$2:$AD$379)</f>
        <v>0</v>
      </c>
      <c r="AP3" s="36">
        <f ca="1">SUMIF($B$2:$B$379,AN3,$AG$2:$AG$379)</f>
        <v>1906989.4092419993</v>
      </c>
      <c r="AQ3" s="37">
        <f t="shared" si="1"/>
        <v>0</v>
      </c>
      <c r="AS3" s="35" t="s">
        <v>22</v>
      </c>
      <c r="AT3" s="36">
        <f>SUMIF($B$2:$B$379,AS3,$AB$2:$AB$379)+SUMIF($B$2:$B$379,AS3,$AC$2:$AC$379)+SUMIF($B$2:$B$379,AS3,$AD$2:$AD$379)</f>
        <v>0</v>
      </c>
      <c r="AU3" s="36">
        <f ca="1">SUMIF($B$2:$B$379,AS3,$AE$2:$AE$379)+SUMIF($B$2:$B$379,AS3,$AF$2:$AF$379)+SUMIF($B$2:$B$379,AS3,$AG$2:$AG$379)</f>
        <v>4089481.5813739989</v>
      </c>
      <c r="AV3" s="37">
        <f t="shared" si="2"/>
        <v>0</v>
      </c>
      <c r="AX3" s="96">
        <v>6.9540081387716723E-2</v>
      </c>
    </row>
    <row r="4" spans="1:50" ht="11.25" customHeight="1" x14ac:dyDescent="0.25">
      <c r="A4" s="4" t="s">
        <v>21</v>
      </c>
      <c r="B4" s="4" t="s">
        <v>34</v>
      </c>
      <c r="C4" s="4" t="s">
        <v>35</v>
      </c>
      <c r="D4" s="4" t="s">
        <v>40</v>
      </c>
      <c r="E4" s="4" t="s">
        <v>25</v>
      </c>
      <c r="F4" s="4" t="s">
        <v>25</v>
      </c>
      <c r="G4" s="4" t="s">
        <v>25</v>
      </c>
      <c r="H4" s="4" t="s">
        <v>37</v>
      </c>
      <c r="I4" s="5">
        <v>44470</v>
      </c>
      <c r="J4" s="6">
        <v>0</v>
      </c>
      <c r="K4" s="6">
        <v>0</v>
      </c>
      <c r="L4" s="6">
        <v>42.054000000000002</v>
      </c>
      <c r="M4" s="6">
        <v>42.054000000000002</v>
      </c>
      <c r="N4" s="6">
        <v>42.054000000000002</v>
      </c>
      <c r="O4" s="6">
        <v>42.054000000000002</v>
      </c>
      <c r="P4" s="6">
        <v>0</v>
      </c>
      <c r="Q4" s="4" t="s">
        <v>26</v>
      </c>
      <c r="R4" s="4">
        <v>0</v>
      </c>
      <c r="S4" s="6">
        <v>0</v>
      </c>
      <c r="T4" s="6">
        <v>8</v>
      </c>
      <c r="U4" s="6">
        <v>51</v>
      </c>
      <c r="V4" s="6">
        <f>IF(ISERROR(VLOOKUP($S$4,'TAR FIN'!$A$1:$O$88,15,0)),0,VLOOKUP($S$4,'TAR FIN'!$A$1:$O$88,15,0))</f>
        <v>0</v>
      </c>
      <c r="W4" s="6">
        <f>IF(ISERROR(VLOOKUP($T$4,'TAR FIN'!$A$1:$O$88,15,0)),0,VLOOKUP($T$4,'TAR FIN'!$A$1:$O$88,15,0))</f>
        <v>70.19</v>
      </c>
      <c r="X4" s="6">
        <f>IF(ISERROR(VLOOKUP($U$4,'TAR FIN'!$A$1:$O$88,15,0)),0,VLOOKUP($U$4,'TAR FIN'!$A$1:$O$88,15,0))</f>
        <v>302.62</v>
      </c>
      <c r="Y4" s="6"/>
      <c r="Z4" s="6">
        <f ca="1">('TUSD BE'!$AM$12+'TUSD BF_350'!$AM$12+'TUSD CVA'!$AM$12)*1</f>
        <v>126.25</v>
      </c>
      <c r="AA4" s="6">
        <f ca="1">('TE BE'!$AB$6+'TE BF_350'!$AB$6+'TE CVA'!$AB$6)*1</f>
        <v>250.04</v>
      </c>
      <c r="AB4" s="6">
        <f>$K$4*$V$4</f>
        <v>0</v>
      </c>
      <c r="AC4" s="6">
        <f>$M$4*$W$4</f>
        <v>2951.7702600000002</v>
      </c>
      <c r="AD4" s="6">
        <f>$O$4*$X$4</f>
        <v>12726.38148</v>
      </c>
      <c r="AE4" s="6">
        <f>$K$4*$Y$4</f>
        <v>0</v>
      </c>
      <c r="AF4" s="6">
        <f ca="1">$M$4*$Z$4</f>
        <v>5309.3175000000001</v>
      </c>
      <c r="AG4" s="6">
        <f ca="1">$O$4*$AA$4</f>
        <v>10515.18216</v>
      </c>
      <c r="AI4" s="35" t="s">
        <v>41</v>
      </c>
      <c r="AJ4" s="36">
        <f>SUMIF($B$2:$B$379,AI4,$AB$2:$AB$379)+SUMIF($B$2:$B$379,AI4,$AC$2:$AC$379)</f>
        <v>0</v>
      </c>
      <c r="AK4" s="36">
        <f ca="1">SUMIF($B$2:$B$379,AI4,$AE$2:$AE$379)+SUMIF($B$2:$B$379,AI4,$AF$2:$AF$379)</f>
        <v>3455.6295039999995</v>
      </c>
      <c r="AL4" s="37">
        <f t="shared" si="0"/>
        <v>0</v>
      </c>
      <c r="AN4" s="35" t="s">
        <v>41</v>
      </c>
      <c r="AO4" s="36">
        <f>SUMIF($B$2:$B$379,AN4,$AD$2:$AD$379)</f>
        <v>0</v>
      </c>
      <c r="AP4" s="36">
        <f ca="1">SUMIF($B$2:$B$379,AN4,$AG$2:$AG$379)</f>
        <v>2921.8538879999996</v>
      </c>
      <c r="AQ4" s="37">
        <f t="shared" si="1"/>
        <v>0</v>
      </c>
      <c r="AS4" s="35" t="s">
        <v>41</v>
      </c>
      <c r="AT4" s="36">
        <f>SUMIF($B$2:$B$379,AS4,$AB$2:$AB$379)+SUMIF($B$2:$B$379,AS4,$AC$2:$AC$379)+SUMIF($B$2:$B$379,AS4,$AD$2:$AD$379)</f>
        <v>0</v>
      </c>
      <c r="AU4" s="36">
        <f ca="1">SUMIF($B$2:$B$379,AS4,$AE$2:$AE$379)+SUMIF($B$2:$B$379,AS4,$AF$2:$AF$379)+SUMIF($B$2:$B$379,AS4,$AG$2:$AG$379)</f>
        <v>6377.4833919999992</v>
      </c>
      <c r="AV4" s="37">
        <f t="shared" si="2"/>
        <v>0</v>
      </c>
      <c r="AX4" s="96">
        <v>0.15002839635331022</v>
      </c>
    </row>
    <row r="5" spans="1:50" ht="11.25" customHeight="1" x14ac:dyDescent="0.25">
      <c r="A5" s="4" t="s">
        <v>21</v>
      </c>
      <c r="B5" s="4" t="s">
        <v>34</v>
      </c>
      <c r="C5" s="4" t="s">
        <v>35</v>
      </c>
      <c r="D5" s="4" t="s">
        <v>40</v>
      </c>
      <c r="E5" s="4" t="s">
        <v>25</v>
      </c>
      <c r="F5" s="4" t="s">
        <v>25</v>
      </c>
      <c r="G5" s="4" t="s">
        <v>25</v>
      </c>
      <c r="H5" s="4" t="s">
        <v>37</v>
      </c>
      <c r="I5" s="5">
        <v>44501</v>
      </c>
      <c r="J5" s="6">
        <v>0</v>
      </c>
      <c r="K5" s="6">
        <v>0</v>
      </c>
      <c r="L5" s="6">
        <v>43.274999999999999</v>
      </c>
      <c r="M5" s="6">
        <v>43.274999999999999</v>
      </c>
      <c r="N5" s="6">
        <v>43.274999999999999</v>
      </c>
      <c r="O5" s="6">
        <v>43.274999999999999</v>
      </c>
      <c r="P5" s="6">
        <v>0</v>
      </c>
      <c r="Q5" s="4" t="s">
        <v>26</v>
      </c>
      <c r="R5" s="4">
        <v>0</v>
      </c>
      <c r="S5" s="6">
        <v>0</v>
      </c>
      <c r="T5" s="6">
        <v>8</v>
      </c>
      <c r="U5" s="6">
        <v>51</v>
      </c>
      <c r="V5" s="6">
        <f>IF(ISERROR(VLOOKUP($S$5,'TAR FIN'!$A$1:$O$88,15,0)),0,VLOOKUP($S$5,'TAR FIN'!$A$1:$O$88,15,0))</f>
        <v>0</v>
      </c>
      <c r="W5" s="6">
        <f>IF(ISERROR(VLOOKUP($T$5,'TAR FIN'!$A$1:$O$88,15,0)),0,VLOOKUP($T$5,'TAR FIN'!$A$1:$O$88,15,0))</f>
        <v>70.19</v>
      </c>
      <c r="X5" s="6">
        <f>IF(ISERROR(VLOOKUP($U$5,'TAR FIN'!$A$1:$O$88,15,0)),0,VLOOKUP($U$5,'TAR FIN'!$A$1:$O$88,15,0))</f>
        <v>302.62</v>
      </c>
      <c r="Y5" s="6"/>
      <c r="Z5" s="6">
        <f ca="1">('TUSD BE'!$AM$12+'TUSD BF_350'!$AM$12+'TUSD CVA'!$AM$12)*1</f>
        <v>126.25</v>
      </c>
      <c r="AA5" s="6">
        <f ca="1">('TE BE'!$AB$6+'TE BF_350'!$AB$6+'TE CVA'!$AB$6)*1</f>
        <v>250.04</v>
      </c>
      <c r="AB5" s="6">
        <f>$K$5*$V$5</f>
        <v>0</v>
      </c>
      <c r="AC5" s="6">
        <f>$M$5*$W$5</f>
        <v>3037.4722499999998</v>
      </c>
      <c r="AD5" s="6">
        <f>$O$5*$X$5</f>
        <v>13095.880499999999</v>
      </c>
      <c r="AE5" s="6">
        <f>$K$5*$Y$5</f>
        <v>0</v>
      </c>
      <c r="AF5" s="6">
        <f ca="1">$M$5*$Z$5</f>
        <v>5463.46875</v>
      </c>
      <c r="AG5" s="6">
        <f ca="1">$O$5*$AA$5</f>
        <v>10820.481</v>
      </c>
      <c r="AI5" s="35" t="s">
        <v>32</v>
      </c>
      <c r="AJ5" s="36">
        <f>SUMIF($B$2:$B$379,AI5,$AB$2:$AB$379)+SUMIF($B$2:$B$379,AI5,$AC$2:$AC$379)</f>
        <v>0</v>
      </c>
      <c r="AK5" s="36">
        <f ca="1">SUMIF($B$2:$B$379,AI5,$AE$2:$AE$379)+SUMIF($B$2:$B$379,AI5,$AF$2:$AF$379)</f>
        <v>1495732.7896847003</v>
      </c>
      <c r="AL5" s="37">
        <f t="shared" si="0"/>
        <v>0</v>
      </c>
      <c r="AN5" s="35" t="s">
        <v>32</v>
      </c>
      <c r="AO5" s="36">
        <f>SUMIF($B$2:$B$379,AN5,$AD$2:$AD$379)</f>
        <v>0</v>
      </c>
      <c r="AP5" s="36">
        <f ca="1">SUMIF($B$2:$B$379,AN5,$AG$2:$AG$379)</f>
        <v>1267450.3196559001</v>
      </c>
      <c r="AQ5" s="37">
        <f t="shared" si="1"/>
        <v>0</v>
      </c>
      <c r="AS5" s="35" t="s">
        <v>32</v>
      </c>
      <c r="AT5" s="36">
        <f>SUMIF($B$2:$B$379,AS5,$AB$2:$AB$379)+SUMIF($B$2:$B$379,AS5,$AC$2:$AC$379)+SUMIF($B$2:$B$379,AS5,$AD$2:$AD$379)</f>
        <v>0</v>
      </c>
      <c r="AU5" s="36">
        <f ca="1">SUMIF($B$2:$B$379,AS5,$AE$2:$AE$379)+SUMIF($B$2:$B$379,AS5,$AF$2:$AF$379)+SUMIF($B$2:$B$379,AS5,$AG$2:$AG$379)</f>
        <v>2763183.1093406007</v>
      </c>
      <c r="AV5" s="37">
        <f t="shared" si="2"/>
        <v>0</v>
      </c>
      <c r="AX5" s="96">
        <v>7.6712783085819414E-2</v>
      </c>
    </row>
    <row r="6" spans="1:50" ht="11.25" customHeight="1" x14ac:dyDescent="0.25">
      <c r="A6" s="4" t="s">
        <v>21</v>
      </c>
      <c r="B6" s="4" t="s">
        <v>34</v>
      </c>
      <c r="C6" s="4" t="s">
        <v>35</v>
      </c>
      <c r="D6" s="4" t="s">
        <v>40</v>
      </c>
      <c r="E6" s="4" t="s">
        <v>25</v>
      </c>
      <c r="F6" s="4" t="s">
        <v>25</v>
      </c>
      <c r="G6" s="4" t="s">
        <v>25</v>
      </c>
      <c r="H6" s="4" t="s">
        <v>37</v>
      </c>
      <c r="I6" s="5">
        <v>44531</v>
      </c>
      <c r="J6" s="6">
        <v>0</v>
      </c>
      <c r="K6" s="6">
        <v>0</v>
      </c>
      <c r="L6" s="6">
        <v>18.189</v>
      </c>
      <c r="M6" s="6">
        <v>18.189</v>
      </c>
      <c r="N6" s="6">
        <v>18.189</v>
      </c>
      <c r="O6" s="6">
        <v>18.189</v>
      </c>
      <c r="P6" s="6">
        <v>0</v>
      </c>
      <c r="Q6" s="4" t="s">
        <v>26</v>
      </c>
      <c r="R6" s="4">
        <v>0</v>
      </c>
      <c r="S6" s="6">
        <v>0</v>
      </c>
      <c r="T6" s="6">
        <v>8</v>
      </c>
      <c r="U6" s="6">
        <v>51</v>
      </c>
      <c r="V6" s="6">
        <f>IF(ISERROR(VLOOKUP($S$6,'TAR FIN'!$A$1:$O$88,15,0)),0,VLOOKUP($S$6,'TAR FIN'!$A$1:$O$88,15,0))</f>
        <v>0</v>
      </c>
      <c r="W6" s="6">
        <f>IF(ISERROR(VLOOKUP($T$6,'TAR FIN'!$A$1:$O$88,15,0)),0,VLOOKUP($T$6,'TAR FIN'!$A$1:$O$88,15,0))</f>
        <v>70.19</v>
      </c>
      <c r="X6" s="6">
        <f>IF(ISERROR(VLOOKUP($U$6,'TAR FIN'!$A$1:$O$88,15,0)),0,VLOOKUP($U$6,'TAR FIN'!$A$1:$O$88,15,0))</f>
        <v>302.62</v>
      </c>
      <c r="Y6" s="6"/>
      <c r="Z6" s="6">
        <f ca="1">('TUSD BE'!$AM$12+'TUSD BF_350'!$AM$12+'TUSD CVA'!$AM$12)*1</f>
        <v>126.25</v>
      </c>
      <c r="AA6" s="6">
        <f ca="1">('TE BE'!$AB$6+'TE BF_350'!$AB$6+'TE CVA'!$AB$6)*1</f>
        <v>250.04</v>
      </c>
      <c r="AB6" s="6">
        <f>$K$6*$V$6</f>
        <v>0</v>
      </c>
      <c r="AC6" s="6">
        <f>$M$6*$W$6</f>
        <v>1276.6859099999999</v>
      </c>
      <c r="AD6" s="6">
        <f>$O$6*$X$6</f>
        <v>5504.3551800000005</v>
      </c>
      <c r="AE6" s="6">
        <f>$K$6*$Y$6</f>
        <v>0</v>
      </c>
      <c r="AF6" s="6">
        <f ca="1">$M$6*$Z$6</f>
        <v>2296.3612499999999</v>
      </c>
      <c r="AG6" s="6">
        <f ca="1">$O$6*$AA$6</f>
        <v>4547.9775600000003</v>
      </c>
      <c r="AI6" s="35" t="s">
        <v>44</v>
      </c>
      <c r="AJ6" s="36">
        <f>SUMIF($B$2:$B$379,AI6,$AB$2:$AB$379)+SUMIF($B$2:$B$379,AI6,$AC$2:$AC$379)</f>
        <v>0</v>
      </c>
      <c r="AK6" s="36">
        <f ca="1">SUMIF($B$2:$B$379,AI6,$AE$2:$AE$379)+SUMIF($B$2:$B$379,AI6,$AF$2:$AF$379)</f>
        <v>60912.975920000004</v>
      </c>
      <c r="AL6" s="37">
        <f t="shared" si="0"/>
        <v>0</v>
      </c>
      <c r="AN6" s="35" t="s">
        <v>44</v>
      </c>
      <c r="AO6" s="36">
        <f>SUMIF($B$2:$B$379,AN6,$AD$2:$AD$379)</f>
        <v>0</v>
      </c>
      <c r="AP6" s="36">
        <f ca="1">SUMIF($B$2:$B$379,AN6,$AG$2:$AG$379)</f>
        <v>51503.335439999995</v>
      </c>
      <c r="AQ6" s="37">
        <f t="shared" si="1"/>
        <v>0</v>
      </c>
      <c r="AS6" s="35" t="s">
        <v>44</v>
      </c>
      <c r="AT6" s="36">
        <f>SUMIF($B$2:$B$379,AS6,$AB$2:$AB$379)+SUMIF($B$2:$B$379,AS6,$AC$2:$AC$379)+SUMIF($B$2:$B$379,AS6,$AD$2:$AD$379)</f>
        <v>0</v>
      </c>
      <c r="AU6" s="36">
        <f ca="1">SUMIF($B$2:$B$379,AS6,$AE$2:$AE$379)+SUMIF($B$2:$B$379,AS6,$AF$2:$AF$379)+SUMIF($B$2:$B$379,AS6,$AG$2:$AG$379)</f>
        <v>112416.31135999999</v>
      </c>
      <c r="AV6" s="37">
        <f t="shared" si="2"/>
        <v>0</v>
      </c>
      <c r="AX6" s="96">
        <v>7.6623509718853455E-2</v>
      </c>
    </row>
    <row r="7" spans="1:50" ht="11.25" customHeight="1" x14ac:dyDescent="0.25">
      <c r="A7" s="4" t="s">
        <v>21</v>
      </c>
      <c r="B7" s="4" t="s">
        <v>34</v>
      </c>
      <c r="C7" s="4" t="s">
        <v>35</v>
      </c>
      <c r="D7" s="4" t="s">
        <v>40</v>
      </c>
      <c r="E7" s="4" t="s">
        <v>25</v>
      </c>
      <c r="F7" s="4" t="s">
        <v>25</v>
      </c>
      <c r="G7" s="4" t="s">
        <v>25</v>
      </c>
      <c r="H7" s="4" t="s">
        <v>37</v>
      </c>
      <c r="I7" s="5">
        <v>44562</v>
      </c>
      <c r="J7" s="6">
        <v>0</v>
      </c>
      <c r="K7" s="6">
        <v>0</v>
      </c>
      <c r="L7" s="6">
        <v>18.125</v>
      </c>
      <c r="M7" s="6">
        <v>18.125</v>
      </c>
      <c r="N7" s="6">
        <v>18.125</v>
      </c>
      <c r="O7" s="6">
        <v>18.125</v>
      </c>
      <c r="P7" s="6">
        <v>0</v>
      </c>
      <c r="Q7" s="4" t="s">
        <v>26</v>
      </c>
      <c r="R7" s="4">
        <v>0</v>
      </c>
      <c r="S7" s="6">
        <v>0</v>
      </c>
      <c r="T7" s="6">
        <v>8</v>
      </c>
      <c r="U7" s="6">
        <v>51</v>
      </c>
      <c r="V7" s="6">
        <f>IF(ISERROR(VLOOKUP($S$7,'TAR FIN'!$A$1:$O$88,15,0)),0,VLOOKUP($S$7,'TAR FIN'!$A$1:$O$88,15,0))</f>
        <v>0</v>
      </c>
      <c r="W7" s="6">
        <f>IF(ISERROR(VLOOKUP($T$7,'TAR FIN'!$A$1:$O$88,15,0)),0,VLOOKUP($T$7,'TAR FIN'!$A$1:$O$88,15,0))</f>
        <v>70.19</v>
      </c>
      <c r="X7" s="6">
        <f>IF(ISERROR(VLOOKUP($U$7,'TAR FIN'!$A$1:$O$88,15,0)),0,VLOOKUP($U$7,'TAR FIN'!$A$1:$O$88,15,0))</f>
        <v>302.62</v>
      </c>
      <c r="Y7" s="6"/>
      <c r="Z7" s="6">
        <f ca="1">('TUSD BE'!$AM$12+'TUSD BF_350'!$AM$12+'TUSD CVA'!$AM$12)*1</f>
        <v>126.25</v>
      </c>
      <c r="AA7" s="6">
        <f ca="1">('TE BE'!$AB$6+'TE BF_350'!$AB$6+'TE CVA'!$AB$6)*1</f>
        <v>250.04</v>
      </c>
      <c r="AB7" s="6">
        <f>$K$7*$V$7</f>
        <v>0</v>
      </c>
      <c r="AC7" s="6">
        <f>$M$7*$W$7</f>
        <v>1272.1937499999999</v>
      </c>
      <c r="AD7" s="6">
        <f>$O$7*$X$7</f>
        <v>5484.9875000000002</v>
      </c>
      <c r="AE7" s="6">
        <f>$K$7*$Y$7</f>
        <v>0</v>
      </c>
      <c r="AF7" s="6">
        <f ca="1">$M$7*$Z$7</f>
        <v>2288.28125</v>
      </c>
      <c r="AG7" s="6">
        <f ca="1">$O$7*$AA$7</f>
        <v>4531.9749999999995</v>
      </c>
      <c r="AI7" s="35" t="s">
        <v>603</v>
      </c>
      <c r="AJ7" s="36">
        <f>+$AJ$2</f>
        <v>1586294.6785364186</v>
      </c>
      <c r="AK7" s="36">
        <f ca="1">+$AK$2</f>
        <v>1729093.1851332118</v>
      </c>
      <c r="AL7" s="37">
        <f t="shared" ca="1" si="0"/>
        <v>9.0020163673842024E-2</v>
      </c>
      <c r="AN7" s="35" t="s">
        <v>603</v>
      </c>
      <c r="AO7" s="36">
        <f>+$AO$2</f>
        <v>716110.51144000015</v>
      </c>
      <c r="AP7" s="36">
        <f ca="1">+$AP$2</f>
        <v>589226.44088000001</v>
      </c>
      <c r="AQ7" s="37">
        <f t="shared" ca="1" si="1"/>
        <v>-0.17718504132114143</v>
      </c>
      <c r="AS7" s="35" t="s">
        <v>603</v>
      </c>
      <c r="AT7" s="36">
        <f>+$AT$2</f>
        <v>2302405.1899764189</v>
      </c>
      <c r="AU7" s="36">
        <f ca="1">+$AU$2</f>
        <v>2318319.6260132119</v>
      </c>
      <c r="AV7" s="37">
        <f t="shared" ca="1" si="2"/>
        <v>6.9120918012506305E-3</v>
      </c>
      <c r="AX7" s="96">
        <v>6.9120918012506305E-3</v>
      </c>
    </row>
    <row r="8" spans="1:50" ht="11.25" customHeight="1" x14ac:dyDescent="0.25">
      <c r="A8" s="4" t="s">
        <v>21</v>
      </c>
      <c r="B8" s="4" t="s">
        <v>34</v>
      </c>
      <c r="C8" s="4" t="s">
        <v>35</v>
      </c>
      <c r="D8" s="4" t="s">
        <v>40</v>
      </c>
      <c r="E8" s="4" t="s">
        <v>25</v>
      </c>
      <c r="F8" s="4" t="s">
        <v>25</v>
      </c>
      <c r="G8" s="4" t="s">
        <v>25</v>
      </c>
      <c r="H8" s="4" t="s">
        <v>37</v>
      </c>
      <c r="I8" s="5">
        <v>44593</v>
      </c>
      <c r="J8" s="6">
        <v>0</v>
      </c>
      <c r="K8" s="6">
        <v>0</v>
      </c>
      <c r="L8" s="6">
        <v>19.335999999999999</v>
      </c>
      <c r="M8" s="6">
        <v>19.335999999999999</v>
      </c>
      <c r="N8" s="6">
        <v>19.335999999999999</v>
      </c>
      <c r="O8" s="6">
        <v>19.335999999999999</v>
      </c>
      <c r="P8" s="6">
        <v>0</v>
      </c>
      <c r="Q8" s="4" t="s">
        <v>26</v>
      </c>
      <c r="R8" s="4">
        <v>0</v>
      </c>
      <c r="S8" s="6">
        <v>0</v>
      </c>
      <c r="T8" s="6">
        <v>8</v>
      </c>
      <c r="U8" s="6">
        <v>51</v>
      </c>
      <c r="V8" s="6">
        <f>IF(ISERROR(VLOOKUP($S$8,'TAR FIN'!$A$1:$O$88,15,0)),0,VLOOKUP($S$8,'TAR FIN'!$A$1:$O$88,15,0))</f>
        <v>0</v>
      </c>
      <c r="W8" s="6">
        <f>IF(ISERROR(VLOOKUP($T$8,'TAR FIN'!$A$1:$O$88,15,0)),0,VLOOKUP($T$8,'TAR FIN'!$A$1:$O$88,15,0))</f>
        <v>70.19</v>
      </c>
      <c r="X8" s="6">
        <f>IF(ISERROR(VLOOKUP($U$8,'TAR FIN'!$A$1:$O$88,15,0)),0,VLOOKUP($U$8,'TAR FIN'!$A$1:$O$88,15,0))</f>
        <v>302.62</v>
      </c>
      <c r="Y8" s="6"/>
      <c r="Z8" s="6">
        <f ca="1">('TUSD BE'!$AM$12+'TUSD BF_350'!$AM$12+'TUSD CVA'!$AM$12)*1</f>
        <v>126.25</v>
      </c>
      <c r="AA8" s="6">
        <f ca="1">('TE BE'!$AB$6+'TE BF_350'!$AB$6+'TE CVA'!$AB$6)*1</f>
        <v>250.04</v>
      </c>
      <c r="AB8" s="6">
        <f>$K$8*$V$8</f>
        <v>0</v>
      </c>
      <c r="AC8" s="6">
        <f>$M$8*$W$8</f>
        <v>1357.1938399999999</v>
      </c>
      <c r="AD8" s="6">
        <f>$O$8*$X$8</f>
        <v>5851.4603199999992</v>
      </c>
      <c r="AE8" s="6">
        <f>$K$8*$Y$8</f>
        <v>0</v>
      </c>
      <c r="AF8" s="6">
        <f ca="1">$M$8*$Z$8</f>
        <v>2441.1699999999996</v>
      </c>
      <c r="AG8" s="6">
        <f ca="1">$O$8*$AA$8</f>
        <v>4834.773439999999</v>
      </c>
      <c r="AI8" s="35" t="s">
        <v>79</v>
      </c>
      <c r="AJ8" s="36">
        <f>+$AJ$3+$AJ$4+$AJ$5+$AJ$6</f>
        <v>0</v>
      </c>
      <c r="AK8" s="36">
        <f ca="1">+$AK$3+$AK$4+$AK$5+$AK$6</f>
        <v>3742593.5672407001</v>
      </c>
      <c r="AL8" s="37">
        <f t="shared" si="0"/>
        <v>0</v>
      </c>
      <c r="AN8" s="35" t="s">
        <v>79</v>
      </c>
      <c r="AO8" s="36">
        <f>+$AO$3+$AO$4+$AO$5+$AO$6</f>
        <v>0</v>
      </c>
      <c r="AP8" s="36">
        <f ca="1">+$AP$3+$AP$4+$AP$5+$AP$6</f>
        <v>3228864.9182258993</v>
      </c>
      <c r="AQ8" s="37">
        <f t="shared" si="1"/>
        <v>0</v>
      </c>
      <c r="AS8" s="35" t="s">
        <v>79</v>
      </c>
      <c r="AT8" s="36">
        <f>+$AT$3+$AT$4+$AT$5+$AT$6</f>
        <v>0</v>
      </c>
      <c r="AU8" s="36">
        <f ca="1">+$AU$3+$AU$4+$AU$5+$AU$6</f>
        <v>6971458.4854665995</v>
      </c>
      <c r="AV8" s="37">
        <f t="shared" si="2"/>
        <v>0</v>
      </c>
      <c r="AX8" s="96">
        <v>7.255450959458476E-2</v>
      </c>
    </row>
    <row r="9" spans="1:50" ht="11.25" customHeight="1" x14ac:dyDescent="0.25">
      <c r="A9" s="4" t="s">
        <v>21</v>
      </c>
      <c r="B9" s="4" t="s">
        <v>34</v>
      </c>
      <c r="C9" s="4" t="s">
        <v>35</v>
      </c>
      <c r="D9" s="4" t="s">
        <v>40</v>
      </c>
      <c r="E9" s="4" t="s">
        <v>25</v>
      </c>
      <c r="F9" s="4" t="s">
        <v>25</v>
      </c>
      <c r="G9" s="4" t="s">
        <v>25</v>
      </c>
      <c r="H9" s="4" t="s">
        <v>37</v>
      </c>
      <c r="I9" s="5">
        <v>44621</v>
      </c>
      <c r="J9" s="6">
        <v>0</v>
      </c>
      <c r="K9" s="6">
        <v>0</v>
      </c>
      <c r="L9" s="6">
        <v>22.722999999999999</v>
      </c>
      <c r="M9" s="6">
        <v>22.722999999999999</v>
      </c>
      <c r="N9" s="6">
        <v>22.722999999999999</v>
      </c>
      <c r="O9" s="6">
        <v>22.722999999999999</v>
      </c>
      <c r="P9" s="6">
        <v>0</v>
      </c>
      <c r="Q9" s="4" t="s">
        <v>26</v>
      </c>
      <c r="R9" s="4">
        <v>0</v>
      </c>
      <c r="S9" s="6">
        <v>0</v>
      </c>
      <c r="T9" s="6">
        <v>8</v>
      </c>
      <c r="U9" s="6">
        <v>51</v>
      </c>
      <c r="V9" s="6">
        <f>IF(ISERROR(VLOOKUP($S$9,'TAR FIN'!$A$1:$O$88,15,0)),0,VLOOKUP($S$9,'TAR FIN'!$A$1:$O$88,15,0))</f>
        <v>0</v>
      </c>
      <c r="W9" s="6">
        <f>IF(ISERROR(VLOOKUP($T$9,'TAR FIN'!$A$1:$O$88,15,0)),0,VLOOKUP($T$9,'TAR FIN'!$A$1:$O$88,15,0))</f>
        <v>70.19</v>
      </c>
      <c r="X9" s="6">
        <f>IF(ISERROR(VLOOKUP($U$9,'TAR FIN'!$A$1:$O$88,15,0)),0,VLOOKUP($U$9,'TAR FIN'!$A$1:$O$88,15,0))</f>
        <v>302.62</v>
      </c>
      <c r="Y9" s="6"/>
      <c r="Z9" s="6">
        <f ca="1">('TUSD BE'!$AM$12+'TUSD BF_350'!$AM$12+'TUSD CVA'!$AM$12)*1</f>
        <v>126.25</v>
      </c>
      <c r="AA9" s="6">
        <f ca="1">('TE BE'!$AB$6+'TE BF_350'!$AB$6+'TE CVA'!$AB$6)*1</f>
        <v>250.04</v>
      </c>
      <c r="AB9" s="6">
        <f>$K$9*$V$9</f>
        <v>0</v>
      </c>
      <c r="AC9" s="6">
        <f>$M$9*$W$9</f>
        <v>1594.9273699999999</v>
      </c>
      <c r="AD9" s="6">
        <f>$O$9*$X$9</f>
        <v>6876.43426</v>
      </c>
      <c r="AE9" s="6">
        <f>$K$9*$Y$9</f>
        <v>0</v>
      </c>
      <c r="AF9" s="6">
        <f ca="1">$M$9*$Z$9</f>
        <v>2868.7787499999999</v>
      </c>
      <c r="AG9" s="6">
        <f ca="1">$O$9*$AA$9</f>
        <v>5681.6589199999999</v>
      </c>
      <c r="AI9" s="35" t="s">
        <v>604</v>
      </c>
      <c r="AJ9" s="36">
        <f>AJ8+AJ7</f>
        <v>1586294.6785364186</v>
      </c>
      <c r="AK9" s="36">
        <f ca="1">AK8+AK7</f>
        <v>5471686.7523739114</v>
      </c>
      <c r="AL9" s="37">
        <f t="shared" ca="1" si="0"/>
        <v>2.4493507583485794</v>
      </c>
      <c r="AN9" s="35" t="s">
        <v>604</v>
      </c>
      <c r="AO9" s="36">
        <f>AO8+AO7</f>
        <v>716110.51144000015</v>
      </c>
      <c r="AP9" s="36">
        <f ca="1">AP8+AP7</f>
        <v>3818091.3591058995</v>
      </c>
      <c r="AQ9" s="37">
        <f t="shared" ca="1" si="1"/>
        <v>4.3317069057235882</v>
      </c>
      <c r="AS9" s="35" t="s">
        <v>604</v>
      </c>
      <c r="AT9" s="36">
        <f>AT8+AT7</f>
        <v>2302405.1899764189</v>
      </c>
      <c r="AU9" s="36">
        <f ca="1">AU8+AU7</f>
        <v>9289778.1114798114</v>
      </c>
      <c r="AV9" s="37">
        <f t="shared" ca="1" si="2"/>
        <v>3.0348146155694504</v>
      </c>
      <c r="AX9" s="96">
        <v>5.538445497577249E-2</v>
      </c>
    </row>
    <row r="10" spans="1:50" ht="11.25" customHeight="1" x14ac:dyDescent="0.25">
      <c r="A10" s="4" t="s">
        <v>21</v>
      </c>
      <c r="B10" s="4" t="s">
        <v>34</v>
      </c>
      <c r="C10" s="4" t="s">
        <v>35</v>
      </c>
      <c r="D10" s="4" t="s">
        <v>40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44652</v>
      </c>
      <c r="J10" s="6">
        <v>0</v>
      </c>
      <c r="K10" s="6">
        <v>0</v>
      </c>
      <c r="L10" s="6">
        <v>19.21</v>
      </c>
      <c r="M10" s="6">
        <v>19.21</v>
      </c>
      <c r="N10" s="6">
        <v>19.21</v>
      </c>
      <c r="O10" s="6">
        <v>19.21</v>
      </c>
      <c r="P10" s="6">
        <v>0</v>
      </c>
      <c r="Q10" s="4" t="s">
        <v>26</v>
      </c>
      <c r="R10" s="4">
        <v>0</v>
      </c>
      <c r="S10" s="6">
        <v>0</v>
      </c>
      <c r="T10" s="6">
        <v>8</v>
      </c>
      <c r="U10" s="6">
        <v>51</v>
      </c>
      <c r="V10" s="6">
        <f>IF(ISERROR(VLOOKUP($S$10,'TAR FIN'!$A$1:$O$88,15,0)),0,VLOOKUP($S$10,'TAR FIN'!$A$1:$O$88,15,0))</f>
        <v>0</v>
      </c>
      <c r="W10" s="6">
        <f>IF(ISERROR(VLOOKUP($T$10,'TAR FIN'!$A$1:$O$88,15,0)),0,VLOOKUP($T$10,'TAR FIN'!$A$1:$O$88,15,0))</f>
        <v>70.19</v>
      </c>
      <c r="X10" s="6">
        <f>IF(ISERROR(VLOOKUP($U$10,'TAR FIN'!$A$1:$O$88,15,0)),0,VLOOKUP($U$10,'TAR FIN'!$A$1:$O$88,15,0))</f>
        <v>302.62</v>
      </c>
      <c r="Y10" s="6"/>
      <c r="Z10" s="6">
        <f ca="1">('TUSD BE'!$AM$12+'TUSD BF_350'!$AM$12+'TUSD CVA'!$AM$12)*1</f>
        <v>126.25</v>
      </c>
      <c r="AA10" s="6">
        <f ca="1">('TE BE'!$AB$6+'TE BF_350'!$AB$6+'TE CVA'!$AB$6)*1</f>
        <v>250.04</v>
      </c>
      <c r="AB10" s="6">
        <f>$K$10*$V$10</f>
        <v>0</v>
      </c>
      <c r="AC10" s="6">
        <f>$M$10*$W$10</f>
        <v>1348.3498999999999</v>
      </c>
      <c r="AD10" s="6">
        <f>$O$10*$X$10</f>
        <v>5813.3302000000003</v>
      </c>
      <c r="AE10" s="6">
        <f>$K$10*$Y$10</f>
        <v>0</v>
      </c>
      <c r="AF10" s="6">
        <f ca="1">$M$10*$Z$10</f>
        <v>2425.2625000000003</v>
      </c>
      <c r="AG10" s="6">
        <f ca="1">$O$10*$AA$10</f>
        <v>4803.2683999999999</v>
      </c>
    </row>
    <row r="11" spans="1:50" ht="11.25" customHeight="1" x14ac:dyDescent="0.25">
      <c r="A11" s="4" t="s">
        <v>21</v>
      </c>
      <c r="B11" s="4" t="s">
        <v>34</v>
      </c>
      <c r="C11" s="4" t="s">
        <v>35</v>
      </c>
      <c r="D11" s="4" t="s">
        <v>40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44682</v>
      </c>
      <c r="J11" s="6">
        <v>0</v>
      </c>
      <c r="K11" s="6">
        <v>0</v>
      </c>
      <c r="L11" s="6">
        <v>21.516999999999999</v>
      </c>
      <c r="M11" s="6">
        <v>21.516999999999999</v>
      </c>
      <c r="N11" s="6">
        <v>21.516999999999999</v>
      </c>
      <c r="O11" s="6">
        <v>21.516999999999999</v>
      </c>
      <c r="P11" s="6">
        <v>0</v>
      </c>
      <c r="Q11" s="4" t="s">
        <v>26</v>
      </c>
      <c r="R11" s="4">
        <v>0</v>
      </c>
      <c r="S11" s="6">
        <v>0</v>
      </c>
      <c r="T11" s="6">
        <v>8</v>
      </c>
      <c r="U11" s="6">
        <v>51</v>
      </c>
      <c r="V11" s="6">
        <f>IF(ISERROR(VLOOKUP($S$11,'TAR FIN'!$A$1:$O$88,15,0)),0,VLOOKUP($S$11,'TAR FIN'!$A$1:$O$88,15,0))</f>
        <v>0</v>
      </c>
      <c r="W11" s="6">
        <f>IF(ISERROR(VLOOKUP($T$11,'TAR FIN'!$A$1:$O$88,15,0)),0,VLOOKUP($T$11,'TAR FIN'!$A$1:$O$88,15,0))</f>
        <v>70.19</v>
      </c>
      <c r="X11" s="6">
        <f>IF(ISERROR(VLOOKUP($U$11,'TAR FIN'!$A$1:$O$88,15,0)),0,VLOOKUP($U$11,'TAR FIN'!$A$1:$O$88,15,0))</f>
        <v>302.62</v>
      </c>
      <c r="Y11" s="6"/>
      <c r="Z11" s="6">
        <f ca="1">('TUSD BE'!$AM$12+'TUSD BF_350'!$AM$12+'TUSD CVA'!$AM$12)*1</f>
        <v>126.25</v>
      </c>
      <c r="AA11" s="6">
        <f ca="1">('TE BE'!$AB$6+'TE BF_350'!$AB$6+'TE CVA'!$AB$6)*1</f>
        <v>250.04</v>
      </c>
      <c r="AB11" s="6">
        <f>$K$11*$V$11</f>
        <v>0</v>
      </c>
      <c r="AC11" s="6">
        <f>$M$11*$W$11</f>
        <v>1510.2782299999999</v>
      </c>
      <c r="AD11" s="6">
        <f>$O$11*$X$11</f>
        <v>6511.4745400000002</v>
      </c>
      <c r="AE11" s="6">
        <f>$K$11*$Y$11</f>
        <v>0</v>
      </c>
      <c r="AF11" s="6">
        <f ca="1">$M$11*$Z$11</f>
        <v>2716.5212499999998</v>
      </c>
      <c r="AG11" s="6">
        <f ca="1">$O$11*$AA$11</f>
        <v>5380.1106799999998</v>
      </c>
    </row>
    <row r="12" spans="1:50" ht="11.25" customHeight="1" x14ac:dyDescent="0.25">
      <c r="A12" s="4" t="s">
        <v>21</v>
      </c>
      <c r="B12" s="4" t="s">
        <v>34</v>
      </c>
      <c r="C12" s="4" t="s">
        <v>35</v>
      </c>
      <c r="D12" s="4" t="s">
        <v>40</v>
      </c>
      <c r="E12" s="4" t="s">
        <v>25</v>
      </c>
      <c r="F12" s="4" t="s">
        <v>25</v>
      </c>
      <c r="G12" s="4" t="s">
        <v>25</v>
      </c>
      <c r="H12" s="4" t="s">
        <v>37</v>
      </c>
      <c r="I12" s="5">
        <v>44713</v>
      </c>
      <c r="J12" s="6">
        <v>0</v>
      </c>
      <c r="K12" s="6">
        <v>0</v>
      </c>
      <c r="L12" s="6">
        <v>20.657</v>
      </c>
      <c r="M12" s="6">
        <v>20.657</v>
      </c>
      <c r="N12" s="6">
        <v>20.657</v>
      </c>
      <c r="O12" s="6">
        <v>20.657</v>
      </c>
      <c r="P12" s="6">
        <v>0</v>
      </c>
      <c r="Q12" s="4" t="s">
        <v>26</v>
      </c>
      <c r="R12" s="4">
        <v>0</v>
      </c>
      <c r="S12" s="6">
        <v>0</v>
      </c>
      <c r="T12" s="6">
        <v>8</v>
      </c>
      <c r="U12" s="6">
        <v>51</v>
      </c>
      <c r="V12" s="6">
        <f>IF(ISERROR(VLOOKUP($S$12,'TAR FIN'!$A$1:$O$88,15,0)),0,VLOOKUP($S$12,'TAR FIN'!$A$1:$O$88,15,0))</f>
        <v>0</v>
      </c>
      <c r="W12" s="6">
        <f>IF(ISERROR(VLOOKUP($T$12,'TAR FIN'!$A$1:$O$88,15,0)),0,VLOOKUP($T$12,'TAR FIN'!$A$1:$O$88,15,0))</f>
        <v>70.19</v>
      </c>
      <c r="X12" s="6">
        <f>IF(ISERROR(VLOOKUP($U$12,'TAR FIN'!$A$1:$O$88,15,0)),0,VLOOKUP($U$12,'TAR FIN'!$A$1:$O$88,15,0))</f>
        <v>302.62</v>
      </c>
      <c r="Y12" s="6"/>
      <c r="Z12" s="6">
        <f ca="1">('TUSD BE'!$AM$12+'TUSD BF_350'!$AM$12+'TUSD CVA'!$AM$12)*1</f>
        <v>126.25</v>
      </c>
      <c r="AA12" s="6">
        <f ca="1">('TE BE'!$AB$6+'TE BF_350'!$AB$6+'TE CVA'!$AB$6)*1</f>
        <v>250.04</v>
      </c>
      <c r="AB12" s="6">
        <f>$K$12*$V$12</f>
        <v>0</v>
      </c>
      <c r="AC12" s="6">
        <f>$M$12*$W$12</f>
        <v>1449.9148299999999</v>
      </c>
      <c r="AD12" s="6">
        <f>$O$12*$X$12</f>
        <v>6251.2213400000001</v>
      </c>
      <c r="AE12" s="6">
        <f>$K$12*$Y$12</f>
        <v>0</v>
      </c>
      <c r="AF12" s="6">
        <f ca="1">$M$12*$Z$12</f>
        <v>2607.94625</v>
      </c>
      <c r="AG12" s="6">
        <f ca="1">$O$12*$AA$12</f>
        <v>5165.0762800000002</v>
      </c>
    </row>
    <row r="13" spans="1:50" ht="11.25" customHeight="1" x14ac:dyDescent="0.25">
      <c r="A13" s="4" t="s">
        <v>21</v>
      </c>
      <c r="B13" s="4" t="s">
        <v>34</v>
      </c>
      <c r="C13" s="4" t="s">
        <v>35</v>
      </c>
      <c r="D13" s="4" t="s">
        <v>40</v>
      </c>
      <c r="E13" s="4" t="s">
        <v>25</v>
      </c>
      <c r="F13" s="4" t="s">
        <v>25</v>
      </c>
      <c r="G13" s="4" t="s">
        <v>25</v>
      </c>
      <c r="H13" s="4" t="s">
        <v>37</v>
      </c>
      <c r="I13" s="5">
        <v>44743</v>
      </c>
      <c r="J13" s="6">
        <v>0</v>
      </c>
      <c r="K13" s="6">
        <v>0</v>
      </c>
      <c r="L13" s="6">
        <v>20.9</v>
      </c>
      <c r="M13" s="6">
        <v>20.9</v>
      </c>
      <c r="N13" s="6">
        <v>20.9</v>
      </c>
      <c r="O13" s="6">
        <v>20.9</v>
      </c>
      <c r="P13" s="6">
        <v>0</v>
      </c>
      <c r="Q13" s="4" t="s">
        <v>26</v>
      </c>
      <c r="R13" s="4">
        <v>0</v>
      </c>
      <c r="S13" s="6">
        <v>0</v>
      </c>
      <c r="T13" s="6">
        <v>8</v>
      </c>
      <c r="U13" s="6">
        <v>51</v>
      </c>
      <c r="V13" s="6">
        <f>IF(ISERROR(VLOOKUP($S$13,'TAR FIN'!$A$1:$O$88,15,0)),0,VLOOKUP($S$13,'TAR FIN'!$A$1:$O$88,15,0))</f>
        <v>0</v>
      </c>
      <c r="W13" s="6">
        <f>IF(ISERROR(VLOOKUP($T$13,'TAR FIN'!$A$1:$O$88,15,0)),0,VLOOKUP($T$13,'TAR FIN'!$A$1:$O$88,15,0))</f>
        <v>70.19</v>
      </c>
      <c r="X13" s="6">
        <f>IF(ISERROR(VLOOKUP($U$13,'TAR FIN'!$A$1:$O$88,15,0)),0,VLOOKUP($U$13,'TAR FIN'!$A$1:$O$88,15,0))</f>
        <v>302.62</v>
      </c>
      <c r="Y13" s="6"/>
      <c r="Z13" s="6">
        <f ca="1">('TUSD BE'!$AM$12+'TUSD BF_350'!$AM$12+'TUSD CVA'!$AM$12)*1</f>
        <v>126.25</v>
      </c>
      <c r="AA13" s="6">
        <f ca="1">('TE BE'!$AB$6+'TE BF_350'!$AB$6+'TE CVA'!$AB$6)*1</f>
        <v>250.04</v>
      </c>
      <c r="AB13" s="6">
        <f>$K$13*$V$13</f>
        <v>0</v>
      </c>
      <c r="AC13" s="6">
        <f>$M$13*$W$13</f>
        <v>1466.9709999999998</v>
      </c>
      <c r="AD13" s="6">
        <f>$O$13*$X$13</f>
        <v>6324.7579999999998</v>
      </c>
      <c r="AE13" s="6">
        <f>$K$13*$Y$13</f>
        <v>0</v>
      </c>
      <c r="AF13" s="6">
        <f ca="1">$M$13*$Z$13</f>
        <v>2638.625</v>
      </c>
      <c r="AG13" s="6">
        <f ca="1">$O$13*$AA$13</f>
        <v>5225.8359999999993</v>
      </c>
    </row>
    <row r="14" spans="1:50" ht="11.25" customHeight="1" x14ac:dyDescent="0.25">
      <c r="A14" s="4" t="s">
        <v>21</v>
      </c>
      <c r="B14" s="4" t="s">
        <v>34</v>
      </c>
      <c r="C14" s="4" t="s">
        <v>35</v>
      </c>
      <c r="D14" s="4" t="s">
        <v>40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44409</v>
      </c>
      <c r="J14" s="6">
        <v>267</v>
      </c>
      <c r="K14" s="6">
        <v>267</v>
      </c>
      <c r="L14" s="6">
        <v>0</v>
      </c>
      <c r="M14" s="6">
        <v>0</v>
      </c>
      <c r="N14" s="6">
        <v>0</v>
      </c>
      <c r="O14" s="6">
        <v>0</v>
      </c>
      <c r="P14" s="6">
        <v>2</v>
      </c>
      <c r="Q14" s="4" t="s">
        <v>26</v>
      </c>
      <c r="R14" s="4">
        <v>0</v>
      </c>
      <c r="S14" s="6">
        <v>6</v>
      </c>
      <c r="T14" s="6">
        <v>0</v>
      </c>
      <c r="U14" s="6">
        <v>0</v>
      </c>
      <c r="V14" s="6">
        <f>IF(ISERROR(VLOOKUP($S$14,'TAR FIN'!$A$1:$O$88,15,0)),0,VLOOKUP($S$14,'TAR FIN'!$A$1:$O$88,15,0))</f>
        <v>20.43</v>
      </c>
      <c r="W14" s="6">
        <f>IF(ISERROR(VLOOKUP($T$14,'TAR FIN'!$A$1:$O$88,15,0)),0,VLOOKUP($T$14,'TAR FIN'!$A$1:$O$88,15,0))</f>
        <v>0</v>
      </c>
      <c r="X14" s="6">
        <f>IF(ISERROR(VLOOKUP($U$14,'TAR FIN'!$A$1:$O$88,15,0)),0,VLOOKUP($U$14,'TAR FIN'!$A$1:$O$88,15,0))</f>
        <v>0</v>
      </c>
      <c r="Y14" s="6">
        <f ca="1">('TUSD BE'!$AM$10+'TUSD BF_350'!$AM$10+'TUSD CVA'!$AM$10)*1</f>
        <v>15.64</v>
      </c>
      <c r="Z14" s="6"/>
      <c r="AA14" s="6"/>
      <c r="AB14" s="6">
        <f>$K$14*$V$14</f>
        <v>5454.8099999999995</v>
      </c>
      <c r="AC14" s="6">
        <f>$M$14*$W$14</f>
        <v>0</v>
      </c>
      <c r="AD14" s="6">
        <f>$O$14*$X$14</f>
        <v>0</v>
      </c>
      <c r="AE14" s="6">
        <f ca="1">$K$14*$Y$14</f>
        <v>4175.88</v>
      </c>
      <c r="AF14" s="6">
        <f>$M$14*$Z$14</f>
        <v>0</v>
      </c>
      <c r="AG14" s="6">
        <f>$O$14*$AA$14</f>
        <v>0</v>
      </c>
    </row>
    <row r="15" spans="1:50" ht="11.25" customHeight="1" x14ac:dyDescent="0.25">
      <c r="A15" s="4" t="s">
        <v>21</v>
      </c>
      <c r="B15" s="4" t="s">
        <v>34</v>
      </c>
      <c r="C15" s="4" t="s">
        <v>35</v>
      </c>
      <c r="D15" s="4" t="s">
        <v>40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44440</v>
      </c>
      <c r="J15" s="6">
        <v>294</v>
      </c>
      <c r="K15" s="6">
        <v>294</v>
      </c>
      <c r="L15" s="6">
        <v>0</v>
      </c>
      <c r="M15" s="6">
        <v>0</v>
      </c>
      <c r="N15" s="6">
        <v>0</v>
      </c>
      <c r="O15" s="6">
        <v>0</v>
      </c>
      <c r="P15" s="6">
        <v>2</v>
      </c>
      <c r="Q15" s="4" t="s">
        <v>26</v>
      </c>
      <c r="R15" s="4">
        <v>0</v>
      </c>
      <c r="S15" s="6">
        <v>6</v>
      </c>
      <c r="T15" s="6">
        <v>0</v>
      </c>
      <c r="U15" s="6">
        <v>0</v>
      </c>
      <c r="V15" s="6">
        <f>IF(ISERROR(VLOOKUP($S$15,'TAR FIN'!$A$1:$O$88,15,0)),0,VLOOKUP($S$15,'TAR FIN'!$A$1:$O$88,15,0))</f>
        <v>20.43</v>
      </c>
      <c r="W15" s="6">
        <f>IF(ISERROR(VLOOKUP($T$15,'TAR FIN'!$A$1:$O$88,15,0)),0,VLOOKUP($T$15,'TAR FIN'!$A$1:$O$88,15,0))</f>
        <v>0</v>
      </c>
      <c r="X15" s="6">
        <f>IF(ISERROR(VLOOKUP($U$15,'TAR FIN'!$A$1:$O$88,15,0)),0,VLOOKUP($U$15,'TAR FIN'!$A$1:$O$88,15,0))</f>
        <v>0</v>
      </c>
      <c r="Y15" s="6">
        <f ca="1">('TUSD BE'!$AM$10+'TUSD BF_350'!$AM$10+'TUSD CVA'!$AM$10)*1</f>
        <v>15.64</v>
      </c>
      <c r="Z15" s="6"/>
      <c r="AA15" s="6"/>
      <c r="AB15" s="6">
        <f>$K$15*$V$15</f>
        <v>6006.42</v>
      </c>
      <c r="AC15" s="6">
        <f>$M$15*$W$15</f>
        <v>0</v>
      </c>
      <c r="AD15" s="6">
        <f>$O$15*$X$15</f>
        <v>0</v>
      </c>
      <c r="AE15" s="6">
        <f ca="1">$K$15*$Y$15</f>
        <v>4598.16</v>
      </c>
      <c r="AF15" s="6">
        <f>$M$15*$Z$15</f>
        <v>0</v>
      </c>
      <c r="AG15" s="6">
        <f>$O$15*$AA$15</f>
        <v>0</v>
      </c>
    </row>
    <row r="16" spans="1:50" ht="11.25" customHeight="1" x14ac:dyDescent="0.25">
      <c r="A16" s="4" t="s">
        <v>21</v>
      </c>
      <c r="B16" s="4" t="s">
        <v>34</v>
      </c>
      <c r="C16" s="4" t="s">
        <v>35</v>
      </c>
      <c r="D16" s="4" t="s">
        <v>40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44470</v>
      </c>
      <c r="J16" s="6">
        <v>180</v>
      </c>
      <c r="K16" s="6">
        <v>180</v>
      </c>
      <c r="L16" s="6">
        <v>0</v>
      </c>
      <c r="M16" s="6">
        <v>0</v>
      </c>
      <c r="N16" s="6">
        <v>0</v>
      </c>
      <c r="O16" s="6">
        <v>0</v>
      </c>
      <c r="P16" s="6">
        <v>2</v>
      </c>
      <c r="Q16" s="4" t="s">
        <v>26</v>
      </c>
      <c r="R16" s="4">
        <v>0</v>
      </c>
      <c r="S16" s="6">
        <v>6</v>
      </c>
      <c r="T16" s="6">
        <v>0</v>
      </c>
      <c r="U16" s="6">
        <v>0</v>
      </c>
      <c r="V16" s="6">
        <f>IF(ISERROR(VLOOKUP($S$16,'TAR FIN'!$A$1:$O$88,15,0)),0,VLOOKUP($S$16,'TAR FIN'!$A$1:$O$88,15,0))</f>
        <v>20.43</v>
      </c>
      <c r="W16" s="6">
        <f>IF(ISERROR(VLOOKUP($T$16,'TAR FIN'!$A$1:$O$88,15,0)),0,VLOOKUP($T$16,'TAR FIN'!$A$1:$O$88,15,0))</f>
        <v>0</v>
      </c>
      <c r="X16" s="6">
        <f>IF(ISERROR(VLOOKUP($U$16,'TAR FIN'!$A$1:$O$88,15,0)),0,VLOOKUP($U$16,'TAR FIN'!$A$1:$O$88,15,0))</f>
        <v>0</v>
      </c>
      <c r="Y16" s="6">
        <f ca="1">('TUSD BE'!$AM$10+'TUSD BF_350'!$AM$10+'TUSD CVA'!$AM$10)*1</f>
        <v>15.64</v>
      </c>
      <c r="Z16" s="6"/>
      <c r="AA16" s="6"/>
      <c r="AB16" s="6">
        <f>$K$16*$V$16</f>
        <v>3677.4</v>
      </c>
      <c r="AC16" s="6">
        <f>$M$16*$W$16</f>
        <v>0</v>
      </c>
      <c r="AD16" s="6">
        <f>$O$16*$X$16</f>
        <v>0</v>
      </c>
      <c r="AE16" s="6">
        <f ca="1">$K$16*$Y$16</f>
        <v>2815.2000000000003</v>
      </c>
      <c r="AF16" s="6">
        <f>$M$16*$Z$16</f>
        <v>0</v>
      </c>
      <c r="AG16" s="6">
        <f>$O$16*$AA$16</f>
        <v>0</v>
      </c>
    </row>
    <row r="17" spans="1:33" ht="11.25" customHeight="1" x14ac:dyDescent="0.25">
      <c r="A17" s="4" t="s">
        <v>21</v>
      </c>
      <c r="B17" s="4" t="s">
        <v>34</v>
      </c>
      <c r="C17" s="4" t="s">
        <v>35</v>
      </c>
      <c r="D17" s="4" t="s">
        <v>40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44501</v>
      </c>
      <c r="J17" s="6">
        <v>221</v>
      </c>
      <c r="K17" s="6">
        <v>221</v>
      </c>
      <c r="L17" s="6">
        <v>0</v>
      </c>
      <c r="M17" s="6">
        <v>0</v>
      </c>
      <c r="N17" s="6">
        <v>0</v>
      </c>
      <c r="O17" s="6">
        <v>0</v>
      </c>
      <c r="P17" s="6">
        <v>2</v>
      </c>
      <c r="Q17" s="4" t="s">
        <v>26</v>
      </c>
      <c r="R17" s="4">
        <v>0</v>
      </c>
      <c r="S17" s="6">
        <v>6</v>
      </c>
      <c r="T17" s="6">
        <v>0</v>
      </c>
      <c r="U17" s="6">
        <v>0</v>
      </c>
      <c r="V17" s="6">
        <f>IF(ISERROR(VLOOKUP($S$17,'TAR FIN'!$A$1:$O$88,15,0)),0,VLOOKUP($S$17,'TAR FIN'!$A$1:$O$88,15,0))</f>
        <v>20.43</v>
      </c>
      <c r="W17" s="6">
        <f>IF(ISERROR(VLOOKUP($T$17,'TAR FIN'!$A$1:$O$88,15,0)),0,VLOOKUP($T$17,'TAR FIN'!$A$1:$O$88,15,0))</f>
        <v>0</v>
      </c>
      <c r="X17" s="6">
        <f>IF(ISERROR(VLOOKUP($U$17,'TAR FIN'!$A$1:$O$88,15,0)),0,VLOOKUP($U$17,'TAR FIN'!$A$1:$O$88,15,0))</f>
        <v>0</v>
      </c>
      <c r="Y17" s="6">
        <f ca="1">('TUSD BE'!$AM$10+'TUSD BF_350'!$AM$10+'TUSD CVA'!$AM$10)*1</f>
        <v>15.64</v>
      </c>
      <c r="Z17" s="6"/>
      <c r="AA17" s="6"/>
      <c r="AB17" s="6">
        <f>$K$17*$V$17</f>
        <v>4515.03</v>
      </c>
      <c r="AC17" s="6">
        <f>$M$17*$W$17</f>
        <v>0</v>
      </c>
      <c r="AD17" s="6">
        <f>$O$17*$X$17</f>
        <v>0</v>
      </c>
      <c r="AE17" s="6">
        <f ca="1">$K$17*$Y$17</f>
        <v>3456.44</v>
      </c>
      <c r="AF17" s="6">
        <f>$M$17*$Z$17</f>
        <v>0</v>
      </c>
      <c r="AG17" s="6">
        <f>$O$17*$AA$17</f>
        <v>0</v>
      </c>
    </row>
    <row r="18" spans="1:33" ht="11.25" customHeight="1" x14ac:dyDescent="0.25">
      <c r="A18" s="4" t="s">
        <v>21</v>
      </c>
      <c r="B18" s="4" t="s">
        <v>34</v>
      </c>
      <c r="C18" s="4" t="s">
        <v>35</v>
      </c>
      <c r="D18" s="4" t="s">
        <v>40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44531</v>
      </c>
      <c r="J18" s="6">
        <v>166</v>
      </c>
      <c r="K18" s="6">
        <v>166</v>
      </c>
      <c r="L18" s="6">
        <v>0</v>
      </c>
      <c r="M18" s="6">
        <v>0</v>
      </c>
      <c r="N18" s="6">
        <v>0</v>
      </c>
      <c r="O18" s="6">
        <v>0</v>
      </c>
      <c r="P18" s="6">
        <v>1</v>
      </c>
      <c r="Q18" s="4" t="s">
        <v>26</v>
      </c>
      <c r="R18" s="4">
        <v>0</v>
      </c>
      <c r="S18" s="6">
        <v>6</v>
      </c>
      <c r="T18" s="6">
        <v>0</v>
      </c>
      <c r="U18" s="6">
        <v>0</v>
      </c>
      <c r="V18" s="6">
        <f>IF(ISERROR(VLOOKUP($S$18,'TAR FIN'!$A$1:$O$88,15,0)),0,VLOOKUP($S$18,'TAR FIN'!$A$1:$O$88,15,0))</f>
        <v>20.43</v>
      </c>
      <c r="W18" s="6">
        <f>IF(ISERROR(VLOOKUP($T$18,'TAR FIN'!$A$1:$O$88,15,0)),0,VLOOKUP($T$18,'TAR FIN'!$A$1:$O$88,15,0))</f>
        <v>0</v>
      </c>
      <c r="X18" s="6">
        <f>IF(ISERROR(VLOOKUP($U$18,'TAR FIN'!$A$1:$O$88,15,0)),0,VLOOKUP($U$18,'TAR FIN'!$A$1:$O$88,15,0))</f>
        <v>0</v>
      </c>
      <c r="Y18" s="6">
        <f ca="1">('TUSD BE'!$AM$10+'TUSD BF_350'!$AM$10+'TUSD CVA'!$AM$10)*1</f>
        <v>15.64</v>
      </c>
      <c r="Z18" s="6"/>
      <c r="AA18" s="6"/>
      <c r="AB18" s="6">
        <f>$K$18*$V$18</f>
        <v>3391.38</v>
      </c>
      <c r="AC18" s="6">
        <f>$M$18*$W$18</f>
        <v>0</v>
      </c>
      <c r="AD18" s="6">
        <f>$O$18*$X$18</f>
        <v>0</v>
      </c>
      <c r="AE18" s="6">
        <f ca="1">$K$18*$Y$18</f>
        <v>2596.2400000000002</v>
      </c>
      <c r="AF18" s="6">
        <f>$M$18*$Z$18</f>
        <v>0</v>
      </c>
      <c r="AG18" s="6">
        <f>$O$18*$AA$18</f>
        <v>0</v>
      </c>
    </row>
    <row r="19" spans="1:33" ht="11.25" customHeight="1" x14ac:dyDescent="0.25">
      <c r="A19" s="4" t="s">
        <v>21</v>
      </c>
      <c r="B19" s="4" t="s">
        <v>34</v>
      </c>
      <c r="C19" s="4" t="s">
        <v>35</v>
      </c>
      <c r="D19" s="4" t="s">
        <v>40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44562</v>
      </c>
      <c r="J19" s="6">
        <v>125</v>
      </c>
      <c r="K19" s="6">
        <v>125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4" t="s">
        <v>26</v>
      </c>
      <c r="R19" s="4">
        <v>0</v>
      </c>
      <c r="S19" s="6">
        <v>6</v>
      </c>
      <c r="T19" s="6">
        <v>0</v>
      </c>
      <c r="U19" s="6">
        <v>0</v>
      </c>
      <c r="V19" s="6">
        <f>IF(ISERROR(VLOOKUP($S$19,'TAR FIN'!$A$1:$O$88,15,0)),0,VLOOKUP($S$19,'TAR FIN'!$A$1:$O$88,15,0))</f>
        <v>20.43</v>
      </c>
      <c r="W19" s="6">
        <f>IF(ISERROR(VLOOKUP($T$19,'TAR FIN'!$A$1:$O$88,15,0)),0,VLOOKUP($T$19,'TAR FIN'!$A$1:$O$88,15,0))</f>
        <v>0</v>
      </c>
      <c r="X19" s="6">
        <f>IF(ISERROR(VLOOKUP($U$19,'TAR FIN'!$A$1:$O$88,15,0)),0,VLOOKUP($U$19,'TAR FIN'!$A$1:$O$88,15,0))</f>
        <v>0</v>
      </c>
      <c r="Y19" s="6">
        <f ca="1">('TUSD BE'!$AM$10+'TUSD BF_350'!$AM$10+'TUSD CVA'!$AM$10)*1</f>
        <v>15.64</v>
      </c>
      <c r="Z19" s="6"/>
      <c r="AA19" s="6"/>
      <c r="AB19" s="6">
        <f>$K$19*$V$19</f>
        <v>2553.75</v>
      </c>
      <c r="AC19" s="6">
        <f>$M$19*$W$19</f>
        <v>0</v>
      </c>
      <c r="AD19" s="6">
        <f>$O$19*$X$19</f>
        <v>0</v>
      </c>
      <c r="AE19" s="6">
        <f ca="1">$K$19*$Y$19</f>
        <v>1955</v>
      </c>
      <c r="AF19" s="6">
        <f>$M$19*$Z$19</f>
        <v>0</v>
      </c>
      <c r="AG19" s="6">
        <f>$O$19*$AA$19</f>
        <v>0</v>
      </c>
    </row>
    <row r="20" spans="1:33" ht="11.25" customHeight="1" x14ac:dyDescent="0.25">
      <c r="A20" s="4" t="s">
        <v>21</v>
      </c>
      <c r="B20" s="4" t="s">
        <v>34</v>
      </c>
      <c r="C20" s="4" t="s">
        <v>35</v>
      </c>
      <c r="D20" s="4" t="s">
        <v>40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44593</v>
      </c>
      <c r="J20" s="6">
        <v>148</v>
      </c>
      <c r="K20" s="6">
        <v>148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4" t="s">
        <v>26</v>
      </c>
      <c r="R20" s="4">
        <v>0</v>
      </c>
      <c r="S20" s="6">
        <v>6</v>
      </c>
      <c r="T20" s="6">
        <v>0</v>
      </c>
      <c r="U20" s="6">
        <v>0</v>
      </c>
      <c r="V20" s="6">
        <f>IF(ISERROR(VLOOKUP($S$20,'TAR FIN'!$A$1:$O$88,15,0)),0,VLOOKUP($S$20,'TAR FIN'!$A$1:$O$88,15,0))</f>
        <v>20.43</v>
      </c>
      <c r="W20" s="6">
        <f>IF(ISERROR(VLOOKUP($T$20,'TAR FIN'!$A$1:$O$88,15,0)),0,VLOOKUP($T$20,'TAR FIN'!$A$1:$O$88,15,0))</f>
        <v>0</v>
      </c>
      <c r="X20" s="6">
        <f>IF(ISERROR(VLOOKUP($U$20,'TAR FIN'!$A$1:$O$88,15,0)),0,VLOOKUP($U$20,'TAR FIN'!$A$1:$O$88,15,0))</f>
        <v>0</v>
      </c>
      <c r="Y20" s="6">
        <f ca="1">('TUSD BE'!$AM$10+'TUSD BF_350'!$AM$10+'TUSD CVA'!$AM$10)*1</f>
        <v>15.64</v>
      </c>
      <c r="Z20" s="6"/>
      <c r="AA20" s="6"/>
      <c r="AB20" s="6">
        <f>$K$20*$V$20</f>
        <v>3023.64</v>
      </c>
      <c r="AC20" s="6">
        <f>$M$20*$W$20</f>
        <v>0</v>
      </c>
      <c r="AD20" s="6">
        <f>$O$20*$X$20</f>
        <v>0</v>
      </c>
      <c r="AE20" s="6">
        <f ca="1">$K$20*$Y$20</f>
        <v>2314.7200000000003</v>
      </c>
      <c r="AF20" s="6">
        <f>$M$20*$Z$20</f>
        <v>0</v>
      </c>
      <c r="AG20" s="6">
        <f>$O$20*$AA$20</f>
        <v>0</v>
      </c>
    </row>
    <row r="21" spans="1:33" ht="11.25" customHeight="1" x14ac:dyDescent="0.25">
      <c r="A21" s="4" t="s">
        <v>21</v>
      </c>
      <c r="B21" s="4" t="s">
        <v>34</v>
      </c>
      <c r="C21" s="4" t="s">
        <v>35</v>
      </c>
      <c r="D21" s="4" t="s">
        <v>40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44621</v>
      </c>
      <c r="J21" s="6">
        <v>158</v>
      </c>
      <c r="K21" s="6">
        <v>158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4" t="s">
        <v>26</v>
      </c>
      <c r="R21" s="4">
        <v>0</v>
      </c>
      <c r="S21" s="6">
        <v>6</v>
      </c>
      <c r="T21" s="6">
        <v>0</v>
      </c>
      <c r="U21" s="6">
        <v>0</v>
      </c>
      <c r="V21" s="6">
        <f>IF(ISERROR(VLOOKUP($S$21,'TAR FIN'!$A$1:$O$88,15,0)),0,VLOOKUP($S$21,'TAR FIN'!$A$1:$O$88,15,0))</f>
        <v>20.43</v>
      </c>
      <c r="W21" s="6">
        <f>IF(ISERROR(VLOOKUP($T$21,'TAR FIN'!$A$1:$O$88,15,0)),0,VLOOKUP($T$21,'TAR FIN'!$A$1:$O$88,15,0))</f>
        <v>0</v>
      </c>
      <c r="X21" s="6">
        <f>IF(ISERROR(VLOOKUP($U$21,'TAR FIN'!$A$1:$O$88,15,0)),0,VLOOKUP($U$21,'TAR FIN'!$A$1:$O$88,15,0))</f>
        <v>0</v>
      </c>
      <c r="Y21" s="6">
        <f ca="1">('TUSD BE'!$AM$10+'TUSD BF_350'!$AM$10+'TUSD CVA'!$AM$10)*1</f>
        <v>15.64</v>
      </c>
      <c r="Z21" s="6"/>
      <c r="AA21" s="6"/>
      <c r="AB21" s="6">
        <f>$K$21*$V$21</f>
        <v>3227.94</v>
      </c>
      <c r="AC21" s="6">
        <f>$M$21*$W$21</f>
        <v>0</v>
      </c>
      <c r="AD21" s="6">
        <f>$O$21*$X$21</f>
        <v>0</v>
      </c>
      <c r="AE21" s="6">
        <f ca="1">$K$21*$Y$21</f>
        <v>2471.12</v>
      </c>
      <c r="AF21" s="6">
        <f>$M$21*$Z$21</f>
        <v>0</v>
      </c>
      <c r="AG21" s="6">
        <f>$O$21*$AA$21</f>
        <v>0</v>
      </c>
    </row>
    <row r="22" spans="1:33" ht="11.25" customHeight="1" x14ac:dyDescent="0.25">
      <c r="A22" s="4" t="s">
        <v>21</v>
      </c>
      <c r="B22" s="4" t="s">
        <v>34</v>
      </c>
      <c r="C22" s="4" t="s">
        <v>35</v>
      </c>
      <c r="D22" s="4" t="s">
        <v>40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44652</v>
      </c>
      <c r="J22" s="6">
        <v>142</v>
      </c>
      <c r="K22" s="6">
        <v>142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4" t="s">
        <v>26</v>
      </c>
      <c r="R22" s="4">
        <v>0</v>
      </c>
      <c r="S22" s="6">
        <v>6</v>
      </c>
      <c r="T22" s="6">
        <v>0</v>
      </c>
      <c r="U22" s="6">
        <v>0</v>
      </c>
      <c r="V22" s="6">
        <f>IF(ISERROR(VLOOKUP($S$22,'TAR FIN'!$A$1:$O$88,15,0)),0,VLOOKUP($S$22,'TAR FIN'!$A$1:$O$88,15,0))</f>
        <v>20.43</v>
      </c>
      <c r="W22" s="6">
        <f>IF(ISERROR(VLOOKUP($T$22,'TAR FIN'!$A$1:$O$88,15,0)),0,VLOOKUP($T$22,'TAR FIN'!$A$1:$O$88,15,0))</f>
        <v>0</v>
      </c>
      <c r="X22" s="6">
        <f>IF(ISERROR(VLOOKUP($U$22,'TAR FIN'!$A$1:$O$88,15,0)),0,VLOOKUP($U$22,'TAR FIN'!$A$1:$O$88,15,0))</f>
        <v>0</v>
      </c>
      <c r="Y22" s="6">
        <f ca="1">('TUSD BE'!$AM$10+'TUSD BF_350'!$AM$10+'TUSD CVA'!$AM$10)*1</f>
        <v>15.64</v>
      </c>
      <c r="Z22" s="6"/>
      <c r="AA22" s="6"/>
      <c r="AB22" s="6">
        <f>$K$22*$V$22</f>
        <v>2901.06</v>
      </c>
      <c r="AC22" s="6">
        <f>$M$22*$W$22</f>
        <v>0</v>
      </c>
      <c r="AD22" s="6">
        <f>$O$22*$X$22</f>
        <v>0</v>
      </c>
      <c r="AE22" s="6">
        <f ca="1">$K$22*$Y$22</f>
        <v>2220.88</v>
      </c>
      <c r="AF22" s="6">
        <f>$M$22*$Z$22</f>
        <v>0</v>
      </c>
      <c r="AG22" s="6">
        <f>$O$22*$AA$22</f>
        <v>0</v>
      </c>
    </row>
    <row r="23" spans="1:33" ht="11.25" customHeight="1" x14ac:dyDescent="0.25">
      <c r="A23" s="4" t="s">
        <v>21</v>
      </c>
      <c r="B23" s="4" t="s">
        <v>34</v>
      </c>
      <c r="C23" s="4" t="s">
        <v>35</v>
      </c>
      <c r="D23" s="4" t="s">
        <v>40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44682</v>
      </c>
      <c r="J23" s="6">
        <v>142</v>
      </c>
      <c r="K23" s="6">
        <v>142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4" t="s">
        <v>26</v>
      </c>
      <c r="R23" s="4">
        <v>0</v>
      </c>
      <c r="S23" s="6">
        <v>6</v>
      </c>
      <c r="T23" s="6">
        <v>0</v>
      </c>
      <c r="U23" s="6">
        <v>0</v>
      </c>
      <c r="V23" s="6">
        <f>IF(ISERROR(VLOOKUP($S$23,'TAR FIN'!$A$1:$O$88,15,0)),0,VLOOKUP($S$23,'TAR FIN'!$A$1:$O$88,15,0))</f>
        <v>20.43</v>
      </c>
      <c r="W23" s="6">
        <f>IF(ISERROR(VLOOKUP($T$23,'TAR FIN'!$A$1:$O$88,15,0)),0,VLOOKUP($T$23,'TAR FIN'!$A$1:$O$88,15,0))</f>
        <v>0</v>
      </c>
      <c r="X23" s="6">
        <f>IF(ISERROR(VLOOKUP($U$23,'TAR FIN'!$A$1:$O$88,15,0)),0,VLOOKUP($U$23,'TAR FIN'!$A$1:$O$88,15,0))</f>
        <v>0</v>
      </c>
      <c r="Y23" s="6">
        <f ca="1">('TUSD BE'!$AM$10+'TUSD BF_350'!$AM$10+'TUSD CVA'!$AM$10)*1</f>
        <v>15.64</v>
      </c>
      <c r="Z23" s="6"/>
      <c r="AA23" s="6"/>
      <c r="AB23" s="6">
        <f>$K$23*$V$23</f>
        <v>2901.06</v>
      </c>
      <c r="AC23" s="6">
        <f>$M$23*$W$23</f>
        <v>0</v>
      </c>
      <c r="AD23" s="6">
        <f>$O$23*$X$23</f>
        <v>0</v>
      </c>
      <c r="AE23" s="6">
        <f ca="1">$K$23*$Y$23</f>
        <v>2220.88</v>
      </c>
      <c r="AF23" s="6">
        <f>$M$23*$Z$23</f>
        <v>0</v>
      </c>
      <c r="AG23" s="6">
        <f>$O$23*$AA$23</f>
        <v>0</v>
      </c>
    </row>
    <row r="24" spans="1:33" ht="11.25" customHeight="1" x14ac:dyDescent="0.25">
      <c r="A24" s="4" t="s">
        <v>21</v>
      </c>
      <c r="B24" s="4" t="s">
        <v>34</v>
      </c>
      <c r="C24" s="4" t="s">
        <v>35</v>
      </c>
      <c r="D24" s="4" t="s">
        <v>40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44713</v>
      </c>
      <c r="J24" s="6">
        <v>172</v>
      </c>
      <c r="K24" s="6">
        <v>172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6">
        <v>6</v>
      </c>
      <c r="T24" s="6">
        <v>0</v>
      </c>
      <c r="U24" s="6">
        <v>0</v>
      </c>
      <c r="V24" s="6">
        <f>IF(ISERROR(VLOOKUP($S$24,'TAR FIN'!$A$1:$O$88,15,0)),0,VLOOKUP($S$24,'TAR FIN'!$A$1:$O$88,15,0))</f>
        <v>20.43</v>
      </c>
      <c r="W24" s="6">
        <f>IF(ISERROR(VLOOKUP($T$24,'TAR FIN'!$A$1:$O$88,15,0)),0,VLOOKUP($T$24,'TAR FIN'!$A$1:$O$88,15,0))</f>
        <v>0</v>
      </c>
      <c r="X24" s="6">
        <f>IF(ISERROR(VLOOKUP($U$24,'TAR FIN'!$A$1:$O$88,15,0)),0,VLOOKUP($U$24,'TAR FIN'!$A$1:$O$88,15,0))</f>
        <v>0</v>
      </c>
      <c r="Y24" s="6">
        <f ca="1">('TUSD BE'!$AM$10+'TUSD BF_350'!$AM$10+'TUSD CVA'!$AM$10)*1</f>
        <v>15.64</v>
      </c>
      <c r="Z24" s="6"/>
      <c r="AA24" s="6"/>
      <c r="AB24" s="6">
        <f>$K$24*$V$24</f>
        <v>3513.96</v>
      </c>
      <c r="AC24" s="6">
        <f>$M$24*$W$24</f>
        <v>0</v>
      </c>
      <c r="AD24" s="6">
        <f>$O$24*$X$24</f>
        <v>0</v>
      </c>
      <c r="AE24" s="6">
        <f ca="1">$K$24*$Y$24</f>
        <v>2690.08</v>
      </c>
      <c r="AF24" s="6">
        <f>$M$24*$Z$24</f>
        <v>0</v>
      </c>
      <c r="AG24" s="6">
        <f>$O$24*$AA$24</f>
        <v>0</v>
      </c>
    </row>
    <row r="25" spans="1:33" ht="11.25" customHeight="1" x14ac:dyDescent="0.25">
      <c r="A25" s="4" t="s">
        <v>21</v>
      </c>
      <c r="B25" s="4" t="s">
        <v>34</v>
      </c>
      <c r="C25" s="4" t="s">
        <v>35</v>
      </c>
      <c r="D25" s="4" t="s">
        <v>40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44743</v>
      </c>
      <c r="J25" s="6">
        <v>153</v>
      </c>
      <c r="K25" s="6">
        <v>153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4" t="s">
        <v>26</v>
      </c>
      <c r="R25" s="4">
        <v>0</v>
      </c>
      <c r="S25" s="6">
        <v>6</v>
      </c>
      <c r="T25" s="6">
        <v>0</v>
      </c>
      <c r="U25" s="6">
        <v>0</v>
      </c>
      <c r="V25" s="6">
        <f>IF(ISERROR(VLOOKUP($S$25,'TAR FIN'!$A$1:$O$88,15,0)),0,VLOOKUP($S$25,'TAR FIN'!$A$1:$O$88,15,0))</f>
        <v>20.43</v>
      </c>
      <c r="W25" s="6">
        <f>IF(ISERROR(VLOOKUP($T$25,'TAR FIN'!$A$1:$O$88,15,0)),0,VLOOKUP($T$25,'TAR FIN'!$A$1:$O$88,15,0))</f>
        <v>0</v>
      </c>
      <c r="X25" s="6">
        <f>IF(ISERROR(VLOOKUP($U$25,'TAR FIN'!$A$1:$O$88,15,0)),0,VLOOKUP($U$25,'TAR FIN'!$A$1:$O$88,15,0))</f>
        <v>0</v>
      </c>
      <c r="Y25" s="6">
        <f ca="1">('TUSD BE'!$AM$10+'TUSD BF_350'!$AM$10+'TUSD CVA'!$AM$10)*1</f>
        <v>15.64</v>
      </c>
      <c r="Z25" s="6"/>
      <c r="AA25" s="6"/>
      <c r="AB25" s="6">
        <f>$K$25*$V$25</f>
        <v>3125.79</v>
      </c>
      <c r="AC25" s="6">
        <f>$M$25*$W$25</f>
        <v>0</v>
      </c>
      <c r="AD25" s="6">
        <f>$O$25*$X$25</f>
        <v>0</v>
      </c>
      <c r="AE25" s="6">
        <f ca="1">$K$25*$Y$25</f>
        <v>2392.92</v>
      </c>
      <c r="AF25" s="6">
        <f>$M$25*$Z$25</f>
        <v>0</v>
      </c>
      <c r="AG25" s="6">
        <f>$O$25*$AA$25</f>
        <v>0</v>
      </c>
    </row>
    <row r="26" spans="1:33" ht="11.25" customHeight="1" x14ac:dyDescent="0.25">
      <c r="A26" s="4" t="s">
        <v>21</v>
      </c>
      <c r="B26" s="4" t="s">
        <v>34</v>
      </c>
      <c r="C26" s="4" t="s">
        <v>35</v>
      </c>
      <c r="D26" s="4" t="s">
        <v>40</v>
      </c>
      <c r="E26" s="4" t="s">
        <v>25</v>
      </c>
      <c r="F26" s="4" t="s">
        <v>25</v>
      </c>
      <c r="G26" s="4" t="s">
        <v>25</v>
      </c>
      <c r="H26" s="4" t="s">
        <v>36</v>
      </c>
      <c r="I26" s="5">
        <v>44409</v>
      </c>
      <c r="J26" s="6">
        <v>0</v>
      </c>
      <c r="K26" s="6">
        <v>0</v>
      </c>
      <c r="L26" s="6">
        <v>2.5379999999999998</v>
      </c>
      <c r="M26" s="6">
        <v>2.5379999999999998</v>
      </c>
      <c r="N26" s="6">
        <v>2.5379999999999998</v>
      </c>
      <c r="O26" s="6">
        <v>2.5379999999999998</v>
      </c>
      <c r="P26" s="6">
        <v>0</v>
      </c>
      <c r="Q26" s="4" t="s">
        <v>26</v>
      </c>
      <c r="R26" s="4">
        <v>0</v>
      </c>
      <c r="S26" s="6">
        <v>0</v>
      </c>
      <c r="T26" s="6">
        <v>7</v>
      </c>
      <c r="U26" s="6">
        <v>50</v>
      </c>
      <c r="V26" s="6">
        <f>IF(ISERROR(VLOOKUP($S$26,'TAR FIN'!$A$1:$O$88,15,0)),0,VLOOKUP($S$26,'TAR FIN'!$A$1:$O$88,15,0))</f>
        <v>0</v>
      </c>
      <c r="W26" s="6">
        <f>IF(ISERROR(VLOOKUP($T$26,'TAR FIN'!$A$1:$O$88,15,0)),0,VLOOKUP($T$26,'TAR FIN'!$A$1:$O$88,15,0))</f>
        <v>1419.25</v>
      </c>
      <c r="X26" s="6">
        <f>IF(ISERROR(VLOOKUP($U$26,'TAR FIN'!$A$1:$O$88,15,0)),0,VLOOKUP($U$26,'TAR FIN'!$A$1:$O$88,15,0))</f>
        <v>518.44000000000005</v>
      </c>
      <c r="Y26" s="6"/>
      <c r="Z26" s="6">
        <f ca="1">('TUSD BE'!$AM$11+'TUSD BF_350'!$AM$11+'TUSD CVA'!$AM$11)*1</f>
        <v>911.84</v>
      </c>
      <c r="AA26" s="6">
        <f ca="1">('TE BE'!$AB$5+'TE BF_350'!$AB$5+'TE CVA'!$AB$5)*1</f>
        <v>399.84</v>
      </c>
      <c r="AB26" s="6">
        <f>$K$26*$V$26</f>
        <v>0</v>
      </c>
      <c r="AC26" s="6">
        <f>$M$26*$W$26</f>
        <v>3602.0564999999997</v>
      </c>
      <c r="AD26" s="6">
        <f>$O$26*$X$26</f>
        <v>1315.80072</v>
      </c>
      <c r="AE26" s="6">
        <f>$K$26*$Y$26</f>
        <v>0</v>
      </c>
      <c r="AF26" s="6">
        <f ca="1">$M$26*$Z$26</f>
        <v>2314.2499199999997</v>
      </c>
      <c r="AG26" s="6">
        <f ca="1">$O$26*$AA$26</f>
        <v>1014.7939199999998</v>
      </c>
    </row>
    <row r="27" spans="1:33" ht="11.25" customHeight="1" x14ac:dyDescent="0.25">
      <c r="A27" s="4" t="s">
        <v>21</v>
      </c>
      <c r="B27" s="4" t="s">
        <v>34</v>
      </c>
      <c r="C27" s="4" t="s">
        <v>35</v>
      </c>
      <c r="D27" s="4" t="s">
        <v>40</v>
      </c>
      <c r="E27" s="4" t="s">
        <v>25</v>
      </c>
      <c r="F27" s="4" t="s">
        <v>25</v>
      </c>
      <c r="G27" s="4" t="s">
        <v>25</v>
      </c>
      <c r="H27" s="4" t="s">
        <v>36</v>
      </c>
      <c r="I27" s="5">
        <v>44440</v>
      </c>
      <c r="J27" s="6">
        <v>0</v>
      </c>
      <c r="K27" s="6">
        <v>0</v>
      </c>
      <c r="L27" s="6">
        <v>2.5840000000000001</v>
      </c>
      <c r="M27" s="6">
        <v>2.5840000000000001</v>
      </c>
      <c r="N27" s="6">
        <v>2.5840000000000001</v>
      </c>
      <c r="O27" s="6">
        <v>2.5840000000000001</v>
      </c>
      <c r="P27" s="6">
        <v>0</v>
      </c>
      <c r="Q27" s="4" t="s">
        <v>26</v>
      </c>
      <c r="R27" s="4">
        <v>0</v>
      </c>
      <c r="S27" s="6">
        <v>0</v>
      </c>
      <c r="T27" s="6">
        <v>7</v>
      </c>
      <c r="U27" s="6">
        <v>50</v>
      </c>
      <c r="V27" s="6">
        <f>IF(ISERROR(VLOOKUP($S$27,'TAR FIN'!$A$1:$O$88,15,0)),0,VLOOKUP($S$27,'TAR FIN'!$A$1:$O$88,15,0))</f>
        <v>0</v>
      </c>
      <c r="W27" s="6">
        <f>IF(ISERROR(VLOOKUP($T$27,'TAR FIN'!$A$1:$O$88,15,0)),0,VLOOKUP($T$27,'TAR FIN'!$A$1:$O$88,15,0))</f>
        <v>1419.25</v>
      </c>
      <c r="X27" s="6">
        <f>IF(ISERROR(VLOOKUP($U$27,'TAR FIN'!$A$1:$O$88,15,0)),0,VLOOKUP($U$27,'TAR FIN'!$A$1:$O$88,15,0))</f>
        <v>518.44000000000005</v>
      </c>
      <c r="Y27" s="6"/>
      <c r="Z27" s="6">
        <f ca="1">('TUSD BE'!$AM$11+'TUSD BF_350'!$AM$11+'TUSD CVA'!$AM$11)*1</f>
        <v>911.84</v>
      </c>
      <c r="AA27" s="6">
        <f ca="1">('TE BE'!$AB$5+'TE BF_350'!$AB$5+'TE CVA'!$AB$5)*1</f>
        <v>399.84</v>
      </c>
      <c r="AB27" s="6">
        <f>$K$27*$V$27</f>
        <v>0</v>
      </c>
      <c r="AC27" s="6">
        <f>$M$27*$W$27</f>
        <v>3667.3420000000001</v>
      </c>
      <c r="AD27" s="6">
        <f>$O$27*$X$27</f>
        <v>1339.6489600000002</v>
      </c>
      <c r="AE27" s="6">
        <f>$K$27*$Y$27</f>
        <v>0</v>
      </c>
      <c r="AF27" s="6">
        <f ca="1">$M$27*$Z$27</f>
        <v>2356.1945600000004</v>
      </c>
      <c r="AG27" s="6">
        <f ca="1">$O$27*$AA$27</f>
        <v>1033.1865599999999</v>
      </c>
    </row>
    <row r="28" spans="1:33" ht="11.25" customHeight="1" x14ac:dyDescent="0.25">
      <c r="A28" s="4" t="s">
        <v>21</v>
      </c>
      <c r="B28" s="4" t="s">
        <v>34</v>
      </c>
      <c r="C28" s="4" t="s">
        <v>35</v>
      </c>
      <c r="D28" s="4" t="s">
        <v>40</v>
      </c>
      <c r="E28" s="4" t="s">
        <v>25</v>
      </c>
      <c r="F28" s="4" t="s">
        <v>25</v>
      </c>
      <c r="G28" s="4" t="s">
        <v>25</v>
      </c>
      <c r="H28" s="4" t="s">
        <v>36</v>
      </c>
      <c r="I28" s="5">
        <v>44470</v>
      </c>
      <c r="J28" s="6">
        <v>0</v>
      </c>
      <c r="K28" s="6">
        <v>0</v>
      </c>
      <c r="L28" s="6">
        <v>2.46</v>
      </c>
      <c r="M28" s="6">
        <v>2.46</v>
      </c>
      <c r="N28" s="6">
        <v>2.46</v>
      </c>
      <c r="O28" s="6">
        <v>2.46</v>
      </c>
      <c r="P28" s="6">
        <v>0</v>
      </c>
      <c r="Q28" s="4" t="s">
        <v>26</v>
      </c>
      <c r="R28" s="4">
        <v>0</v>
      </c>
      <c r="S28" s="6">
        <v>0</v>
      </c>
      <c r="T28" s="6">
        <v>7</v>
      </c>
      <c r="U28" s="6">
        <v>50</v>
      </c>
      <c r="V28" s="6">
        <f>IF(ISERROR(VLOOKUP($S$28,'TAR FIN'!$A$1:$O$88,15,0)),0,VLOOKUP($S$28,'TAR FIN'!$A$1:$O$88,15,0))</f>
        <v>0</v>
      </c>
      <c r="W28" s="6">
        <f>IF(ISERROR(VLOOKUP($T$28,'TAR FIN'!$A$1:$O$88,15,0)),0,VLOOKUP($T$28,'TAR FIN'!$A$1:$O$88,15,0))</f>
        <v>1419.25</v>
      </c>
      <c r="X28" s="6">
        <f>IF(ISERROR(VLOOKUP($U$28,'TAR FIN'!$A$1:$O$88,15,0)),0,VLOOKUP($U$28,'TAR FIN'!$A$1:$O$88,15,0))</f>
        <v>518.44000000000005</v>
      </c>
      <c r="Y28" s="6"/>
      <c r="Z28" s="6">
        <f ca="1">('TUSD BE'!$AM$11+'TUSD BF_350'!$AM$11+'TUSD CVA'!$AM$11)*1</f>
        <v>911.84</v>
      </c>
      <c r="AA28" s="6">
        <f ca="1">('TE BE'!$AB$5+'TE BF_350'!$AB$5+'TE CVA'!$AB$5)*1</f>
        <v>399.84</v>
      </c>
      <c r="AB28" s="6">
        <f>$K$28*$V$28</f>
        <v>0</v>
      </c>
      <c r="AC28" s="6">
        <f>$M$28*$W$28</f>
        <v>3491.355</v>
      </c>
      <c r="AD28" s="6">
        <f>$O$28*$X$28</f>
        <v>1275.3624000000002</v>
      </c>
      <c r="AE28" s="6">
        <f>$K$28*$Y$28</f>
        <v>0</v>
      </c>
      <c r="AF28" s="6">
        <f ca="1">$M$28*$Z$28</f>
        <v>2243.1264000000001</v>
      </c>
      <c r="AG28" s="6">
        <f ca="1">$O$28*$AA$28</f>
        <v>983.60639999999989</v>
      </c>
    </row>
    <row r="29" spans="1:33" ht="11.25" customHeight="1" x14ac:dyDescent="0.25">
      <c r="A29" s="4" t="s">
        <v>21</v>
      </c>
      <c r="B29" s="4" t="s">
        <v>34</v>
      </c>
      <c r="C29" s="4" t="s">
        <v>35</v>
      </c>
      <c r="D29" s="4" t="s">
        <v>40</v>
      </c>
      <c r="E29" s="4" t="s">
        <v>25</v>
      </c>
      <c r="F29" s="4" t="s">
        <v>25</v>
      </c>
      <c r="G29" s="4" t="s">
        <v>25</v>
      </c>
      <c r="H29" s="4" t="s">
        <v>36</v>
      </c>
      <c r="I29" s="5">
        <v>44501</v>
      </c>
      <c r="J29" s="6">
        <v>0</v>
      </c>
      <c r="K29" s="6">
        <v>0</v>
      </c>
      <c r="L29" s="6">
        <v>2.6739999999999999</v>
      </c>
      <c r="M29" s="6">
        <v>2.6739999999999999</v>
      </c>
      <c r="N29" s="6">
        <v>2.6739999999999999</v>
      </c>
      <c r="O29" s="6">
        <v>2.6739999999999999</v>
      </c>
      <c r="P29" s="6">
        <v>0</v>
      </c>
      <c r="Q29" s="4" t="s">
        <v>26</v>
      </c>
      <c r="R29" s="4">
        <v>0</v>
      </c>
      <c r="S29" s="6">
        <v>0</v>
      </c>
      <c r="T29" s="6">
        <v>7</v>
      </c>
      <c r="U29" s="6">
        <v>50</v>
      </c>
      <c r="V29" s="6">
        <f>IF(ISERROR(VLOOKUP($S$29,'TAR FIN'!$A$1:$O$88,15,0)),0,VLOOKUP($S$29,'TAR FIN'!$A$1:$O$88,15,0))</f>
        <v>0</v>
      </c>
      <c r="W29" s="6">
        <f>IF(ISERROR(VLOOKUP($T$29,'TAR FIN'!$A$1:$O$88,15,0)),0,VLOOKUP($T$29,'TAR FIN'!$A$1:$O$88,15,0))</f>
        <v>1419.25</v>
      </c>
      <c r="X29" s="6">
        <f>IF(ISERROR(VLOOKUP($U$29,'TAR FIN'!$A$1:$O$88,15,0)),0,VLOOKUP($U$29,'TAR FIN'!$A$1:$O$88,15,0))</f>
        <v>518.44000000000005</v>
      </c>
      <c r="Y29" s="6"/>
      <c r="Z29" s="6">
        <f ca="1">('TUSD BE'!$AM$11+'TUSD BF_350'!$AM$11+'TUSD CVA'!$AM$11)*1</f>
        <v>911.84</v>
      </c>
      <c r="AA29" s="6">
        <f ca="1">('TE BE'!$AB$5+'TE BF_350'!$AB$5+'TE CVA'!$AB$5)*1</f>
        <v>399.84</v>
      </c>
      <c r="AB29" s="6">
        <f>$K$29*$V$29</f>
        <v>0</v>
      </c>
      <c r="AC29" s="6">
        <f>$M$29*$W$29</f>
        <v>3795.0744999999997</v>
      </c>
      <c r="AD29" s="6">
        <f>$O$29*$X$29</f>
        <v>1386.3085600000002</v>
      </c>
      <c r="AE29" s="6">
        <f>$K$29*$Y$29</f>
        <v>0</v>
      </c>
      <c r="AF29" s="6">
        <f ca="1">$M$29*$Z$29</f>
        <v>2438.2601599999998</v>
      </c>
      <c r="AG29" s="6">
        <f ca="1">$O$29*$AA$29</f>
        <v>1069.1721599999998</v>
      </c>
    </row>
    <row r="30" spans="1:33" ht="11.25" customHeight="1" x14ac:dyDescent="0.25">
      <c r="A30" s="4" t="s">
        <v>21</v>
      </c>
      <c r="B30" s="4" t="s">
        <v>34</v>
      </c>
      <c r="C30" s="4" t="s">
        <v>35</v>
      </c>
      <c r="D30" s="4" t="s">
        <v>40</v>
      </c>
      <c r="E30" s="4" t="s">
        <v>25</v>
      </c>
      <c r="F30" s="4" t="s">
        <v>25</v>
      </c>
      <c r="G30" s="4" t="s">
        <v>25</v>
      </c>
      <c r="H30" s="4" t="s">
        <v>36</v>
      </c>
      <c r="I30" s="5">
        <v>44531</v>
      </c>
      <c r="J30" s="6">
        <v>0</v>
      </c>
      <c r="K30" s="6">
        <v>0</v>
      </c>
      <c r="L30" s="6">
        <v>0.20300000000000001</v>
      </c>
      <c r="M30" s="6">
        <v>0.20300000000000001</v>
      </c>
      <c r="N30" s="6">
        <v>0.20300000000000001</v>
      </c>
      <c r="O30" s="6">
        <v>0.20300000000000001</v>
      </c>
      <c r="P30" s="6">
        <v>0</v>
      </c>
      <c r="Q30" s="4" t="s">
        <v>26</v>
      </c>
      <c r="R30" s="4">
        <v>0</v>
      </c>
      <c r="S30" s="6">
        <v>0</v>
      </c>
      <c r="T30" s="6">
        <v>7</v>
      </c>
      <c r="U30" s="6">
        <v>50</v>
      </c>
      <c r="V30" s="6">
        <f>IF(ISERROR(VLOOKUP($S$30,'TAR FIN'!$A$1:$O$88,15,0)),0,VLOOKUP($S$30,'TAR FIN'!$A$1:$O$88,15,0))</f>
        <v>0</v>
      </c>
      <c r="W30" s="6">
        <f>IF(ISERROR(VLOOKUP($T$30,'TAR FIN'!$A$1:$O$88,15,0)),0,VLOOKUP($T$30,'TAR FIN'!$A$1:$O$88,15,0))</f>
        <v>1419.25</v>
      </c>
      <c r="X30" s="6">
        <f>IF(ISERROR(VLOOKUP($U$30,'TAR FIN'!$A$1:$O$88,15,0)),0,VLOOKUP($U$30,'TAR FIN'!$A$1:$O$88,15,0))</f>
        <v>518.44000000000005</v>
      </c>
      <c r="Y30" s="6"/>
      <c r="Z30" s="6">
        <f ca="1">('TUSD BE'!$AM$11+'TUSD BF_350'!$AM$11+'TUSD CVA'!$AM$11)*1</f>
        <v>911.84</v>
      </c>
      <c r="AA30" s="6">
        <f ca="1">('TE BE'!$AB$5+'TE BF_350'!$AB$5+'TE CVA'!$AB$5)*1</f>
        <v>399.84</v>
      </c>
      <c r="AB30" s="6">
        <f>$K$30*$V$30</f>
        <v>0</v>
      </c>
      <c r="AC30" s="6">
        <f>$M$30*$W$30</f>
        <v>288.10775000000001</v>
      </c>
      <c r="AD30" s="6">
        <f>$O$30*$X$30</f>
        <v>105.24332000000001</v>
      </c>
      <c r="AE30" s="6">
        <f>$K$30*$Y$30</f>
        <v>0</v>
      </c>
      <c r="AF30" s="6">
        <f ca="1">$M$30*$Z$30</f>
        <v>185.10352000000003</v>
      </c>
      <c r="AG30" s="6">
        <f ca="1">$O$30*$AA$30</f>
        <v>81.167519999999996</v>
      </c>
    </row>
    <row r="31" spans="1:33" ht="11.25" customHeight="1" x14ac:dyDescent="0.25">
      <c r="A31" s="4" t="s">
        <v>21</v>
      </c>
      <c r="B31" s="4" t="s">
        <v>34</v>
      </c>
      <c r="C31" s="4" t="s">
        <v>35</v>
      </c>
      <c r="D31" s="4" t="s">
        <v>40</v>
      </c>
      <c r="E31" s="4" t="s">
        <v>25</v>
      </c>
      <c r="F31" s="4" t="s">
        <v>25</v>
      </c>
      <c r="G31" s="4" t="s">
        <v>25</v>
      </c>
      <c r="H31" s="4" t="s">
        <v>36</v>
      </c>
      <c r="I31" s="5">
        <v>44562</v>
      </c>
      <c r="J31" s="6">
        <v>0</v>
      </c>
      <c r="K31" s="6">
        <v>0</v>
      </c>
      <c r="L31" s="6">
        <v>0.14000000000000001</v>
      </c>
      <c r="M31" s="6">
        <v>0.14000000000000001</v>
      </c>
      <c r="N31" s="6">
        <v>0.14000000000000001</v>
      </c>
      <c r="O31" s="6">
        <v>0.14000000000000001</v>
      </c>
      <c r="P31" s="6">
        <v>0</v>
      </c>
      <c r="Q31" s="4" t="s">
        <v>26</v>
      </c>
      <c r="R31" s="4">
        <v>0</v>
      </c>
      <c r="S31" s="6">
        <v>0</v>
      </c>
      <c r="T31" s="6">
        <v>7</v>
      </c>
      <c r="U31" s="6">
        <v>50</v>
      </c>
      <c r="V31" s="6">
        <f>IF(ISERROR(VLOOKUP($S$31,'TAR FIN'!$A$1:$O$88,15,0)),0,VLOOKUP($S$31,'TAR FIN'!$A$1:$O$88,15,0))</f>
        <v>0</v>
      </c>
      <c r="W31" s="6">
        <f>IF(ISERROR(VLOOKUP($T$31,'TAR FIN'!$A$1:$O$88,15,0)),0,VLOOKUP($T$31,'TAR FIN'!$A$1:$O$88,15,0))</f>
        <v>1419.25</v>
      </c>
      <c r="X31" s="6">
        <f>IF(ISERROR(VLOOKUP($U$31,'TAR FIN'!$A$1:$O$88,15,0)),0,VLOOKUP($U$31,'TAR FIN'!$A$1:$O$88,15,0))</f>
        <v>518.44000000000005</v>
      </c>
      <c r="Y31" s="6"/>
      <c r="Z31" s="6">
        <f ca="1">('TUSD BE'!$AM$11+'TUSD BF_350'!$AM$11+'TUSD CVA'!$AM$11)*1</f>
        <v>911.84</v>
      </c>
      <c r="AA31" s="6">
        <f ca="1">('TE BE'!$AB$5+'TE BF_350'!$AB$5+'TE CVA'!$AB$5)*1</f>
        <v>399.84</v>
      </c>
      <c r="AB31" s="6">
        <f>$K$31*$V$31</f>
        <v>0</v>
      </c>
      <c r="AC31" s="6">
        <f>$M$31*$W$31</f>
        <v>198.69500000000002</v>
      </c>
      <c r="AD31" s="6">
        <f>$O$31*$X$31</f>
        <v>72.581600000000009</v>
      </c>
      <c r="AE31" s="6">
        <f>$K$31*$Y$31</f>
        <v>0</v>
      </c>
      <c r="AF31" s="6">
        <f ca="1">$M$31*$Z$31</f>
        <v>127.65760000000002</v>
      </c>
      <c r="AG31" s="6">
        <f ca="1">$O$31*$AA$31</f>
        <v>55.977600000000002</v>
      </c>
    </row>
    <row r="32" spans="1:33" ht="11.25" customHeight="1" x14ac:dyDescent="0.25">
      <c r="A32" s="4" t="s">
        <v>21</v>
      </c>
      <c r="B32" s="4" t="s">
        <v>34</v>
      </c>
      <c r="C32" s="4" t="s">
        <v>35</v>
      </c>
      <c r="D32" s="4" t="s">
        <v>40</v>
      </c>
      <c r="E32" s="4" t="s">
        <v>25</v>
      </c>
      <c r="F32" s="4" t="s">
        <v>25</v>
      </c>
      <c r="G32" s="4" t="s">
        <v>25</v>
      </c>
      <c r="H32" s="4" t="s">
        <v>36</v>
      </c>
      <c r="I32" s="5">
        <v>44593</v>
      </c>
      <c r="J32" s="6">
        <v>0</v>
      </c>
      <c r="K32" s="6">
        <v>0</v>
      </c>
      <c r="L32" s="6">
        <v>0.114</v>
      </c>
      <c r="M32" s="6">
        <v>0.114</v>
      </c>
      <c r="N32" s="6">
        <v>0.114</v>
      </c>
      <c r="O32" s="6">
        <v>0.114</v>
      </c>
      <c r="P32" s="6">
        <v>0</v>
      </c>
      <c r="Q32" s="4" t="s">
        <v>26</v>
      </c>
      <c r="R32" s="4">
        <v>0</v>
      </c>
      <c r="S32" s="6">
        <v>0</v>
      </c>
      <c r="T32" s="6">
        <v>7</v>
      </c>
      <c r="U32" s="6">
        <v>50</v>
      </c>
      <c r="V32" s="6">
        <f>IF(ISERROR(VLOOKUP($S$32,'TAR FIN'!$A$1:$O$88,15,0)),0,VLOOKUP($S$32,'TAR FIN'!$A$1:$O$88,15,0))</f>
        <v>0</v>
      </c>
      <c r="W32" s="6">
        <f>IF(ISERROR(VLOOKUP($T$32,'TAR FIN'!$A$1:$O$88,15,0)),0,VLOOKUP($T$32,'TAR FIN'!$A$1:$O$88,15,0))</f>
        <v>1419.25</v>
      </c>
      <c r="X32" s="6">
        <f>IF(ISERROR(VLOOKUP($U$32,'TAR FIN'!$A$1:$O$88,15,0)),0,VLOOKUP($U$32,'TAR FIN'!$A$1:$O$88,15,0))</f>
        <v>518.44000000000005</v>
      </c>
      <c r="Y32" s="6"/>
      <c r="Z32" s="6">
        <f ca="1">('TUSD BE'!$AM$11+'TUSD BF_350'!$AM$11+'TUSD CVA'!$AM$11)*1</f>
        <v>911.84</v>
      </c>
      <c r="AA32" s="6">
        <f ca="1">('TE BE'!$AB$5+'TE BF_350'!$AB$5+'TE CVA'!$AB$5)*1</f>
        <v>399.84</v>
      </c>
      <c r="AB32" s="6">
        <f>$K$32*$V$32</f>
        <v>0</v>
      </c>
      <c r="AC32" s="6">
        <f>$M$32*$W$32</f>
        <v>161.7945</v>
      </c>
      <c r="AD32" s="6">
        <f>$O$32*$X$32</f>
        <v>59.102160000000005</v>
      </c>
      <c r="AE32" s="6">
        <f>$K$32*$Y$32</f>
        <v>0</v>
      </c>
      <c r="AF32" s="6">
        <f ca="1">$M$32*$Z$32</f>
        <v>103.94976000000001</v>
      </c>
      <c r="AG32" s="6">
        <f ca="1">$O$32*$AA$32</f>
        <v>45.581759999999996</v>
      </c>
    </row>
    <row r="33" spans="1:33" ht="11.25" customHeight="1" x14ac:dyDescent="0.25">
      <c r="A33" s="4" t="s">
        <v>21</v>
      </c>
      <c r="B33" s="4" t="s">
        <v>34</v>
      </c>
      <c r="C33" s="4" t="s">
        <v>35</v>
      </c>
      <c r="D33" s="4" t="s">
        <v>40</v>
      </c>
      <c r="E33" s="4" t="s">
        <v>25</v>
      </c>
      <c r="F33" s="4" t="s">
        <v>25</v>
      </c>
      <c r="G33" s="4" t="s">
        <v>25</v>
      </c>
      <c r="H33" s="4" t="s">
        <v>36</v>
      </c>
      <c r="I33" s="5">
        <v>44621</v>
      </c>
      <c r="J33" s="6">
        <v>0</v>
      </c>
      <c r="K33" s="6">
        <v>0</v>
      </c>
      <c r="L33" s="6">
        <v>0.184</v>
      </c>
      <c r="M33" s="6">
        <v>0.184</v>
      </c>
      <c r="N33" s="6">
        <v>0.184</v>
      </c>
      <c r="O33" s="6">
        <v>0.184</v>
      </c>
      <c r="P33" s="6">
        <v>0</v>
      </c>
      <c r="Q33" s="4" t="s">
        <v>26</v>
      </c>
      <c r="R33" s="4">
        <v>0</v>
      </c>
      <c r="S33" s="6">
        <v>0</v>
      </c>
      <c r="T33" s="6">
        <v>7</v>
      </c>
      <c r="U33" s="6">
        <v>50</v>
      </c>
      <c r="V33" s="6">
        <f>IF(ISERROR(VLOOKUP($S$33,'TAR FIN'!$A$1:$O$88,15,0)),0,VLOOKUP($S$33,'TAR FIN'!$A$1:$O$88,15,0))</f>
        <v>0</v>
      </c>
      <c r="W33" s="6">
        <f>IF(ISERROR(VLOOKUP($T$33,'TAR FIN'!$A$1:$O$88,15,0)),0,VLOOKUP($T$33,'TAR FIN'!$A$1:$O$88,15,0))</f>
        <v>1419.25</v>
      </c>
      <c r="X33" s="6">
        <f>IF(ISERROR(VLOOKUP($U$33,'TAR FIN'!$A$1:$O$88,15,0)),0,VLOOKUP($U$33,'TAR FIN'!$A$1:$O$88,15,0))</f>
        <v>518.44000000000005</v>
      </c>
      <c r="Y33" s="6"/>
      <c r="Z33" s="6">
        <f ca="1">('TUSD BE'!$AM$11+'TUSD BF_350'!$AM$11+'TUSD CVA'!$AM$11)*1</f>
        <v>911.84</v>
      </c>
      <c r="AA33" s="6">
        <f ca="1">('TE BE'!$AB$5+'TE BF_350'!$AB$5+'TE CVA'!$AB$5)*1</f>
        <v>399.84</v>
      </c>
      <c r="AB33" s="6">
        <f>$K$33*$V$33</f>
        <v>0</v>
      </c>
      <c r="AC33" s="6">
        <f>$M$33*$W$33</f>
        <v>261.142</v>
      </c>
      <c r="AD33" s="6">
        <f>$O$33*$X$33</f>
        <v>95.392960000000002</v>
      </c>
      <c r="AE33" s="6">
        <f>$K$33*$Y$33</f>
        <v>0</v>
      </c>
      <c r="AF33" s="6">
        <f ca="1">$M$33*$Z$33</f>
        <v>167.77856</v>
      </c>
      <c r="AG33" s="6">
        <f ca="1">$O$33*$AA$33</f>
        <v>73.57056</v>
      </c>
    </row>
    <row r="34" spans="1:33" ht="11.25" customHeight="1" x14ac:dyDescent="0.25">
      <c r="A34" s="4" t="s">
        <v>21</v>
      </c>
      <c r="B34" s="4" t="s">
        <v>34</v>
      </c>
      <c r="C34" s="4" t="s">
        <v>35</v>
      </c>
      <c r="D34" s="4" t="s">
        <v>40</v>
      </c>
      <c r="E34" s="4" t="s">
        <v>25</v>
      </c>
      <c r="F34" s="4" t="s">
        <v>25</v>
      </c>
      <c r="G34" s="4" t="s">
        <v>25</v>
      </c>
      <c r="H34" s="4" t="s">
        <v>36</v>
      </c>
      <c r="I34" s="5">
        <v>44652</v>
      </c>
      <c r="J34" s="6">
        <v>0</v>
      </c>
      <c r="K34" s="6">
        <v>0</v>
      </c>
      <c r="L34" s="6">
        <v>0.17899999999999999</v>
      </c>
      <c r="M34" s="6">
        <v>0.17899999999999999</v>
      </c>
      <c r="N34" s="6">
        <v>0.17899999999999999</v>
      </c>
      <c r="O34" s="6">
        <v>0.17899999999999999</v>
      </c>
      <c r="P34" s="6">
        <v>0</v>
      </c>
      <c r="Q34" s="4" t="s">
        <v>26</v>
      </c>
      <c r="R34" s="4">
        <v>0</v>
      </c>
      <c r="S34" s="6">
        <v>0</v>
      </c>
      <c r="T34" s="6">
        <v>7</v>
      </c>
      <c r="U34" s="6">
        <v>50</v>
      </c>
      <c r="V34" s="6">
        <f>IF(ISERROR(VLOOKUP($S$34,'TAR FIN'!$A$1:$O$88,15,0)),0,VLOOKUP($S$34,'TAR FIN'!$A$1:$O$88,15,0))</f>
        <v>0</v>
      </c>
      <c r="W34" s="6">
        <f>IF(ISERROR(VLOOKUP($T$34,'TAR FIN'!$A$1:$O$88,15,0)),0,VLOOKUP($T$34,'TAR FIN'!$A$1:$O$88,15,0))</f>
        <v>1419.25</v>
      </c>
      <c r="X34" s="6">
        <f>IF(ISERROR(VLOOKUP($U$34,'TAR FIN'!$A$1:$O$88,15,0)),0,VLOOKUP($U$34,'TAR FIN'!$A$1:$O$88,15,0))</f>
        <v>518.44000000000005</v>
      </c>
      <c r="Y34" s="6"/>
      <c r="Z34" s="6">
        <f ca="1">('TUSD BE'!$AM$11+'TUSD BF_350'!$AM$11+'TUSD CVA'!$AM$11)*1</f>
        <v>911.84</v>
      </c>
      <c r="AA34" s="6">
        <f ca="1">('TE BE'!$AB$5+'TE BF_350'!$AB$5+'TE CVA'!$AB$5)*1</f>
        <v>399.84</v>
      </c>
      <c r="AB34" s="6">
        <f>$K$34*$V$34</f>
        <v>0</v>
      </c>
      <c r="AC34" s="6">
        <f>$M$34*$W$34</f>
        <v>254.04575</v>
      </c>
      <c r="AD34" s="6">
        <f>$O$34*$X$34</f>
        <v>92.800760000000011</v>
      </c>
      <c r="AE34" s="6">
        <f>$K$34*$Y$34</f>
        <v>0</v>
      </c>
      <c r="AF34" s="6">
        <f ca="1">$M$34*$Z$34</f>
        <v>163.21935999999999</v>
      </c>
      <c r="AG34" s="6">
        <f ca="1">$O$34*$AA$34</f>
        <v>71.571359999999999</v>
      </c>
    </row>
    <row r="35" spans="1:33" ht="11.25" customHeight="1" x14ac:dyDescent="0.25">
      <c r="A35" s="4" t="s">
        <v>21</v>
      </c>
      <c r="B35" s="4" t="s">
        <v>34</v>
      </c>
      <c r="C35" s="4" t="s">
        <v>35</v>
      </c>
      <c r="D35" s="4" t="s">
        <v>40</v>
      </c>
      <c r="E35" s="4" t="s">
        <v>25</v>
      </c>
      <c r="F35" s="4" t="s">
        <v>25</v>
      </c>
      <c r="G35" s="4" t="s">
        <v>25</v>
      </c>
      <c r="H35" s="4" t="s">
        <v>36</v>
      </c>
      <c r="I35" s="5">
        <v>44682</v>
      </c>
      <c r="J35" s="6">
        <v>0</v>
      </c>
      <c r="K35" s="6">
        <v>0</v>
      </c>
      <c r="L35" s="6">
        <v>0.17299999999999999</v>
      </c>
      <c r="M35" s="6">
        <v>0.17299999999999999</v>
      </c>
      <c r="N35" s="6">
        <v>0.17299999999999999</v>
      </c>
      <c r="O35" s="6">
        <v>0.17299999999999999</v>
      </c>
      <c r="P35" s="6">
        <v>0</v>
      </c>
      <c r="Q35" s="4" t="s">
        <v>26</v>
      </c>
      <c r="R35" s="4">
        <v>0</v>
      </c>
      <c r="S35" s="6">
        <v>0</v>
      </c>
      <c r="T35" s="6">
        <v>7</v>
      </c>
      <c r="U35" s="6">
        <v>50</v>
      </c>
      <c r="V35" s="6">
        <f>IF(ISERROR(VLOOKUP($S$35,'TAR FIN'!$A$1:$O$88,15,0)),0,VLOOKUP($S$35,'TAR FIN'!$A$1:$O$88,15,0))</f>
        <v>0</v>
      </c>
      <c r="W35" s="6">
        <f>IF(ISERROR(VLOOKUP($T$35,'TAR FIN'!$A$1:$O$88,15,0)),0,VLOOKUP($T$35,'TAR FIN'!$A$1:$O$88,15,0))</f>
        <v>1419.25</v>
      </c>
      <c r="X35" s="6">
        <f>IF(ISERROR(VLOOKUP($U$35,'TAR FIN'!$A$1:$O$88,15,0)),0,VLOOKUP($U$35,'TAR FIN'!$A$1:$O$88,15,0))</f>
        <v>518.44000000000005</v>
      </c>
      <c r="Y35" s="6"/>
      <c r="Z35" s="6">
        <f ca="1">('TUSD BE'!$AM$11+'TUSD BF_350'!$AM$11+'TUSD CVA'!$AM$11)*1</f>
        <v>911.84</v>
      </c>
      <c r="AA35" s="6">
        <f ca="1">('TE BE'!$AB$5+'TE BF_350'!$AB$5+'TE CVA'!$AB$5)*1</f>
        <v>399.84</v>
      </c>
      <c r="AB35" s="6">
        <f>$K$35*$V$35</f>
        <v>0</v>
      </c>
      <c r="AC35" s="6">
        <f>$M$35*$W$35</f>
        <v>245.53025</v>
      </c>
      <c r="AD35" s="6">
        <f>$O$35*$X$35</f>
        <v>89.690120000000007</v>
      </c>
      <c r="AE35" s="6">
        <f>$K$35*$Y$35</f>
        <v>0</v>
      </c>
      <c r="AF35" s="6">
        <f ca="1">$M$35*$Z$35</f>
        <v>157.74832000000001</v>
      </c>
      <c r="AG35" s="6">
        <f ca="1">$O$35*$AA$35</f>
        <v>69.172319999999985</v>
      </c>
    </row>
    <row r="36" spans="1:33" ht="11.25" customHeight="1" x14ac:dyDescent="0.25">
      <c r="A36" s="4" t="s">
        <v>21</v>
      </c>
      <c r="B36" s="4" t="s">
        <v>34</v>
      </c>
      <c r="C36" s="4" t="s">
        <v>35</v>
      </c>
      <c r="D36" s="4" t="s">
        <v>40</v>
      </c>
      <c r="E36" s="4" t="s">
        <v>25</v>
      </c>
      <c r="F36" s="4" t="s">
        <v>25</v>
      </c>
      <c r="G36" s="4" t="s">
        <v>25</v>
      </c>
      <c r="H36" s="4" t="s">
        <v>36</v>
      </c>
      <c r="I36" s="5">
        <v>44713</v>
      </c>
      <c r="J36" s="6">
        <v>0</v>
      </c>
      <c r="K36" s="6">
        <v>0</v>
      </c>
      <c r="L36" s="6">
        <v>0.32100000000000001</v>
      </c>
      <c r="M36" s="6">
        <v>0.32100000000000001</v>
      </c>
      <c r="N36" s="6">
        <v>0.32100000000000001</v>
      </c>
      <c r="O36" s="6">
        <v>0.32100000000000001</v>
      </c>
      <c r="P36" s="6">
        <v>0</v>
      </c>
      <c r="Q36" s="4" t="s">
        <v>26</v>
      </c>
      <c r="R36" s="4">
        <v>0</v>
      </c>
      <c r="S36" s="6">
        <v>0</v>
      </c>
      <c r="T36" s="6">
        <v>7</v>
      </c>
      <c r="U36" s="6">
        <v>50</v>
      </c>
      <c r="V36" s="6">
        <f>IF(ISERROR(VLOOKUP($S$36,'TAR FIN'!$A$1:$O$88,15,0)),0,VLOOKUP($S$36,'TAR FIN'!$A$1:$O$88,15,0))</f>
        <v>0</v>
      </c>
      <c r="W36" s="6">
        <f>IF(ISERROR(VLOOKUP($T$36,'TAR FIN'!$A$1:$O$88,15,0)),0,VLOOKUP($T$36,'TAR FIN'!$A$1:$O$88,15,0))</f>
        <v>1419.25</v>
      </c>
      <c r="X36" s="6">
        <f>IF(ISERROR(VLOOKUP($U$36,'TAR FIN'!$A$1:$O$88,15,0)),0,VLOOKUP($U$36,'TAR FIN'!$A$1:$O$88,15,0))</f>
        <v>518.44000000000005</v>
      </c>
      <c r="Y36" s="6"/>
      <c r="Z36" s="6">
        <f ca="1">('TUSD BE'!$AM$11+'TUSD BF_350'!$AM$11+'TUSD CVA'!$AM$11)*1</f>
        <v>911.84</v>
      </c>
      <c r="AA36" s="6">
        <f ca="1">('TE BE'!$AB$5+'TE BF_350'!$AB$5+'TE CVA'!$AB$5)*1</f>
        <v>399.84</v>
      </c>
      <c r="AB36" s="6">
        <f>$K$36*$V$36</f>
        <v>0</v>
      </c>
      <c r="AC36" s="6">
        <f>$M$36*$W$36</f>
        <v>455.57925</v>
      </c>
      <c r="AD36" s="6">
        <f>$O$36*$X$36</f>
        <v>166.41924000000003</v>
      </c>
      <c r="AE36" s="6">
        <f>$K$36*$Y$36</f>
        <v>0</v>
      </c>
      <c r="AF36" s="6">
        <f ca="1">$M$36*$Z$36</f>
        <v>292.70064000000002</v>
      </c>
      <c r="AG36" s="6">
        <f ca="1">$O$36*$AA$36</f>
        <v>128.34863999999999</v>
      </c>
    </row>
    <row r="37" spans="1:33" ht="11.25" customHeight="1" x14ac:dyDescent="0.25">
      <c r="A37" s="4" t="s">
        <v>21</v>
      </c>
      <c r="B37" s="4" t="s">
        <v>34</v>
      </c>
      <c r="C37" s="4" t="s">
        <v>35</v>
      </c>
      <c r="D37" s="4" t="s">
        <v>40</v>
      </c>
      <c r="E37" s="4" t="s">
        <v>25</v>
      </c>
      <c r="F37" s="4" t="s">
        <v>25</v>
      </c>
      <c r="G37" s="4" t="s">
        <v>25</v>
      </c>
      <c r="H37" s="4" t="s">
        <v>36</v>
      </c>
      <c r="I37" s="5">
        <v>44743</v>
      </c>
      <c r="J37" s="6">
        <v>0</v>
      </c>
      <c r="K37" s="6">
        <v>0</v>
      </c>
      <c r="L37" s="6">
        <v>0.45300000000000001</v>
      </c>
      <c r="M37" s="6">
        <v>0.45300000000000001</v>
      </c>
      <c r="N37" s="6">
        <v>0.45300000000000001</v>
      </c>
      <c r="O37" s="6">
        <v>0.45300000000000001</v>
      </c>
      <c r="P37" s="6">
        <v>0</v>
      </c>
      <c r="Q37" s="4" t="s">
        <v>26</v>
      </c>
      <c r="R37" s="4">
        <v>0</v>
      </c>
      <c r="S37" s="6">
        <v>0</v>
      </c>
      <c r="T37" s="6">
        <v>7</v>
      </c>
      <c r="U37" s="6">
        <v>50</v>
      </c>
      <c r="V37" s="6">
        <f>IF(ISERROR(VLOOKUP($S$37,'TAR FIN'!$A$1:$O$88,15,0)),0,VLOOKUP($S$37,'TAR FIN'!$A$1:$O$88,15,0))</f>
        <v>0</v>
      </c>
      <c r="W37" s="6">
        <f>IF(ISERROR(VLOOKUP($T$37,'TAR FIN'!$A$1:$O$88,15,0)),0,VLOOKUP($T$37,'TAR FIN'!$A$1:$O$88,15,0))</f>
        <v>1419.25</v>
      </c>
      <c r="X37" s="6">
        <f>IF(ISERROR(VLOOKUP($U$37,'TAR FIN'!$A$1:$O$88,15,0)),0,VLOOKUP($U$37,'TAR FIN'!$A$1:$O$88,15,0))</f>
        <v>518.44000000000005</v>
      </c>
      <c r="Y37" s="6"/>
      <c r="Z37" s="6">
        <f ca="1">('TUSD BE'!$AM$11+'TUSD BF_350'!$AM$11+'TUSD CVA'!$AM$11)*1</f>
        <v>911.84</v>
      </c>
      <c r="AA37" s="6">
        <f ca="1">('TE BE'!$AB$5+'TE BF_350'!$AB$5+'TE CVA'!$AB$5)*1</f>
        <v>399.84</v>
      </c>
      <c r="AB37" s="6">
        <f>$K$37*$V$37</f>
        <v>0</v>
      </c>
      <c r="AC37" s="6">
        <f>$M$37*$W$37</f>
        <v>642.92025000000001</v>
      </c>
      <c r="AD37" s="6">
        <f>$O$37*$X$37</f>
        <v>234.85332000000002</v>
      </c>
      <c r="AE37" s="6">
        <f>$K$37*$Y$37</f>
        <v>0</v>
      </c>
      <c r="AF37" s="6">
        <f ca="1">$M$37*$Z$37</f>
        <v>413.06352000000004</v>
      </c>
      <c r="AG37" s="6">
        <f ca="1">$O$37*$AA$37</f>
        <v>181.12752</v>
      </c>
    </row>
    <row r="38" spans="1:33" ht="11.25" customHeight="1" x14ac:dyDescent="0.25">
      <c r="A38" s="4" t="s">
        <v>21</v>
      </c>
      <c r="B38" s="4" t="s">
        <v>34</v>
      </c>
      <c r="C38" s="4" t="s">
        <v>35</v>
      </c>
      <c r="D38" s="4" t="s">
        <v>33</v>
      </c>
      <c r="E38" s="4" t="s">
        <v>25</v>
      </c>
      <c r="F38" s="4" t="s">
        <v>50</v>
      </c>
      <c r="G38" s="4" t="s">
        <v>25</v>
      </c>
      <c r="H38" s="4" t="s">
        <v>37</v>
      </c>
      <c r="I38" s="5">
        <v>44409</v>
      </c>
      <c r="J38" s="6">
        <v>0</v>
      </c>
      <c r="K38" s="6">
        <v>0</v>
      </c>
      <c r="L38" s="6">
        <v>399.43</v>
      </c>
      <c r="M38" s="6">
        <v>399.43</v>
      </c>
      <c r="N38" s="6">
        <v>0</v>
      </c>
      <c r="O38" s="6">
        <v>0</v>
      </c>
      <c r="P38" s="6">
        <v>0</v>
      </c>
      <c r="Q38" s="4" t="s">
        <v>51</v>
      </c>
      <c r="R38" s="4">
        <v>0</v>
      </c>
      <c r="S38" s="6">
        <v>0</v>
      </c>
      <c r="T38" s="6">
        <v>8</v>
      </c>
      <c r="U38" s="6">
        <v>0</v>
      </c>
      <c r="V38" s="6">
        <f>IF(ISERROR(VLOOKUP($S$38,'TAR FIN'!$A$1:$O$88,15,0)),0,VLOOKUP($S$38,'TAR FIN'!$A$1:$O$88,15,0))</f>
        <v>0</v>
      </c>
      <c r="W38" s="6">
        <f>IF(ISERROR(VLOOKUP($T$38,'TAR FIN'!$A$1:$O$88,15,0)),0,VLOOKUP($T$38,'TAR FIN'!$A$1:$O$88,15,0))</f>
        <v>70.19</v>
      </c>
      <c r="X38" s="6">
        <f>IF(ISERROR(VLOOKUP($U$38,'TAR FIN'!$A$1:$O$88,15,0)),0,VLOOKUP($U$38,'TAR FIN'!$A$1:$O$88,15,0))</f>
        <v>0</v>
      </c>
      <c r="Y38" s="6"/>
      <c r="Z38" s="6">
        <f ca="1">('TUSD BE'!$AM$12+'TUSD BF_350'!$AM$12+'TUSD CVA'!$AM$12)*1</f>
        <v>126.25</v>
      </c>
      <c r="AA38" s="6"/>
      <c r="AB38" s="6">
        <f>$K$38*$V$38</f>
        <v>0</v>
      </c>
      <c r="AC38" s="6">
        <f>$M$38*$W$38</f>
        <v>28035.991699999999</v>
      </c>
      <c r="AD38" s="6">
        <f>$O$38*$X$38</f>
        <v>0</v>
      </c>
      <c r="AE38" s="6">
        <f>$K$38*$Y$38</f>
        <v>0</v>
      </c>
      <c r="AF38" s="6">
        <f ca="1">$M$38*$Z$38</f>
        <v>50428.037499999999</v>
      </c>
      <c r="AG38" s="6">
        <f>$O$38*$AA$38</f>
        <v>0</v>
      </c>
    </row>
    <row r="39" spans="1:33" ht="11.25" customHeight="1" x14ac:dyDescent="0.25">
      <c r="A39" s="4" t="s">
        <v>21</v>
      </c>
      <c r="B39" s="4" t="s">
        <v>34</v>
      </c>
      <c r="C39" s="4" t="s">
        <v>35</v>
      </c>
      <c r="D39" s="4" t="s">
        <v>33</v>
      </c>
      <c r="E39" s="4" t="s">
        <v>25</v>
      </c>
      <c r="F39" s="4" t="s">
        <v>50</v>
      </c>
      <c r="G39" s="4" t="s">
        <v>25</v>
      </c>
      <c r="H39" s="4" t="s">
        <v>37</v>
      </c>
      <c r="I39" s="5">
        <v>44440</v>
      </c>
      <c r="J39" s="6">
        <v>0</v>
      </c>
      <c r="K39" s="6">
        <v>0</v>
      </c>
      <c r="L39" s="6">
        <v>374.197</v>
      </c>
      <c r="M39" s="6">
        <v>374.197</v>
      </c>
      <c r="N39" s="6">
        <v>0</v>
      </c>
      <c r="O39" s="6">
        <v>0</v>
      </c>
      <c r="P39" s="6">
        <v>0</v>
      </c>
      <c r="Q39" s="4" t="s">
        <v>51</v>
      </c>
      <c r="R39" s="4">
        <v>0</v>
      </c>
      <c r="S39" s="6">
        <v>0</v>
      </c>
      <c r="T39" s="6">
        <v>8</v>
      </c>
      <c r="U39" s="6">
        <v>0</v>
      </c>
      <c r="V39" s="6">
        <f>IF(ISERROR(VLOOKUP($S$39,'TAR FIN'!$A$1:$O$88,15,0)),0,VLOOKUP($S$39,'TAR FIN'!$A$1:$O$88,15,0))</f>
        <v>0</v>
      </c>
      <c r="W39" s="6">
        <f>IF(ISERROR(VLOOKUP($T$39,'TAR FIN'!$A$1:$O$88,15,0)),0,VLOOKUP($T$39,'TAR FIN'!$A$1:$O$88,15,0))</f>
        <v>70.19</v>
      </c>
      <c r="X39" s="6">
        <f>IF(ISERROR(VLOOKUP($U$39,'TAR FIN'!$A$1:$O$88,15,0)),0,VLOOKUP($U$39,'TAR FIN'!$A$1:$O$88,15,0))</f>
        <v>0</v>
      </c>
      <c r="Y39" s="6"/>
      <c r="Z39" s="6">
        <f ca="1">('TUSD BE'!$AM$12+'TUSD BF_350'!$AM$12+'TUSD CVA'!$AM$12)*1</f>
        <v>126.25</v>
      </c>
      <c r="AA39" s="6"/>
      <c r="AB39" s="6">
        <f>$K$39*$V$39</f>
        <v>0</v>
      </c>
      <c r="AC39" s="6">
        <f>$M$39*$W$39</f>
        <v>26264.887429999999</v>
      </c>
      <c r="AD39" s="6">
        <f>$O$39*$X$39</f>
        <v>0</v>
      </c>
      <c r="AE39" s="6">
        <f>$K$39*$Y$39</f>
        <v>0</v>
      </c>
      <c r="AF39" s="6">
        <f ca="1">$M$39*$Z$39</f>
        <v>47242.371250000004</v>
      </c>
      <c r="AG39" s="6">
        <f>$O$39*$AA$39</f>
        <v>0</v>
      </c>
    </row>
    <row r="40" spans="1:33" ht="11.25" customHeight="1" x14ac:dyDescent="0.25">
      <c r="A40" s="4" t="s">
        <v>21</v>
      </c>
      <c r="B40" s="4" t="s">
        <v>34</v>
      </c>
      <c r="C40" s="4" t="s">
        <v>35</v>
      </c>
      <c r="D40" s="4" t="s">
        <v>33</v>
      </c>
      <c r="E40" s="4" t="s">
        <v>25</v>
      </c>
      <c r="F40" s="4" t="s">
        <v>50</v>
      </c>
      <c r="G40" s="4" t="s">
        <v>25</v>
      </c>
      <c r="H40" s="4" t="s">
        <v>37</v>
      </c>
      <c r="I40" s="5">
        <v>44470</v>
      </c>
      <c r="J40" s="6">
        <v>0</v>
      </c>
      <c r="K40" s="6">
        <v>0</v>
      </c>
      <c r="L40" s="6">
        <v>383.92899999999997</v>
      </c>
      <c r="M40" s="6">
        <v>383.92899999999997</v>
      </c>
      <c r="N40" s="6">
        <v>0</v>
      </c>
      <c r="O40" s="6">
        <v>0</v>
      </c>
      <c r="P40" s="6">
        <v>0</v>
      </c>
      <c r="Q40" s="4" t="s">
        <v>51</v>
      </c>
      <c r="R40" s="4">
        <v>0</v>
      </c>
      <c r="S40" s="6">
        <v>0</v>
      </c>
      <c r="T40" s="6">
        <v>8</v>
      </c>
      <c r="U40" s="6">
        <v>0</v>
      </c>
      <c r="V40" s="6">
        <f>IF(ISERROR(VLOOKUP($S$40,'TAR FIN'!$A$1:$O$88,15,0)),0,VLOOKUP($S$40,'TAR FIN'!$A$1:$O$88,15,0))</f>
        <v>0</v>
      </c>
      <c r="W40" s="6">
        <f>IF(ISERROR(VLOOKUP($T$40,'TAR FIN'!$A$1:$O$88,15,0)),0,VLOOKUP($T$40,'TAR FIN'!$A$1:$O$88,15,0))</f>
        <v>70.19</v>
      </c>
      <c r="X40" s="6">
        <f>IF(ISERROR(VLOOKUP($U$40,'TAR FIN'!$A$1:$O$88,15,0)),0,VLOOKUP($U$40,'TAR FIN'!$A$1:$O$88,15,0))</f>
        <v>0</v>
      </c>
      <c r="Y40" s="6"/>
      <c r="Z40" s="6">
        <f ca="1">('TUSD BE'!$AM$12+'TUSD BF_350'!$AM$12+'TUSD CVA'!$AM$12)*1</f>
        <v>126.25</v>
      </c>
      <c r="AA40" s="6"/>
      <c r="AB40" s="6">
        <f>$K$40*$V$40</f>
        <v>0</v>
      </c>
      <c r="AC40" s="6">
        <f>$M$40*$W$40</f>
        <v>26947.976509999997</v>
      </c>
      <c r="AD40" s="6">
        <f>$O$40*$X$40</f>
        <v>0</v>
      </c>
      <c r="AE40" s="6">
        <f>$K$40*$Y$40</f>
        <v>0</v>
      </c>
      <c r="AF40" s="6">
        <f ca="1">$M$40*$Z$40</f>
        <v>48471.036249999997</v>
      </c>
      <c r="AG40" s="6">
        <f>$O$40*$AA$40</f>
        <v>0</v>
      </c>
    </row>
    <row r="41" spans="1:33" ht="11.25" customHeight="1" x14ac:dyDescent="0.25">
      <c r="A41" s="4" t="s">
        <v>21</v>
      </c>
      <c r="B41" s="4" t="s">
        <v>34</v>
      </c>
      <c r="C41" s="4" t="s">
        <v>35</v>
      </c>
      <c r="D41" s="4" t="s">
        <v>33</v>
      </c>
      <c r="E41" s="4" t="s">
        <v>25</v>
      </c>
      <c r="F41" s="4" t="s">
        <v>50</v>
      </c>
      <c r="G41" s="4" t="s">
        <v>25</v>
      </c>
      <c r="H41" s="4" t="s">
        <v>37</v>
      </c>
      <c r="I41" s="5">
        <v>44501</v>
      </c>
      <c r="J41" s="6">
        <v>0</v>
      </c>
      <c r="K41" s="6">
        <v>0</v>
      </c>
      <c r="L41" s="6">
        <v>492.41399999999999</v>
      </c>
      <c r="M41" s="6">
        <v>492.41399999999999</v>
      </c>
      <c r="N41" s="6">
        <v>0</v>
      </c>
      <c r="O41" s="6">
        <v>0</v>
      </c>
      <c r="P41" s="6">
        <v>0</v>
      </c>
      <c r="Q41" s="4" t="s">
        <v>51</v>
      </c>
      <c r="R41" s="4">
        <v>0</v>
      </c>
      <c r="S41" s="6">
        <v>0</v>
      </c>
      <c r="T41" s="6">
        <v>8</v>
      </c>
      <c r="U41" s="6">
        <v>0</v>
      </c>
      <c r="V41" s="6">
        <f>IF(ISERROR(VLOOKUP($S$41,'TAR FIN'!$A$1:$O$88,15,0)),0,VLOOKUP($S$41,'TAR FIN'!$A$1:$O$88,15,0))</f>
        <v>0</v>
      </c>
      <c r="W41" s="6">
        <f>IF(ISERROR(VLOOKUP($T$41,'TAR FIN'!$A$1:$O$88,15,0)),0,VLOOKUP($T$41,'TAR FIN'!$A$1:$O$88,15,0))</f>
        <v>70.19</v>
      </c>
      <c r="X41" s="6">
        <f>IF(ISERROR(VLOOKUP($U$41,'TAR FIN'!$A$1:$O$88,15,0)),0,VLOOKUP($U$41,'TAR FIN'!$A$1:$O$88,15,0))</f>
        <v>0</v>
      </c>
      <c r="Y41" s="6"/>
      <c r="Z41" s="6">
        <f ca="1">('TUSD BE'!$AM$12+'TUSD BF_350'!$AM$12+'TUSD CVA'!$AM$12)*1</f>
        <v>126.25</v>
      </c>
      <c r="AA41" s="6"/>
      <c r="AB41" s="6">
        <f>$K$41*$V$41</f>
        <v>0</v>
      </c>
      <c r="AC41" s="6">
        <f>$M$41*$W$41</f>
        <v>34562.538659999998</v>
      </c>
      <c r="AD41" s="6">
        <f>$O$41*$X$41</f>
        <v>0</v>
      </c>
      <c r="AE41" s="6">
        <f>$K$41*$Y$41</f>
        <v>0</v>
      </c>
      <c r="AF41" s="6">
        <f ca="1">$M$41*$Z$41</f>
        <v>62167.267500000002</v>
      </c>
      <c r="AG41" s="6">
        <f>$O$41*$AA$41</f>
        <v>0</v>
      </c>
    </row>
    <row r="42" spans="1:33" ht="11.25" customHeight="1" x14ac:dyDescent="0.25">
      <c r="A42" s="4" t="s">
        <v>21</v>
      </c>
      <c r="B42" s="4" t="s">
        <v>34</v>
      </c>
      <c r="C42" s="4" t="s">
        <v>35</v>
      </c>
      <c r="D42" s="4" t="s">
        <v>33</v>
      </c>
      <c r="E42" s="4" t="s">
        <v>25</v>
      </c>
      <c r="F42" s="4" t="s">
        <v>50</v>
      </c>
      <c r="G42" s="4" t="s">
        <v>25</v>
      </c>
      <c r="H42" s="4" t="s">
        <v>37</v>
      </c>
      <c r="I42" s="5">
        <v>44531</v>
      </c>
      <c r="J42" s="6">
        <v>0</v>
      </c>
      <c r="K42" s="6">
        <v>0</v>
      </c>
      <c r="L42" s="6">
        <v>512.43600000000004</v>
      </c>
      <c r="M42" s="6">
        <v>512.43600000000004</v>
      </c>
      <c r="N42" s="6">
        <v>0</v>
      </c>
      <c r="O42" s="6">
        <v>0</v>
      </c>
      <c r="P42" s="6">
        <v>0</v>
      </c>
      <c r="Q42" s="4" t="s">
        <v>51</v>
      </c>
      <c r="R42" s="4">
        <v>0</v>
      </c>
      <c r="S42" s="6">
        <v>0</v>
      </c>
      <c r="T42" s="6">
        <v>8</v>
      </c>
      <c r="U42" s="6">
        <v>0</v>
      </c>
      <c r="V42" s="6">
        <f>IF(ISERROR(VLOOKUP($S$42,'TAR FIN'!$A$1:$O$88,15,0)),0,VLOOKUP($S$42,'TAR FIN'!$A$1:$O$88,15,0))</f>
        <v>0</v>
      </c>
      <c r="W42" s="6">
        <f>IF(ISERROR(VLOOKUP($T$42,'TAR FIN'!$A$1:$O$88,15,0)),0,VLOOKUP($T$42,'TAR FIN'!$A$1:$O$88,15,0))</f>
        <v>70.19</v>
      </c>
      <c r="X42" s="6">
        <f>IF(ISERROR(VLOOKUP($U$42,'TAR FIN'!$A$1:$O$88,15,0)),0,VLOOKUP($U$42,'TAR FIN'!$A$1:$O$88,15,0))</f>
        <v>0</v>
      </c>
      <c r="Y42" s="6"/>
      <c r="Z42" s="6">
        <f ca="1">('TUSD BE'!$AM$12+'TUSD BF_350'!$AM$12+'TUSD CVA'!$AM$12)*1</f>
        <v>126.25</v>
      </c>
      <c r="AA42" s="6"/>
      <c r="AB42" s="6">
        <f>$K$42*$V$42</f>
        <v>0</v>
      </c>
      <c r="AC42" s="6">
        <f>$M$42*$W$42</f>
        <v>35967.882839999998</v>
      </c>
      <c r="AD42" s="6">
        <f>$O$42*$X$42</f>
        <v>0</v>
      </c>
      <c r="AE42" s="6">
        <f>$K$42*$Y$42</f>
        <v>0</v>
      </c>
      <c r="AF42" s="6">
        <f ca="1">$M$42*$Z$42</f>
        <v>64695.045000000006</v>
      </c>
      <c r="AG42" s="6">
        <f>$O$42*$AA$42</f>
        <v>0</v>
      </c>
    </row>
    <row r="43" spans="1:33" ht="11.25" customHeight="1" x14ac:dyDescent="0.25">
      <c r="A43" s="4" t="s">
        <v>21</v>
      </c>
      <c r="B43" s="4" t="s">
        <v>34</v>
      </c>
      <c r="C43" s="4" t="s">
        <v>35</v>
      </c>
      <c r="D43" s="4" t="s">
        <v>33</v>
      </c>
      <c r="E43" s="4" t="s">
        <v>25</v>
      </c>
      <c r="F43" s="4" t="s">
        <v>50</v>
      </c>
      <c r="G43" s="4" t="s">
        <v>25</v>
      </c>
      <c r="H43" s="4" t="s">
        <v>37</v>
      </c>
      <c r="I43" s="5">
        <v>44562</v>
      </c>
      <c r="J43" s="6">
        <v>0</v>
      </c>
      <c r="K43" s="6">
        <v>0</v>
      </c>
      <c r="L43" s="6">
        <v>509.79700000000003</v>
      </c>
      <c r="M43" s="6">
        <v>509.79700000000003</v>
      </c>
      <c r="N43" s="6">
        <v>0</v>
      </c>
      <c r="O43" s="6">
        <v>0</v>
      </c>
      <c r="P43" s="6">
        <v>0</v>
      </c>
      <c r="Q43" s="4" t="s">
        <v>51</v>
      </c>
      <c r="R43" s="4">
        <v>0</v>
      </c>
      <c r="S43" s="6">
        <v>0</v>
      </c>
      <c r="T43" s="6">
        <v>8</v>
      </c>
      <c r="U43" s="6">
        <v>0</v>
      </c>
      <c r="V43" s="6">
        <f>IF(ISERROR(VLOOKUP($S$43,'TAR FIN'!$A$1:$O$88,15,0)),0,VLOOKUP($S$43,'TAR FIN'!$A$1:$O$88,15,0))</f>
        <v>0</v>
      </c>
      <c r="W43" s="6">
        <f>IF(ISERROR(VLOOKUP($T$43,'TAR FIN'!$A$1:$O$88,15,0)),0,VLOOKUP($T$43,'TAR FIN'!$A$1:$O$88,15,0))</f>
        <v>70.19</v>
      </c>
      <c r="X43" s="6">
        <f>IF(ISERROR(VLOOKUP($U$43,'TAR FIN'!$A$1:$O$88,15,0)),0,VLOOKUP($U$43,'TAR FIN'!$A$1:$O$88,15,0))</f>
        <v>0</v>
      </c>
      <c r="Y43" s="6"/>
      <c r="Z43" s="6">
        <f ca="1">('TUSD BE'!$AM$12+'TUSD BF_350'!$AM$12+'TUSD CVA'!$AM$12)*1</f>
        <v>126.25</v>
      </c>
      <c r="AA43" s="6"/>
      <c r="AB43" s="6">
        <f>$K$43*$V$43</f>
        <v>0</v>
      </c>
      <c r="AC43" s="6">
        <f>$M$43*$W$43</f>
        <v>35782.651429999998</v>
      </c>
      <c r="AD43" s="6">
        <f>$O$43*$X$43</f>
        <v>0</v>
      </c>
      <c r="AE43" s="6">
        <f>$K$43*$Y$43</f>
        <v>0</v>
      </c>
      <c r="AF43" s="6">
        <f ca="1">$M$43*$Z$43</f>
        <v>64361.871250000004</v>
      </c>
      <c r="AG43" s="6">
        <f>$O$43*$AA$43</f>
        <v>0</v>
      </c>
    </row>
    <row r="44" spans="1:33" ht="11.25" customHeight="1" x14ac:dyDescent="0.25">
      <c r="A44" s="4" t="s">
        <v>21</v>
      </c>
      <c r="B44" s="4" t="s">
        <v>34</v>
      </c>
      <c r="C44" s="4" t="s">
        <v>35</v>
      </c>
      <c r="D44" s="4" t="s">
        <v>33</v>
      </c>
      <c r="E44" s="4" t="s">
        <v>25</v>
      </c>
      <c r="F44" s="4" t="s">
        <v>50</v>
      </c>
      <c r="G44" s="4" t="s">
        <v>25</v>
      </c>
      <c r="H44" s="4" t="s">
        <v>37</v>
      </c>
      <c r="I44" s="5">
        <v>44593</v>
      </c>
      <c r="J44" s="6">
        <v>0</v>
      </c>
      <c r="K44" s="6">
        <v>0</v>
      </c>
      <c r="L44" s="6">
        <v>511.16399999999999</v>
      </c>
      <c r="M44" s="6">
        <v>511.16399999999999</v>
      </c>
      <c r="N44" s="6">
        <v>0</v>
      </c>
      <c r="O44" s="6">
        <v>0</v>
      </c>
      <c r="P44" s="6">
        <v>0</v>
      </c>
      <c r="Q44" s="4" t="s">
        <v>51</v>
      </c>
      <c r="R44" s="4">
        <v>0</v>
      </c>
      <c r="S44" s="6">
        <v>0</v>
      </c>
      <c r="T44" s="6">
        <v>8</v>
      </c>
      <c r="U44" s="6">
        <v>0</v>
      </c>
      <c r="V44" s="6">
        <f>IF(ISERROR(VLOOKUP($S$44,'TAR FIN'!$A$1:$O$88,15,0)),0,VLOOKUP($S$44,'TAR FIN'!$A$1:$O$88,15,0))</f>
        <v>0</v>
      </c>
      <c r="W44" s="6">
        <f>IF(ISERROR(VLOOKUP($T$44,'TAR FIN'!$A$1:$O$88,15,0)),0,VLOOKUP($T$44,'TAR FIN'!$A$1:$O$88,15,0))</f>
        <v>70.19</v>
      </c>
      <c r="X44" s="6">
        <f>IF(ISERROR(VLOOKUP($U$44,'TAR FIN'!$A$1:$O$88,15,0)),0,VLOOKUP($U$44,'TAR FIN'!$A$1:$O$88,15,0))</f>
        <v>0</v>
      </c>
      <c r="Y44" s="6"/>
      <c r="Z44" s="6">
        <f ca="1">('TUSD BE'!$AM$12+'TUSD BF_350'!$AM$12+'TUSD CVA'!$AM$12)*1</f>
        <v>126.25</v>
      </c>
      <c r="AA44" s="6"/>
      <c r="AB44" s="6">
        <f>$K$44*$V$44</f>
        <v>0</v>
      </c>
      <c r="AC44" s="6">
        <f>$M$44*$W$44</f>
        <v>35878.601159999998</v>
      </c>
      <c r="AD44" s="6">
        <f>$O$44*$X$44</f>
        <v>0</v>
      </c>
      <c r="AE44" s="6">
        <f>$K$44*$Y$44</f>
        <v>0</v>
      </c>
      <c r="AF44" s="6">
        <f ca="1">$M$44*$Z$44</f>
        <v>64534.455000000002</v>
      </c>
      <c r="AG44" s="6">
        <f>$O$44*$AA$44</f>
        <v>0</v>
      </c>
    </row>
    <row r="45" spans="1:33" ht="11.25" customHeight="1" x14ac:dyDescent="0.25">
      <c r="A45" s="4" t="s">
        <v>21</v>
      </c>
      <c r="B45" s="4" t="s">
        <v>34</v>
      </c>
      <c r="C45" s="4" t="s">
        <v>35</v>
      </c>
      <c r="D45" s="4" t="s">
        <v>33</v>
      </c>
      <c r="E45" s="4" t="s">
        <v>25</v>
      </c>
      <c r="F45" s="4" t="s">
        <v>50</v>
      </c>
      <c r="G45" s="4" t="s">
        <v>25</v>
      </c>
      <c r="H45" s="4" t="s">
        <v>37</v>
      </c>
      <c r="I45" s="5">
        <v>44621</v>
      </c>
      <c r="J45" s="6">
        <v>0</v>
      </c>
      <c r="K45" s="6">
        <v>0</v>
      </c>
      <c r="L45" s="6">
        <v>573.44500000000005</v>
      </c>
      <c r="M45" s="6">
        <v>573.44500000000005</v>
      </c>
      <c r="N45" s="6">
        <v>0</v>
      </c>
      <c r="O45" s="6">
        <v>0</v>
      </c>
      <c r="P45" s="6">
        <v>0</v>
      </c>
      <c r="Q45" s="4" t="s">
        <v>51</v>
      </c>
      <c r="R45" s="4">
        <v>0</v>
      </c>
      <c r="S45" s="6">
        <v>0</v>
      </c>
      <c r="T45" s="6">
        <v>8</v>
      </c>
      <c r="U45" s="6">
        <v>0</v>
      </c>
      <c r="V45" s="6">
        <f>IF(ISERROR(VLOOKUP($S$45,'TAR FIN'!$A$1:$O$88,15,0)),0,VLOOKUP($S$45,'TAR FIN'!$A$1:$O$88,15,0))</f>
        <v>0</v>
      </c>
      <c r="W45" s="6">
        <f>IF(ISERROR(VLOOKUP($T$45,'TAR FIN'!$A$1:$O$88,15,0)),0,VLOOKUP($T$45,'TAR FIN'!$A$1:$O$88,15,0))</f>
        <v>70.19</v>
      </c>
      <c r="X45" s="6">
        <f>IF(ISERROR(VLOOKUP($U$45,'TAR FIN'!$A$1:$O$88,15,0)),0,VLOOKUP($U$45,'TAR FIN'!$A$1:$O$88,15,0))</f>
        <v>0</v>
      </c>
      <c r="Y45" s="6"/>
      <c r="Z45" s="6">
        <f ca="1">('TUSD BE'!$AM$12+'TUSD BF_350'!$AM$12+'TUSD CVA'!$AM$12)*1</f>
        <v>126.25</v>
      </c>
      <c r="AA45" s="6"/>
      <c r="AB45" s="6">
        <f>$K$45*$V$45</f>
        <v>0</v>
      </c>
      <c r="AC45" s="6">
        <f>$M$45*$W$45</f>
        <v>40250.104550000004</v>
      </c>
      <c r="AD45" s="6">
        <f>$O$45*$X$45</f>
        <v>0</v>
      </c>
      <c r="AE45" s="6">
        <f>$K$45*$Y$45</f>
        <v>0</v>
      </c>
      <c r="AF45" s="6">
        <f ca="1">$M$45*$Z$45</f>
        <v>72397.431250000009</v>
      </c>
      <c r="AG45" s="6">
        <f>$O$45*$AA$45</f>
        <v>0</v>
      </c>
    </row>
    <row r="46" spans="1:33" ht="11.25" customHeight="1" x14ac:dyDescent="0.25">
      <c r="A46" s="4" t="s">
        <v>21</v>
      </c>
      <c r="B46" s="4" t="s">
        <v>34</v>
      </c>
      <c r="C46" s="4" t="s">
        <v>35</v>
      </c>
      <c r="D46" s="4" t="s">
        <v>33</v>
      </c>
      <c r="E46" s="4" t="s">
        <v>25</v>
      </c>
      <c r="F46" s="4" t="s">
        <v>50</v>
      </c>
      <c r="G46" s="4" t="s">
        <v>25</v>
      </c>
      <c r="H46" s="4" t="s">
        <v>37</v>
      </c>
      <c r="I46" s="5">
        <v>44652</v>
      </c>
      <c r="J46" s="6">
        <v>0</v>
      </c>
      <c r="K46" s="6">
        <v>0</v>
      </c>
      <c r="L46" s="6">
        <v>505.69200000000001</v>
      </c>
      <c r="M46" s="6">
        <v>505.69200000000001</v>
      </c>
      <c r="N46" s="6">
        <v>0</v>
      </c>
      <c r="O46" s="6">
        <v>0</v>
      </c>
      <c r="P46" s="6">
        <v>0</v>
      </c>
      <c r="Q46" s="4" t="s">
        <v>51</v>
      </c>
      <c r="R46" s="4">
        <v>0</v>
      </c>
      <c r="S46" s="6">
        <v>0</v>
      </c>
      <c r="T46" s="6">
        <v>8</v>
      </c>
      <c r="U46" s="6">
        <v>0</v>
      </c>
      <c r="V46" s="6">
        <f>IF(ISERROR(VLOOKUP($S$46,'TAR FIN'!$A$1:$O$88,15,0)),0,VLOOKUP($S$46,'TAR FIN'!$A$1:$O$88,15,0))</f>
        <v>0</v>
      </c>
      <c r="W46" s="6">
        <f>IF(ISERROR(VLOOKUP($T$46,'TAR FIN'!$A$1:$O$88,15,0)),0,VLOOKUP($T$46,'TAR FIN'!$A$1:$O$88,15,0))</f>
        <v>70.19</v>
      </c>
      <c r="X46" s="6">
        <f>IF(ISERROR(VLOOKUP($U$46,'TAR FIN'!$A$1:$O$88,15,0)),0,VLOOKUP($U$46,'TAR FIN'!$A$1:$O$88,15,0))</f>
        <v>0</v>
      </c>
      <c r="Y46" s="6"/>
      <c r="Z46" s="6">
        <f ca="1">('TUSD BE'!$AM$12+'TUSD BF_350'!$AM$12+'TUSD CVA'!$AM$12)*1</f>
        <v>126.25</v>
      </c>
      <c r="AA46" s="6"/>
      <c r="AB46" s="6">
        <f>$K$46*$V$46</f>
        <v>0</v>
      </c>
      <c r="AC46" s="6">
        <f>$M$46*$W$46</f>
        <v>35494.521479999996</v>
      </c>
      <c r="AD46" s="6">
        <f>$O$46*$X$46</f>
        <v>0</v>
      </c>
      <c r="AE46" s="6">
        <f>$K$46*$Y$46</f>
        <v>0</v>
      </c>
      <c r="AF46" s="6">
        <f ca="1">$M$46*$Z$46</f>
        <v>63843.614999999998</v>
      </c>
      <c r="AG46" s="6">
        <f>$O$46*$AA$46</f>
        <v>0</v>
      </c>
    </row>
    <row r="47" spans="1:33" ht="11.25" customHeight="1" x14ac:dyDescent="0.25">
      <c r="A47" s="4" t="s">
        <v>21</v>
      </c>
      <c r="B47" s="4" t="s">
        <v>34</v>
      </c>
      <c r="C47" s="4" t="s">
        <v>35</v>
      </c>
      <c r="D47" s="4" t="s">
        <v>33</v>
      </c>
      <c r="E47" s="4" t="s">
        <v>25</v>
      </c>
      <c r="F47" s="4" t="s">
        <v>50</v>
      </c>
      <c r="G47" s="4" t="s">
        <v>25</v>
      </c>
      <c r="H47" s="4" t="s">
        <v>37</v>
      </c>
      <c r="I47" s="5">
        <v>44682</v>
      </c>
      <c r="J47" s="6">
        <v>0</v>
      </c>
      <c r="K47" s="6">
        <v>0</v>
      </c>
      <c r="L47" s="6">
        <v>515.16200000000003</v>
      </c>
      <c r="M47" s="6">
        <v>515.16200000000003</v>
      </c>
      <c r="N47" s="6">
        <v>0</v>
      </c>
      <c r="O47" s="6">
        <v>0</v>
      </c>
      <c r="P47" s="6">
        <v>0</v>
      </c>
      <c r="Q47" s="4" t="s">
        <v>51</v>
      </c>
      <c r="R47" s="4">
        <v>0</v>
      </c>
      <c r="S47" s="6">
        <v>0</v>
      </c>
      <c r="T47" s="6">
        <v>8</v>
      </c>
      <c r="U47" s="6">
        <v>0</v>
      </c>
      <c r="V47" s="6">
        <f>IF(ISERROR(VLOOKUP($S$47,'TAR FIN'!$A$1:$O$88,15,0)),0,VLOOKUP($S$47,'TAR FIN'!$A$1:$O$88,15,0))</f>
        <v>0</v>
      </c>
      <c r="W47" s="6">
        <f>IF(ISERROR(VLOOKUP($T$47,'TAR FIN'!$A$1:$O$88,15,0)),0,VLOOKUP($T$47,'TAR FIN'!$A$1:$O$88,15,0))</f>
        <v>70.19</v>
      </c>
      <c r="X47" s="6">
        <f>IF(ISERROR(VLOOKUP($U$47,'TAR FIN'!$A$1:$O$88,15,0)),0,VLOOKUP($U$47,'TAR FIN'!$A$1:$O$88,15,0))</f>
        <v>0</v>
      </c>
      <c r="Y47" s="6"/>
      <c r="Z47" s="6">
        <f ca="1">('TUSD BE'!$AM$12+'TUSD BF_350'!$AM$12+'TUSD CVA'!$AM$12)*1</f>
        <v>126.25</v>
      </c>
      <c r="AA47" s="6"/>
      <c r="AB47" s="6">
        <f>$K$47*$V$47</f>
        <v>0</v>
      </c>
      <c r="AC47" s="6">
        <f>$M$47*$W$47</f>
        <v>36159.220780000003</v>
      </c>
      <c r="AD47" s="6">
        <f>$O$47*$X$47</f>
        <v>0</v>
      </c>
      <c r="AE47" s="6">
        <f>$K$47*$Y$47</f>
        <v>0</v>
      </c>
      <c r="AF47" s="6">
        <f ca="1">$M$47*$Z$47</f>
        <v>65039.202500000007</v>
      </c>
      <c r="AG47" s="6">
        <f>$O$47*$AA$47</f>
        <v>0</v>
      </c>
    </row>
    <row r="48" spans="1:33" ht="11.25" customHeight="1" x14ac:dyDescent="0.25">
      <c r="A48" s="4" t="s">
        <v>21</v>
      </c>
      <c r="B48" s="4" t="s">
        <v>34</v>
      </c>
      <c r="C48" s="4" t="s">
        <v>35</v>
      </c>
      <c r="D48" s="4" t="s">
        <v>33</v>
      </c>
      <c r="E48" s="4" t="s">
        <v>25</v>
      </c>
      <c r="F48" s="4" t="s">
        <v>50</v>
      </c>
      <c r="G48" s="4" t="s">
        <v>25</v>
      </c>
      <c r="H48" s="4" t="s">
        <v>37</v>
      </c>
      <c r="I48" s="5">
        <v>44713</v>
      </c>
      <c r="J48" s="6">
        <v>0</v>
      </c>
      <c r="K48" s="6">
        <v>0</v>
      </c>
      <c r="L48" s="6">
        <v>514.71199999999999</v>
      </c>
      <c r="M48" s="6">
        <v>514.71199999999999</v>
      </c>
      <c r="N48" s="6">
        <v>0</v>
      </c>
      <c r="O48" s="6">
        <v>0</v>
      </c>
      <c r="P48" s="6">
        <v>0</v>
      </c>
      <c r="Q48" s="4" t="s">
        <v>51</v>
      </c>
      <c r="R48" s="4">
        <v>0</v>
      </c>
      <c r="S48" s="6">
        <v>0</v>
      </c>
      <c r="T48" s="6">
        <v>8</v>
      </c>
      <c r="U48" s="6">
        <v>0</v>
      </c>
      <c r="V48" s="6">
        <f>IF(ISERROR(VLOOKUP($S$48,'TAR FIN'!$A$1:$O$88,15,0)),0,VLOOKUP($S$48,'TAR FIN'!$A$1:$O$88,15,0))</f>
        <v>0</v>
      </c>
      <c r="W48" s="6">
        <f>IF(ISERROR(VLOOKUP($T$48,'TAR FIN'!$A$1:$O$88,15,0)),0,VLOOKUP($T$48,'TAR FIN'!$A$1:$O$88,15,0))</f>
        <v>70.19</v>
      </c>
      <c r="X48" s="6">
        <f>IF(ISERROR(VLOOKUP($U$48,'TAR FIN'!$A$1:$O$88,15,0)),0,VLOOKUP($U$48,'TAR FIN'!$A$1:$O$88,15,0))</f>
        <v>0</v>
      </c>
      <c r="Y48" s="6"/>
      <c r="Z48" s="6">
        <f ca="1">('TUSD BE'!$AM$12+'TUSD BF_350'!$AM$12+'TUSD CVA'!$AM$12)*1</f>
        <v>126.25</v>
      </c>
      <c r="AA48" s="6"/>
      <c r="AB48" s="6">
        <f>$K$48*$V$48</f>
        <v>0</v>
      </c>
      <c r="AC48" s="6">
        <f>$M$48*$W$48</f>
        <v>36127.635279999995</v>
      </c>
      <c r="AD48" s="6">
        <f>$O$48*$X$48</f>
        <v>0</v>
      </c>
      <c r="AE48" s="6">
        <f>$K$48*$Y$48</f>
        <v>0</v>
      </c>
      <c r="AF48" s="6">
        <f ca="1">$M$48*$Z$48</f>
        <v>64982.39</v>
      </c>
      <c r="AG48" s="6">
        <f>$O$48*$AA$48</f>
        <v>0</v>
      </c>
    </row>
    <row r="49" spans="1:33" ht="11.25" customHeight="1" x14ac:dyDescent="0.25">
      <c r="A49" s="4" t="s">
        <v>21</v>
      </c>
      <c r="B49" s="4" t="s">
        <v>34</v>
      </c>
      <c r="C49" s="4" t="s">
        <v>35</v>
      </c>
      <c r="D49" s="4" t="s">
        <v>33</v>
      </c>
      <c r="E49" s="4" t="s">
        <v>25</v>
      </c>
      <c r="F49" s="4" t="s">
        <v>50</v>
      </c>
      <c r="G49" s="4" t="s">
        <v>25</v>
      </c>
      <c r="H49" s="4" t="s">
        <v>37</v>
      </c>
      <c r="I49" s="5">
        <v>44743</v>
      </c>
      <c r="J49" s="6">
        <v>0</v>
      </c>
      <c r="K49" s="6">
        <v>0</v>
      </c>
      <c r="L49" s="6">
        <v>525.48800000000006</v>
      </c>
      <c r="M49" s="6">
        <v>525.48800000000006</v>
      </c>
      <c r="N49" s="6">
        <v>0</v>
      </c>
      <c r="O49" s="6">
        <v>0</v>
      </c>
      <c r="P49" s="6">
        <v>0</v>
      </c>
      <c r="Q49" s="4" t="s">
        <v>51</v>
      </c>
      <c r="R49" s="4">
        <v>0</v>
      </c>
      <c r="S49" s="6">
        <v>0</v>
      </c>
      <c r="T49" s="6">
        <v>8</v>
      </c>
      <c r="U49" s="6">
        <v>0</v>
      </c>
      <c r="V49" s="6">
        <f>IF(ISERROR(VLOOKUP($S$49,'TAR FIN'!$A$1:$O$88,15,0)),0,VLOOKUP($S$49,'TAR FIN'!$A$1:$O$88,15,0))</f>
        <v>0</v>
      </c>
      <c r="W49" s="6">
        <f>IF(ISERROR(VLOOKUP($T$49,'TAR FIN'!$A$1:$O$88,15,0)),0,VLOOKUP($T$49,'TAR FIN'!$A$1:$O$88,15,0))</f>
        <v>70.19</v>
      </c>
      <c r="X49" s="6">
        <f>IF(ISERROR(VLOOKUP($U$49,'TAR FIN'!$A$1:$O$88,15,0)),0,VLOOKUP($U$49,'TAR FIN'!$A$1:$O$88,15,0))</f>
        <v>0</v>
      </c>
      <c r="Y49" s="6"/>
      <c r="Z49" s="6">
        <f ca="1">('TUSD BE'!$AM$12+'TUSD BF_350'!$AM$12+'TUSD CVA'!$AM$12)*1</f>
        <v>126.25</v>
      </c>
      <c r="AA49" s="6"/>
      <c r="AB49" s="6">
        <f>$K$49*$V$49</f>
        <v>0</v>
      </c>
      <c r="AC49" s="6">
        <f>$M$49*$W$49</f>
        <v>36884.002720000004</v>
      </c>
      <c r="AD49" s="6">
        <f>$O$49*$X$49</f>
        <v>0</v>
      </c>
      <c r="AE49" s="6">
        <f>$K$49*$Y$49</f>
        <v>0</v>
      </c>
      <c r="AF49" s="6">
        <f ca="1">$M$49*$Z$49</f>
        <v>66342.86</v>
      </c>
      <c r="AG49" s="6">
        <f>$O$49*$AA$49</f>
        <v>0</v>
      </c>
    </row>
    <row r="50" spans="1:33" ht="11.25" customHeight="1" x14ac:dyDescent="0.25">
      <c r="A50" s="4" t="s">
        <v>21</v>
      </c>
      <c r="B50" s="4" t="s">
        <v>34</v>
      </c>
      <c r="C50" s="4" t="s">
        <v>35</v>
      </c>
      <c r="D50" s="4" t="s">
        <v>33</v>
      </c>
      <c r="E50" s="4" t="s">
        <v>25</v>
      </c>
      <c r="F50" s="4" t="s">
        <v>50</v>
      </c>
      <c r="G50" s="4" t="s">
        <v>25</v>
      </c>
      <c r="H50" s="4" t="s">
        <v>25</v>
      </c>
      <c r="I50" s="5">
        <v>44409</v>
      </c>
      <c r="J50" s="6">
        <v>1300</v>
      </c>
      <c r="K50" s="6">
        <v>703.09371599999997</v>
      </c>
      <c r="L50" s="6">
        <v>0</v>
      </c>
      <c r="M50" s="6">
        <v>0</v>
      </c>
      <c r="N50" s="6">
        <v>0</v>
      </c>
      <c r="O50" s="6">
        <v>0</v>
      </c>
      <c r="P50" s="6">
        <v>2</v>
      </c>
      <c r="Q50" s="4" t="s">
        <v>51</v>
      </c>
      <c r="R50" s="4">
        <v>0</v>
      </c>
      <c r="S50" s="6">
        <v>6</v>
      </c>
      <c r="T50" s="6">
        <v>0</v>
      </c>
      <c r="U50" s="6">
        <v>0</v>
      </c>
      <c r="V50" s="6">
        <f>IF(ISERROR(VLOOKUP($S$50,'TAR FIN'!$A$1:$O$88,15,0)),0,VLOOKUP($S$50,'TAR FIN'!$A$1:$O$88,15,0))</f>
        <v>20.43</v>
      </c>
      <c r="W50" s="6">
        <f>IF(ISERROR(VLOOKUP($T$50,'TAR FIN'!$A$1:$O$88,15,0)),0,VLOOKUP($T$50,'TAR FIN'!$A$1:$O$88,15,0))</f>
        <v>0</v>
      </c>
      <c r="X50" s="6">
        <f>IF(ISERROR(VLOOKUP($U$50,'TAR FIN'!$A$1:$O$88,15,0)),0,VLOOKUP($U$50,'TAR FIN'!$A$1:$O$88,15,0))</f>
        <v>0</v>
      </c>
      <c r="Y50" s="6">
        <f ca="1">('TUSD BE'!$AM$10+'TUSD BF_350'!$AM$10+'TUSD CVA'!$AM$10)*1</f>
        <v>15.64</v>
      </c>
      <c r="Z50" s="6"/>
      <c r="AA50" s="6"/>
      <c r="AB50" s="6">
        <f>$K$50*$V$50</f>
        <v>14364.204617879999</v>
      </c>
      <c r="AC50" s="6">
        <f>$M$50*$W$50</f>
        <v>0</v>
      </c>
      <c r="AD50" s="6">
        <f>$O$50*$X$50</f>
        <v>0</v>
      </c>
      <c r="AE50" s="6">
        <f ca="1">$K$50*$Y$50</f>
        <v>10996.385718240001</v>
      </c>
      <c r="AF50" s="6">
        <f>$M$50*$Z$50</f>
        <v>0</v>
      </c>
      <c r="AG50" s="6">
        <f>$O$50*$AA$50</f>
        <v>0</v>
      </c>
    </row>
    <row r="51" spans="1:33" ht="11.25" customHeight="1" x14ac:dyDescent="0.25">
      <c r="A51" s="4" t="s">
        <v>21</v>
      </c>
      <c r="B51" s="4" t="s">
        <v>34</v>
      </c>
      <c r="C51" s="4" t="s">
        <v>35</v>
      </c>
      <c r="D51" s="4" t="s">
        <v>33</v>
      </c>
      <c r="E51" s="4" t="s">
        <v>25</v>
      </c>
      <c r="F51" s="4" t="s">
        <v>50</v>
      </c>
      <c r="G51" s="4" t="s">
        <v>25</v>
      </c>
      <c r="H51" s="4" t="s">
        <v>25</v>
      </c>
      <c r="I51" s="5">
        <v>44440</v>
      </c>
      <c r="J51" s="6">
        <v>1300</v>
      </c>
      <c r="K51" s="6">
        <v>710.24843499999997</v>
      </c>
      <c r="L51" s="6">
        <v>0</v>
      </c>
      <c r="M51" s="6">
        <v>0</v>
      </c>
      <c r="N51" s="6">
        <v>0</v>
      </c>
      <c r="O51" s="6">
        <v>0</v>
      </c>
      <c r="P51" s="6">
        <v>2</v>
      </c>
      <c r="Q51" s="4" t="s">
        <v>51</v>
      </c>
      <c r="R51" s="4">
        <v>0</v>
      </c>
      <c r="S51" s="6">
        <v>6</v>
      </c>
      <c r="T51" s="6">
        <v>0</v>
      </c>
      <c r="U51" s="6">
        <v>0</v>
      </c>
      <c r="V51" s="6">
        <f>IF(ISERROR(VLOOKUP($S$51,'TAR FIN'!$A$1:$O$88,15,0)),0,VLOOKUP($S$51,'TAR FIN'!$A$1:$O$88,15,0))</f>
        <v>20.43</v>
      </c>
      <c r="W51" s="6">
        <f>IF(ISERROR(VLOOKUP($T$51,'TAR FIN'!$A$1:$O$88,15,0)),0,VLOOKUP($T$51,'TAR FIN'!$A$1:$O$88,15,0))</f>
        <v>0</v>
      </c>
      <c r="X51" s="6">
        <f>IF(ISERROR(VLOOKUP($U$51,'TAR FIN'!$A$1:$O$88,15,0)),0,VLOOKUP($U$51,'TAR FIN'!$A$1:$O$88,15,0))</f>
        <v>0</v>
      </c>
      <c r="Y51" s="6">
        <f ca="1">('TUSD BE'!$AM$10+'TUSD BF_350'!$AM$10+'TUSD CVA'!$AM$10)*1</f>
        <v>15.64</v>
      </c>
      <c r="Z51" s="6"/>
      <c r="AA51" s="6"/>
      <c r="AB51" s="6">
        <f>$K$51*$V$51</f>
        <v>14510.375527049999</v>
      </c>
      <c r="AC51" s="6">
        <f>$M$51*$W$51</f>
        <v>0</v>
      </c>
      <c r="AD51" s="6">
        <f>$O$51*$X$51</f>
        <v>0</v>
      </c>
      <c r="AE51" s="6">
        <f ca="1">$K$51*$Y$51</f>
        <v>11108.2855234</v>
      </c>
      <c r="AF51" s="6">
        <f>$M$51*$Z$51</f>
        <v>0</v>
      </c>
      <c r="AG51" s="6">
        <f>$O$51*$AA$51</f>
        <v>0</v>
      </c>
    </row>
    <row r="52" spans="1:33" ht="11.25" customHeight="1" x14ac:dyDescent="0.25">
      <c r="A52" s="4" t="s">
        <v>21</v>
      </c>
      <c r="B52" s="4" t="s">
        <v>34</v>
      </c>
      <c r="C52" s="4" t="s">
        <v>35</v>
      </c>
      <c r="D52" s="4" t="s">
        <v>33</v>
      </c>
      <c r="E52" s="4" t="s">
        <v>25</v>
      </c>
      <c r="F52" s="4" t="s">
        <v>50</v>
      </c>
      <c r="G52" s="4" t="s">
        <v>25</v>
      </c>
      <c r="H52" s="4" t="s">
        <v>25</v>
      </c>
      <c r="I52" s="5">
        <v>44470</v>
      </c>
      <c r="J52" s="6">
        <v>1300</v>
      </c>
      <c r="K52" s="6">
        <v>713.766482</v>
      </c>
      <c r="L52" s="6">
        <v>0</v>
      </c>
      <c r="M52" s="6">
        <v>0</v>
      </c>
      <c r="N52" s="6">
        <v>0</v>
      </c>
      <c r="O52" s="6">
        <v>0</v>
      </c>
      <c r="P52" s="6">
        <v>2</v>
      </c>
      <c r="Q52" s="4" t="s">
        <v>51</v>
      </c>
      <c r="R52" s="4">
        <v>0</v>
      </c>
      <c r="S52" s="6">
        <v>6</v>
      </c>
      <c r="T52" s="6">
        <v>0</v>
      </c>
      <c r="U52" s="6">
        <v>0</v>
      </c>
      <c r="V52" s="6">
        <f>IF(ISERROR(VLOOKUP($S$52,'TAR FIN'!$A$1:$O$88,15,0)),0,VLOOKUP($S$52,'TAR FIN'!$A$1:$O$88,15,0))</f>
        <v>20.43</v>
      </c>
      <c r="W52" s="6">
        <f>IF(ISERROR(VLOOKUP($T$52,'TAR FIN'!$A$1:$O$88,15,0)),0,VLOOKUP($T$52,'TAR FIN'!$A$1:$O$88,15,0))</f>
        <v>0</v>
      </c>
      <c r="X52" s="6">
        <f>IF(ISERROR(VLOOKUP($U$52,'TAR FIN'!$A$1:$O$88,15,0)),0,VLOOKUP($U$52,'TAR FIN'!$A$1:$O$88,15,0))</f>
        <v>0</v>
      </c>
      <c r="Y52" s="6">
        <f ca="1">('TUSD BE'!$AM$10+'TUSD BF_350'!$AM$10+'TUSD CVA'!$AM$10)*1</f>
        <v>15.64</v>
      </c>
      <c r="Z52" s="6"/>
      <c r="AA52" s="6"/>
      <c r="AB52" s="6">
        <f>$K$52*$V$52</f>
        <v>14582.249227259999</v>
      </c>
      <c r="AC52" s="6">
        <f>$M$52*$W$52</f>
        <v>0</v>
      </c>
      <c r="AD52" s="6">
        <f>$O$52*$X$52</f>
        <v>0</v>
      </c>
      <c r="AE52" s="6">
        <f ca="1">$K$52*$Y$52</f>
        <v>11163.307778480001</v>
      </c>
      <c r="AF52" s="6">
        <f>$M$52*$Z$52</f>
        <v>0</v>
      </c>
      <c r="AG52" s="6">
        <f>$O$52*$AA$52</f>
        <v>0</v>
      </c>
    </row>
    <row r="53" spans="1:33" ht="11.25" customHeight="1" x14ac:dyDescent="0.25">
      <c r="A53" s="4" t="s">
        <v>21</v>
      </c>
      <c r="B53" s="4" t="s">
        <v>34</v>
      </c>
      <c r="C53" s="4" t="s">
        <v>35</v>
      </c>
      <c r="D53" s="4" t="s">
        <v>33</v>
      </c>
      <c r="E53" s="4" t="s">
        <v>25</v>
      </c>
      <c r="F53" s="4" t="s">
        <v>50</v>
      </c>
      <c r="G53" s="4" t="s">
        <v>25</v>
      </c>
      <c r="H53" s="4" t="s">
        <v>25</v>
      </c>
      <c r="I53" s="5">
        <v>44501</v>
      </c>
      <c r="J53" s="6">
        <v>1387</v>
      </c>
      <c r="K53" s="6">
        <v>698.92776097000001</v>
      </c>
      <c r="L53" s="6">
        <v>0</v>
      </c>
      <c r="M53" s="6">
        <v>0</v>
      </c>
      <c r="N53" s="6">
        <v>0</v>
      </c>
      <c r="O53" s="6">
        <v>0</v>
      </c>
      <c r="P53" s="6">
        <v>2</v>
      </c>
      <c r="Q53" s="4" t="s">
        <v>51</v>
      </c>
      <c r="R53" s="4">
        <v>0</v>
      </c>
      <c r="S53" s="6">
        <v>6</v>
      </c>
      <c r="T53" s="6">
        <v>0</v>
      </c>
      <c r="U53" s="6">
        <v>0</v>
      </c>
      <c r="V53" s="6">
        <f>IF(ISERROR(VLOOKUP($S$53,'TAR FIN'!$A$1:$O$88,15,0)),0,VLOOKUP($S$53,'TAR FIN'!$A$1:$O$88,15,0))</f>
        <v>20.43</v>
      </c>
      <c r="W53" s="6">
        <f>IF(ISERROR(VLOOKUP($T$53,'TAR FIN'!$A$1:$O$88,15,0)),0,VLOOKUP($T$53,'TAR FIN'!$A$1:$O$88,15,0))</f>
        <v>0</v>
      </c>
      <c r="X53" s="6">
        <f>IF(ISERROR(VLOOKUP($U$53,'TAR FIN'!$A$1:$O$88,15,0)),0,VLOOKUP($U$53,'TAR FIN'!$A$1:$O$88,15,0))</f>
        <v>0</v>
      </c>
      <c r="Y53" s="6">
        <f ca="1">('TUSD BE'!$AM$10+'TUSD BF_350'!$AM$10+'TUSD CVA'!$AM$10)*1</f>
        <v>15.64</v>
      </c>
      <c r="Z53" s="6"/>
      <c r="AA53" s="6"/>
      <c r="AB53" s="6">
        <f>$K$53*$V$53</f>
        <v>14279.0941566171</v>
      </c>
      <c r="AC53" s="6">
        <f>$M$53*$W$53</f>
        <v>0</v>
      </c>
      <c r="AD53" s="6">
        <f>$O$53*$X$53</f>
        <v>0</v>
      </c>
      <c r="AE53" s="6">
        <f ca="1">$K$53*$Y$53</f>
        <v>10931.2301815708</v>
      </c>
      <c r="AF53" s="6">
        <f>$M$53*$Z$53</f>
        <v>0</v>
      </c>
      <c r="AG53" s="6">
        <f>$O$53*$AA$53</f>
        <v>0</v>
      </c>
    </row>
    <row r="54" spans="1:33" ht="11.25" customHeight="1" x14ac:dyDescent="0.25">
      <c r="A54" s="4" t="s">
        <v>21</v>
      </c>
      <c r="B54" s="4" t="s">
        <v>34</v>
      </c>
      <c r="C54" s="4" t="s">
        <v>35</v>
      </c>
      <c r="D54" s="4" t="s">
        <v>33</v>
      </c>
      <c r="E54" s="4" t="s">
        <v>25</v>
      </c>
      <c r="F54" s="4" t="s">
        <v>50</v>
      </c>
      <c r="G54" s="4" t="s">
        <v>25</v>
      </c>
      <c r="H54" s="4" t="s">
        <v>25</v>
      </c>
      <c r="I54" s="5">
        <v>44531</v>
      </c>
      <c r="J54" s="6">
        <v>1556</v>
      </c>
      <c r="K54" s="6">
        <v>813.63548088000005</v>
      </c>
      <c r="L54" s="6">
        <v>0</v>
      </c>
      <c r="M54" s="6">
        <v>0</v>
      </c>
      <c r="N54" s="6">
        <v>0</v>
      </c>
      <c r="O54" s="6">
        <v>0</v>
      </c>
      <c r="P54" s="6">
        <v>3</v>
      </c>
      <c r="Q54" s="4" t="s">
        <v>51</v>
      </c>
      <c r="R54" s="4">
        <v>0</v>
      </c>
      <c r="S54" s="6">
        <v>6</v>
      </c>
      <c r="T54" s="6">
        <v>0</v>
      </c>
      <c r="U54" s="6">
        <v>0</v>
      </c>
      <c r="V54" s="6">
        <f>IF(ISERROR(VLOOKUP($S$54,'TAR FIN'!$A$1:$O$88,15,0)),0,VLOOKUP($S$54,'TAR FIN'!$A$1:$O$88,15,0))</f>
        <v>20.43</v>
      </c>
      <c r="W54" s="6">
        <f>IF(ISERROR(VLOOKUP($T$54,'TAR FIN'!$A$1:$O$88,15,0)),0,VLOOKUP($T$54,'TAR FIN'!$A$1:$O$88,15,0))</f>
        <v>0</v>
      </c>
      <c r="X54" s="6">
        <f>IF(ISERROR(VLOOKUP($U$54,'TAR FIN'!$A$1:$O$88,15,0)),0,VLOOKUP($U$54,'TAR FIN'!$A$1:$O$88,15,0))</f>
        <v>0</v>
      </c>
      <c r="Y54" s="6">
        <f ca="1">('TUSD BE'!$AM$10+'TUSD BF_350'!$AM$10+'TUSD CVA'!$AM$10)*1</f>
        <v>15.64</v>
      </c>
      <c r="Z54" s="6"/>
      <c r="AA54" s="6"/>
      <c r="AB54" s="6">
        <f>$K$54*$V$54</f>
        <v>16622.572874378402</v>
      </c>
      <c r="AC54" s="6">
        <f>$M$54*$W$54</f>
        <v>0</v>
      </c>
      <c r="AD54" s="6">
        <f>$O$54*$X$54</f>
        <v>0</v>
      </c>
      <c r="AE54" s="6">
        <f ca="1">$K$54*$Y$54</f>
        <v>12725.258920963201</v>
      </c>
      <c r="AF54" s="6">
        <f>$M$54*$Z$54</f>
        <v>0</v>
      </c>
      <c r="AG54" s="6">
        <f>$O$54*$AA$54</f>
        <v>0</v>
      </c>
    </row>
    <row r="55" spans="1:33" ht="11.25" customHeight="1" x14ac:dyDescent="0.25">
      <c r="A55" s="4" t="s">
        <v>21</v>
      </c>
      <c r="B55" s="4" t="s">
        <v>34</v>
      </c>
      <c r="C55" s="4" t="s">
        <v>35</v>
      </c>
      <c r="D55" s="4" t="s">
        <v>33</v>
      </c>
      <c r="E55" s="4" t="s">
        <v>25</v>
      </c>
      <c r="F55" s="4" t="s">
        <v>50</v>
      </c>
      <c r="G55" s="4" t="s">
        <v>25</v>
      </c>
      <c r="H55" s="4" t="s">
        <v>25</v>
      </c>
      <c r="I55" s="5">
        <v>44562</v>
      </c>
      <c r="J55" s="6">
        <v>1548</v>
      </c>
      <c r="K55" s="6">
        <v>802.55984148000005</v>
      </c>
      <c r="L55" s="6">
        <v>0</v>
      </c>
      <c r="M55" s="6">
        <v>0</v>
      </c>
      <c r="N55" s="6">
        <v>0</v>
      </c>
      <c r="O55" s="6">
        <v>0</v>
      </c>
      <c r="P55" s="6">
        <v>3</v>
      </c>
      <c r="Q55" s="4" t="s">
        <v>51</v>
      </c>
      <c r="R55" s="4">
        <v>0</v>
      </c>
      <c r="S55" s="6">
        <v>6</v>
      </c>
      <c r="T55" s="6">
        <v>0</v>
      </c>
      <c r="U55" s="6">
        <v>0</v>
      </c>
      <c r="V55" s="6">
        <f>IF(ISERROR(VLOOKUP($S$55,'TAR FIN'!$A$1:$O$88,15,0)),0,VLOOKUP($S$55,'TAR FIN'!$A$1:$O$88,15,0))</f>
        <v>20.43</v>
      </c>
      <c r="W55" s="6">
        <f>IF(ISERROR(VLOOKUP($T$55,'TAR FIN'!$A$1:$O$88,15,0)),0,VLOOKUP($T$55,'TAR FIN'!$A$1:$O$88,15,0))</f>
        <v>0</v>
      </c>
      <c r="X55" s="6">
        <f>IF(ISERROR(VLOOKUP($U$55,'TAR FIN'!$A$1:$O$88,15,0)),0,VLOOKUP($U$55,'TAR FIN'!$A$1:$O$88,15,0))</f>
        <v>0</v>
      </c>
      <c r="Y55" s="6">
        <f ca="1">('TUSD BE'!$AM$10+'TUSD BF_350'!$AM$10+'TUSD CVA'!$AM$10)*1</f>
        <v>15.64</v>
      </c>
      <c r="Z55" s="6"/>
      <c r="AA55" s="6"/>
      <c r="AB55" s="6">
        <f>$K$55*$V$55</f>
        <v>16396.2975614364</v>
      </c>
      <c r="AC55" s="6">
        <f>$M$55*$W$55</f>
        <v>0</v>
      </c>
      <c r="AD55" s="6">
        <f>$O$55*$X$55</f>
        <v>0</v>
      </c>
      <c r="AE55" s="6">
        <f ca="1">$K$55*$Y$55</f>
        <v>12552.035920747201</v>
      </c>
      <c r="AF55" s="6">
        <f>$M$55*$Z$55</f>
        <v>0</v>
      </c>
      <c r="AG55" s="6">
        <f>$O$55*$AA$55</f>
        <v>0</v>
      </c>
    </row>
    <row r="56" spans="1:33" ht="11.25" customHeight="1" x14ac:dyDescent="0.25">
      <c r="A56" s="4" t="s">
        <v>21</v>
      </c>
      <c r="B56" s="4" t="s">
        <v>34</v>
      </c>
      <c r="C56" s="4" t="s">
        <v>35</v>
      </c>
      <c r="D56" s="4" t="s">
        <v>33</v>
      </c>
      <c r="E56" s="4" t="s">
        <v>25</v>
      </c>
      <c r="F56" s="4" t="s">
        <v>50</v>
      </c>
      <c r="G56" s="4" t="s">
        <v>25</v>
      </c>
      <c r="H56" s="4" t="s">
        <v>25</v>
      </c>
      <c r="I56" s="5">
        <v>44593</v>
      </c>
      <c r="J56" s="6">
        <v>1538</v>
      </c>
      <c r="K56" s="6">
        <v>802.99662871999999</v>
      </c>
      <c r="L56" s="6">
        <v>0</v>
      </c>
      <c r="M56" s="6">
        <v>0</v>
      </c>
      <c r="N56" s="6">
        <v>0</v>
      </c>
      <c r="O56" s="6">
        <v>0</v>
      </c>
      <c r="P56" s="6">
        <v>3</v>
      </c>
      <c r="Q56" s="4" t="s">
        <v>51</v>
      </c>
      <c r="R56" s="4">
        <v>0</v>
      </c>
      <c r="S56" s="6">
        <v>6</v>
      </c>
      <c r="T56" s="6">
        <v>0</v>
      </c>
      <c r="U56" s="6">
        <v>0</v>
      </c>
      <c r="V56" s="6">
        <f>IF(ISERROR(VLOOKUP($S$56,'TAR FIN'!$A$1:$O$88,15,0)),0,VLOOKUP($S$56,'TAR FIN'!$A$1:$O$88,15,0))</f>
        <v>20.43</v>
      </c>
      <c r="W56" s="6">
        <f>IF(ISERROR(VLOOKUP($T$56,'TAR FIN'!$A$1:$O$88,15,0)),0,VLOOKUP($T$56,'TAR FIN'!$A$1:$O$88,15,0))</f>
        <v>0</v>
      </c>
      <c r="X56" s="6">
        <f>IF(ISERROR(VLOOKUP($U$56,'TAR FIN'!$A$1:$O$88,15,0)),0,VLOOKUP($U$56,'TAR FIN'!$A$1:$O$88,15,0))</f>
        <v>0</v>
      </c>
      <c r="Y56" s="6">
        <f ca="1">('TUSD BE'!$AM$10+'TUSD BF_350'!$AM$10+'TUSD CVA'!$AM$10)*1</f>
        <v>15.64</v>
      </c>
      <c r="Z56" s="6"/>
      <c r="AA56" s="6"/>
      <c r="AB56" s="6">
        <f>$K$56*$V$56</f>
        <v>16405.221124749598</v>
      </c>
      <c r="AC56" s="6">
        <f>$M$56*$W$56</f>
        <v>0</v>
      </c>
      <c r="AD56" s="6">
        <f>$O$56*$X$56</f>
        <v>0</v>
      </c>
      <c r="AE56" s="6">
        <f ca="1">$K$56*$Y$56</f>
        <v>12558.8672731808</v>
      </c>
      <c r="AF56" s="6">
        <f>$M$56*$Z$56</f>
        <v>0</v>
      </c>
      <c r="AG56" s="6">
        <f>$O$56*$AA$56</f>
        <v>0</v>
      </c>
    </row>
    <row r="57" spans="1:33" ht="11.25" customHeight="1" x14ac:dyDescent="0.25">
      <c r="A57" s="4" t="s">
        <v>21</v>
      </c>
      <c r="B57" s="4" t="s">
        <v>34</v>
      </c>
      <c r="C57" s="4" t="s">
        <v>35</v>
      </c>
      <c r="D57" s="4" t="s">
        <v>33</v>
      </c>
      <c r="E57" s="4" t="s">
        <v>25</v>
      </c>
      <c r="F57" s="4" t="s">
        <v>50</v>
      </c>
      <c r="G57" s="4" t="s">
        <v>25</v>
      </c>
      <c r="H57" s="4" t="s">
        <v>25</v>
      </c>
      <c r="I57" s="5">
        <v>44621</v>
      </c>
      <c r="J57" s="6">
        <v>1621</v>
      </c>
      <c r="K57" s="6">
        <v>816.28692136999996</v>
      </c>
      <c r="L57" s="6">
        <v>0</v>
      </c>
      <c r="M57" s="6">
        <v>0</v>
      </c>
      <c r="N57" s="6">
        <v>0</v>
      </c>
      <c r="O57" s="6">
        <v>0</v>
      </c>
      <c r="P57" s="6">
        <v>3</v>
      </c>
      <c r="Q57" s="4" t="s">
        <v>51</v>
      </c>
      <c r="R57" s="4">
        <v>0</v>
      </c>
      <c r="S57" s="6">
        <v>6</v>
      </c>
      <c r="T57" s="6">
        <v>0</v>
      </c>
      <c r="U57" s="6">
        <v>0</v>
      </c>
      <c r="V57" s="6">
        <f>IF(ISERROR(VLOOKUP($S$57,'TAR FIN'!$A$1:$O$88,15,0)),0,VLOOKUP($S$57,'TAR FIN'!$A$1:$O$88,15,0))</f>
        <v>20.43</v>
      </c>
      <c r="W57" s="6">
        <f>IF(ISERROR(VLOOKUP($T$57,'TAR FIN'!$A$1:$O$88,15,0)),0,VLOOKUP($T$57,'TAR FIN'!$A$1:$O$88,15,0))</f>
        <v>0</v>
      </c>
      <c r="X57" s="6">
        <f>IF(ISERROR(VLOOKUP($U$57,'TAR FIN'!$A$1:$O$88,15,0)),0,VLOOKUP($U$57,'TAR FIN'!$A$1:$O$88,15,0))</f>
        <v>0</v>
      </c>
      <c r="Y57" s="6">
        <f ca="1">('TUSD BE'!$AM$10+'TUSD BF_350'!$AM$10+'TUSD CVA'!$AM$10)*1</f>
        <v>15.64</v>
      </c>
      <c r="Z57" s="6"/>
      <c r="AA57" s="6"/>
      <c r="AB57" s="6">
        <f>$K$57*$V$57</f>
        <v>16676.741803589099</v>
      </c>
      <c r="AC57" s="6">
        <f>$M$57*$W$57</f>
        <v>0</v>
      </c>
      <c r="AD57" s="6">
        <f>$O$57*$X$57</f>
        <v>0</v>
      </c>
      <c r="AE57" s="6">
        <f ca="1">$K$57*$Y$57</f>
        <v>12766.727450226799</v>
      </c>
      <c r="AF57" s="6">
        <f>$M$57*$Z$57</f>
        <v>0</v>
      </c>
      <c r="AG57" s="6">
        <f>$O$57*$AA$57</f>
        <v>0</v>
      </c>
    </row>
    <row r="58" spans="1:33" ht="11.25" customHeight="1" x14ac:dyDescent="0.25">
      <c r="A58" s="4" t="s">
        <v>21</v>
      </c>
      <c r="B58" s="4" t="s">
        <v>34</v>
      </c>
      <c r="C58" s="4" t="s">
        <v>35</v>
      </c>
      <c r="D58" s="4" t="s">
        <v>33</v>
      </c>
      <c r="E58" s="4" t="s">
        <v>25</v>
      </c>
      <c r="F58" s="4" t="s">
        <v>50</v>
      </c>
      <c r="G58" s="4" t="s">
        <v>25</v>
      </c>
      <c r="H58" s="4" t="s">
        <v>25</v>
      </c>
      <c r="I58" s="5">
        <v>44652</v>
      </c>
      <c r="J58" s="6">
        <v>1572</v>
      </c>
      <c r="K58" s="6">
        <v>822.37163124000006</v>
      </c>
      <c r="L58" s="6">
        <v>0</v>
      </c>
      <c r="M58" s="6">
        <v>0</v>
      </c>
      <c r="N58" s="6">
        <v>0</v>
      </c>
      <c r="O58" s="6">
        <v>0</v>
      </c>
      <c r="P58" s="6">
        <v>3</v>
      </c>
      <c r="Q58" s="4" t="s">
        <v>51</v>
      </c>
      <c r="R58" s="4">
        <v>0</v>
      </c>
      <c r="S58" s="6">
        <v>6</v>
      </c>
      <c r="T58" s="6">
        <v>0</v>
      </c>
      <c r="U58" s="6">
        <v>0</v>
      </c>
      <c r="V58" s="6">
        <f>IF(ISERROR(VLOOKUP($S$58,'TAR FIN'!$A$1:$O$88,15,0)),0,VLOOKUP($S$58,'TAR FIN'!$A$1:$O$88,15,0))</f>
        <v>20.43</v>
      </c>
      <c r="W58" s="6">
        <f>IF(ISERROR(VLOOKUP($T$58,'TAR FIN'!$A$1:$O$88,15,0)),0,VLOOKUP($T$58,'TAR FIN'!$A$1:$O$88,15,0))</f>
        <v>0</v>
      </c>
      <c r="X58" s="6">
        <f>IF(ISERROR(VLOOKUP($U$58,'TAR FIN'!$A$1:$O$88,15,0)),0,VLOOKUP($U$58,'TAR FIN'!$A$1:$O$88,15,0))</f>
        <v>0</v>
      </c>
      <c r="Y58" s="6">
        <f ca="1">('TUSD BE'!$AM$10+'TUSD BF_350'!$AM$10+'TUSD CVA'!$AM$10)*1</f>
        <v>15.64</v>
      </c>
      <c r="Z58" s="6"/>
      <c r="AA58" s="6"/>
      <c r="AB58" s="6">
        <f>$K$58*$V$58</f>
        <v>16801.0524262332</v>
      </c>
      <c r="AC58" s="6">
        <f>$M$58*$W$58</f>
        <v>0</v>
      </c>
      <c r="AD58" s="6">
        <f>$O$58*$X$58</f>
        <v>0</v>
      </c>
      <c r="AE58" s="6">
        <f ca="1">$K$58*$Y$58</f>
        <v>12861.892312593602</v>
      </c>
      <c r="AF58" s="6">
        <f>$M$58*$Z$58</f>
        <v>0</v>
      </c>
      <c r="AG58" s="6">
        <f>$O$58*$AA$58</f>
        <v>0</v>
      </c>
    </row>
    <row r="59" spans="1:33" ht="11.25" customHeight="1" x14ac:dyDescent="0.25">
      <c r="A59" s="4" t="s">
        <v>21</v>
      </c>
      <c r="B59" s="4" t="s">
        <v>34</v>
      </c>
      <c r="C59" s="4" t="s">
        <v>35</v>
      </c>
      <c r="D59" s="4" t="s">
        <v>33</v>
      </c>
      <c r="E59" s="4" t="s">
        <v>25</v>
      </c>
      <c r="F59" s="4" t="s">
        <v>50</v>
      </c>
      <c r="G59" s="4" t="s">
        <v>25</v>
      </c>
      <c r="H59" s="4" t="s">
        <v>25</v>
      </c>
      <c r="I59" s="5">
        <v>44682</v>
      </c>
      <c r="J59" s="6">
        <v>1602</v>
      </c>
      <c r="K59" s="6">
        <v>803.84548842000004</v>
      </c>
      <c r="L59" s="6">
        <v>0</v>
      </c>
      <c r="M59" s="6">
        <v>0</v>
      </c>
      <c r="N59" s="6">
        <v>0</v>
      </c>
      <c r="O59" s="6">
        <v>0</v>
      </c>
      <c r="P59" s="6">
        <v>3</v>
      </c>
      <c r="Q59" s="4" t="s">
        <v>51</v>
      </c>
      <c r="R59" s="4">
        <v>0</v>
      </c>
      <c r="S59" s="6">
        <v>6</v>
      </c>
      <c r="T59" s="6">
        <v>0</v>
      </c>
      <c r="U59" s="6">
        <v>0</v>
      </c>
      <c r="V59" s="6">
        <f>IF(ISERROR(VLOOKUP($S$59,'TAR FIN'!$A$1:$O$88,15,0)),0,VLOOKUP($S$59,'TAR FIN'!$A$1:$O$88,15,0))</f>
        <v>20.43</v>
      </c>
      <c r="W59" s="6">
        <f>IF(ISERROR(VLOOKUP($T$59,'TAR FIN'!$A$1:$O$88,15,0)),0,VLOOKUP($T$59,'TAR FIN'!$A$1:$O$88,15,0))</f>
        <v>0</v>
      </c>
      <c r="X59" s="6">
        <f>IF(ISERROR(VLOOKUP($U$59,'TAR FIN'!$A$1:$O$88,15,0)),0,VLOOKUP($U$59,'TAR FIN'!$A$1:$O$88,15,0))</f>
        <v>0</v>
      </c>
      <c r="Y59" s="6">
        <f ca="1">('TUSD BE'!$AM$10+'TUSD BF_350'!$AM$10+'TUSD CVA'!$AM$10)*1</f>
        <v>15.64</v>
      </c>
      <c r="Z59" s="6"/>
      <c r="AA59" s="6"/>
      <c r="AB59" s="6">
        <f>$K$59*$V$59</f>
        <v>16422.563328420601</v>
      </c>
      <c r="AC59" s="6">
        <f>$M$59*$W$59</f>
        <v>0</v>
      </c>
      <c r="AD59" s="6">
        <f>$O$59*$X$59</f>
        <v>0</v>
      </c>
      <c r="AE59" s="6">
        <f ca="1">$K$59*$Y$59</f>
        <v>12572.143438888801</v>
      </c>
      <c r="AF59" s="6">
        <f>$M$59*$Z$59</f>
        <v>0</v>
      </c>
      <c r="AG59" s="6">
        <f>$O$59*$AA$59</f>
        <v>0</v>
      </c>
    </row>
    <row r="60" spans="1:33" ht="11.25" customHeight="1" x14ac:dyDescent="0.25">
      <c r="A60" s="4" t="s">
        <v>21</v>
      </c>
      <c r="B60" s="4" t="s">
        <v>34</v>
      </c>
      <c r="C60" s="4" t="s">
        <v>35</v>
      </c>
      <c r="D60" s="4" t="s">
        <v>33</v>
      </c>
      <c r="E60" s="4" t="s">
        <v>25</v>
      </c>
      <c r="F60" s="4" t="s">
        <v>50</v>
      </c>
      <c r="G60" s="4" t="s">
        <v>25</v>
      </c>
      <c r="H60" s="4" t="s">
        <v>25</v>
      </c>
      <c r="I60" s="5">
        <v>44713</v>
      </c>
      <c r="J60" s="6">
        <v>1549</v>
      </c>
      <c r="K60" s="6">
        <v>810.33947633000002</v>
      </c>
      <c r="L60" s="6">
        <v>0</v>
      </c>
      <c r="M60" s="6">
        <v>0</v>
      </c>
      <c r="N60" s="6">
        <v>0</v>
      </c>
      <c r="O60" s="6">
        <v>0</v>
      </c>
      <c r="P60" s="6">
        <v>3</v>
      </c>
      <c r="Q60" s="4" t="s">
        <v>51</v>
      </c>
      <c r="R60" s="4">
        <v>0</v>
      </c>
      <c r="S60" s="6">
        <v>6</v>
      </c>
      <c r="T60" s="6">
        <v>0</v>
      </c>
      <c r="U60" s="6">
        <v>0</v>
      </c>
      <c r="V60" s="6">
        <f>IF(ISERROR(VLOOKUP($S$60,'TAR FIN'!$A$1:$O$88,15,0)),0,VLOOKUP($S$60,'TAR FIN'!$A$1:$O$88,15,0))</f>
        <v>20.43</v>
      </c>
      <c r="W60" s="6">
        <f>IF(ISERROR(VLOOKUP($T$60,'TAR FIN'!$A$1:$O$88,15,0)),0,VLOOKUP($T$60,'TAR FIN'!$A$1:$O$88,15,0))</f>
        <v>0</v>
      </c>
      <c r="X60" s="6">
        <f>IF(ISERROR(VLOOKUP($U$60,'TAR FIN'!$A$1:$O$88,15,0)),0,VLOOKUP($U$60,'TAR FIN'!$A$1:$O$88,15,0))</f>
        <v>0</v>
      </c>
      <c r="Y60" s="6">
        <f ca="1">('TUSD BE'!$AM$10+'TUSD BF_350'!$AM$10+'TUSD CVA'!$AM$10)*1</f>
        <v>15.64</v>
      </c>
      <c r="Z60" s="6"/>
      <c r="AA60" s="6"/>
      <c r="AB60" s="6">
        <f>$K$60*$V$60</f>
        <v>16555.235501421899</v>
      </c>
      <c r="AC60" s="6">
        <f>$M$60*$W$60</f>
        <v>0</v>
      </c>
      <c r="AD60" s="6">
        <f>$O$60*$X$60</f>
        <v>0</v>
      </c>
      <c r="AE60" s="6">
        <f ca="1">$K$60*$Y$60</f>
        <v>12673.7094098012</v>
      </c>
      <c r="AF60" s="6">
        <f>$M$60*$Z$60</f>
        <v>0</v>
      </c>
      <c r="AG60" s="6">
        <f>$O$60*$AA$60</f>
        <v>0</v>
      </c>
    </row>
    <row r="61" spans="1:33" ht="11.25" customHeight="1" x14ac:dyDescent="0.25">
      <c r="A61" s="4" t="s">
        <v>21</v>
      </c>
      <c r="B61" s="4" t="s">
        <v>34</v>
      </c>
      <c r="C61" s="4" t="s">
        <v>35</v>
      </c>
      <c r="D61" s="4" t="s">
        <v>33</v>
      </c>
      <c r="E61" s="4" t="s">
        <v>25</v>
      </c>
      <c r="F61" s="4" t="s">
        <v>50</v>
      </c>
      <c r="G61" s="4" t="s">
        <v>25</v>
      </c>
      <c r="H61" s="4" t="s">
        <v>25</v>
      </c>
      <c r="I61" s="5">
        <v>44743</v>
      </c>
      <c r="J61" s="6">
        <v>1559</v>
      </c>
      <c r="K61" s="6">
        <v>782.26911139000003</v>
      </c>
      <c r="L61" s="6">
        <v>0</v>
      </c>
      <c r="M61" s="6">
        <v>0</v>
      </c>
      <c r="N61" s="6">
        <v>0</v>
      </c>
      <c r="O61" s="6">
        <v>0</v>
      </c>
      <c r="P61" s="6">
        <v>3</v>
      </c>
      <c r="Q61" s="4" t="s">
        <v>51</v>
      </c>
      <c r="R61" s="4">
        <v>0</v>
      </c>
      <c r="S61" s="6">
        <v>6</v>
      </c>
      <c r="T61" s="6">
        <v>0</v>
      </c>
      <c r="U61" s="6">
        <v>0</v>
      </c>
      <c r="V61" s="6">
        <f>IF(ISERROR(VLOOKUP($S$61,'TAR FIN'!$A$1:$O$88,15,0)),0,VLOOKUP($S$61,'TAR FIN'!$A$1:$O$88,15,0))</f>
        <v>20.43</v>
      </c>
      <c r="W61" s="6">
        <f>IF(ISERROR(VLOOKUP($T$61,'TAR FIN'!$A$1:$O$88,15,0)),0,VLOOKUP($T$61,'TAR FIN'!$A$1:$O$88,15,0))</f>
        <v>0</v>
      </c>
      <c r="X61" s="6">
        <f>IF(ISERROR(VLOOKUP($U$61,'TAR FIN'!$A$1:$O$88,15,0)),0,VLOOKUP($U$61,'TAR FIN'!$A$1:$O$88,15,0))</f>
        <v>0</v>
      </c>
      <c r="Y61" s="6">
        <f ca="1">('TUSD BE'!$AM$10+'TUSD BF_350'!$AM$10+'TUSD CVA'!$AM$10)*1</f>
        <v>15.64</v>
      </c>
      <c r="Z61" s="6"/>
      <c r="AA61" s="6"/>
      <c r="AB61" s="6">
        <f>$K$61*$V$61</f>
        <v>15981.7579456977</v>
      </c>
      <c r="AC61" s="6">
        <f>$M$61*$W$61</f>
        <v>0</v>
      </c>
      <c r="AD61" s="6">
        <f>$O$61*$X$61</f>
        <v>0</v>
      </c>
      <c r="AE61" s="6">
        <f ca="1">$K$61*$Y$61</f>
        <v>12234.688902139602</v>
      </c>
      <c r="AF61" s="6">
        <f>$M$61*$Z$61</f>
        <v>0</v>
      </c>
      <c r="AG61" s="6">
        <f>$O$61*$AA$61</f>
        <v>0</v>
      </c>
    </row>
    <row r="62" spans="1:33" ht="11.25" customHeight="1" x14ac:dyDescent="0.25">
      <c r="A62" s="4" t="s">
        <v>21</v>
      </c>
      <c r="B62" s="4" t="s">
        <v>34</v>
      </c>
      <c r="C62" s="4" t="s">
        <v>35</v>
      </c>
      <c r="D62" s="4" t="s">
        <v>33</v>
      </c>
      <c r="E62" s="4" t="s">
        <v>25</v>
      </c>
      <c r="F62" s="4" t="s">
        <v>50</v>
      </c>
      <c r="G62" s="4" t="s">
        <v>25</v>
      </c>
      <c r="H62" s="4" t="s">
        <v>36</v>
      </c>
      <c r="I62" s="5">
        <v>44409</v>
      </c>
      <c r="J62" s="6">
        <v>0</v>
      </c>
      <c r="K62" s="6">
        <v>0</v>
      </c>
      <c r="L62" s="6">
        <v>37.838000000000001</v>
      </c>
      <c r="M62" s="6">
        <v>21.19501094348</v>
      </c>
      <c r="N62" s="6">
        <v>0</v>
      </c>
      <c r="O62" s="6">
        <v>0</v>
      </c>
      <c r="P62" s="6">
        <v>0</v>
      </c>
      <c r="Q62" s="4" t="s">
        <v>51</v>
      </c>
      <c r="R62" s="4">
        <v>0</v>
      </c>
      <c r="S62" s="6">
        <v>0</v>
      </c>
      <c r="T62" s="6">
        <v>7</v>
      </c>
      <c r="U62" s="6">
        <v>0</v>
      </c>
      <c r="V62" s="6">
        <f>IF(ISERROR(VLOOKUP($S$62,'TAR FIN'!$A$1:$O$88,15,0)),0,VLOOKUP($S$62,'TAR FIN'!$A$1:$O$88,15,0))</f>
        <v>0</v>
      </c>
      <c r="W62" s="6">
        <f>IF(ISERROR(VLOOKUP($T$62,'TAR FIN'!$A$1:$O$88,15,0)),0,VLOOKUP($T$62,'TAR FIN'!$A$1:$O$88,15,0))</f>
        <v>1419.25</v>
      </c>
      <c r="X62" s="6">
        <f>IF(ISERROR(VLOOKUP($U$62,'TAR FIN'!$A$1:$O$88,15,0)),0,VLOOKUP($U$62,'TAR FIN'!$A$1:$O$88,15,0))</f>
        <v>0</v>
      </c>
      <c r="Y62" s="6"/>
      <c r="Z62" s="6">
        <f ca="1">('TUSD BE'!$AM$11+'TUSD BF_350'!$AM$11+'TUSD CVA'!$AM$11)*1</f>
        <v>911.84</v>
      </c>
      <c r="AA62" s="6"/>
      <c r="AB62" s="6">
        <f>$K$62*$V$62</f>
        <v>0</v>
      </c>
      <c r="AC62" s="6">
        <f>$M$62*$W$62</f>
        <v>30081.019281533991</v>
      </c>
      <c r="AD62" s="6">
        <f>$O$62*$X$62</f>
        <v>0</v>
      </c>
      <c r="AE62" s="6">
        <f>$K$62*$Y$62</f>
        <v>0</v>
      </c>
      <c r="AF62" s="6">
        <f ca="1">$M$62*$Z$62</f>
        <v>19326.458778702803</v>
      </c>
      <c r="AG62" s="6">
        <f>$O$62*$AA$62</f>
        <v>0</v>
      </c>
    </row>
    <row r="63" spans="1:33" ht="11.25" customHeight="1" x14ac:dyDescent="0.25">
      <c r="A63" s="4" t="s">
        <v>21</v>
      </c>
      <c r="B63" s="4" t="s">
        <v>34</v>
      </c>
      <c r="C63" s="4" t="s">
        <v>35</v>
      </c>
      <c r="D63" s="4" t="s">
        <v>33</v>
      </c>
      <c r="E63" s="4" t="s">
        <v>25</v>
      </c>
      <c r="F63" s="4" t="s">
        <v>50</v>
      </c>
      <c r="G63" s="4" t="s">
        <v>25</v>
      </c>
      <c r="H63" s="4" t="s">
        <v>36</v>
      </c>
      <c r="I63" s="5">
        <v>44440</v>
      </c>
      <c r="J63" s="6">
        <v>0</v>
      </c>
      <c r="K63" s="6">
        <v>0</v>
      </c>
      <c r="L63" s="6">
        <v>34.56</v>
      </c>
      <c r="M63" s="6">
        <v>19.6570637568</v>
      </c>
      <c r="N63" s="6">
        <v>0</v>
      </c>
      <c r="O63" s="6">
        <v>0</v>
      </c>
      <c r="P63" s="6">
        <v>0</v>
      </c>
      <c r="Q63" s="4" t="s">
        <v>51</v>
      </c>
      <c r="R63" s="4">
        <v>0</v>
      </c>
      <c r="S63" s="6">
        <v>0</v>
      </c>
      <c r="T63" s="6">
        <v>7</v>
      </c>
      <c r="U63" s="6">
        <v>0</v>
      </c>
      <c r="V63" s="6">
        <f>IF(ISERROR(VLOOKUP($S$63,'TAR FIN'!$A$1:$O$88,15,0)),0,VLOOKUP($S$63,'TAR FIN'!$A$1:$O$88,15,0))</f>
        <v>0</v>
      </c>
      <c r="W63" s="6">
        <f>IF(ISERROR(VLOOKUP($T$63,'TAR FIN'!$A$1:$O$88,15,0)),0,VLOOKUP($T$63,'TAR FIN'!$A$1:$O$88,15,0))</f>
        <v>1419.25</v>
      </c>
      <c r="X63" s="6">
        <f>IF(ISERROR(VLOOKUP($U$63,'TAR FIN'!$A$1:$O$88,15,0)),0,VLOOKUP($U$63,'TAR FIN'!$A$1:$O$88,15,0))</f>
        <v>0</v>
      </c>
      <c r="Y63" s="6"/>
      <c r="Z63" s="6">
        <f ca="1">('TUSD BE'!$AM$11+'TUSD BF_350'!$AM$11+'TUSD CVA'!$AM$11)*1</f>
        <v>911.84</v>
      </c>
      <c r="AA63" s="6"/>
      <c r="AB63" s="6">
        <f>$K$63*$V$63</f>
        <v>0</v>
      </c>
      <c r="AC63" s="6">
        <f>$M$63*$W$63</f>
        <v>27898.2877368384</v>
      </c>
      <c r="AD63" s="6">
        <f>$O$63*$X$63</f>
        <v>0</v>
      </c>
      <c r="AE63" s="6">
        <f>$K$63*$Y$63</f>
        <v>0</v>
      </c>
      <c r="AF63" s="6">
        <f ca="1">$M$63*$Z$63</f>
        <v>17924.097016000513</v>
      </c>
      <c r="AG63" s="6">
        <f>$O$63*$AA$63</f>
        <v>0</v>
      </c>
    </row>
    <row r="64" spans="1:33" ht="11.25" customHeight="1" x14ac:dyDescent="0.25">
      <c r="A64" s="4" t="s">
        <v>21</v>
      </c>
      <c r="B64" s="4" t="s">
        <v>34</v>
      </c>
      <c r="C64" s="4" t="s">
        <v>35</v>
      </c>
      <c r="D64" s="4" t="s">
        <v>33</v>
      </c>
      <c r="E64" s="4" t="s">
        <v>25</v>
      </c>
      <c r="F64" s="4" t="s">
        <v>50</v>
      </c>
      <c r="G64" s="4" t="s">
        <v>25</v>
      </c>
      <c r="H64" s="4" t="s">
        <v>36</v>
      </c>
      <c r="I64" s="5">
        <v>44470</v>
      </c>
      <c r="J64" s="6">
        <v>0</v>
      </c>
      <c r="K64" s="6">
        <v>0</v>
      </c>
      <c r="L64" s="6">
        <v>34.85</v>
      </c>
      <c r="M64" s="6">
        <v>19.911656580500001</v>
      </c>
      <c r="N64" s="6">
        <v>0</v>
      </c>
      <c r="O64" s="6">
        <v>0</v>
      </c>
      <c r="P64" s="6">
        <v>0</v>
      </c>
      <c r="Q64" s="4" t="s">
        <v>51</v>
      </c>
      <c r="R64" s="4">
        <v>0</v>
      </c>
      <c r="S64" s="6">
        <v>0</v>
      </c>
      <c r="T64" s="6">
        <v>7</v>
      </c>
      <c r="U64" s="6">
        <v>0</v>
      </c>
      <c r="V64" s="6">
        <f>IF(ISERROR(VLOOKUP($S$64,'TAR FIN'!$A$1:$O$88,15,0)),0,VLOOKUP($S$64,'TAR FIN'!$A$1:$O$88,15,0))</f>
        <v>0</v>
      </c>
      <c r="W64" s="6">
        <f>IF(ISERROR(VLOOKUP($T$64,'TAR FIN'!$A$1:$O$88,15,0)),0,VLOOKUP($T$64,'TAR FIN'!$A$1:$O$88,15,0))</f>
        <v>1419.25</v>
      </c>
      <c r="X64" s="6">
        <f>IF(ISERROR(VLOOKUP($U$64,'TAR FIN'!$A$1:$O$88,15,0)),0,VLOOKUP($U$64,'TAR FIN'!$A$1:$O$88,15,0))</f>
        <v>0</v>
      </c>
      <c r="Y64" s="6"/>
      <c r="Z64" s="6">
        <f ca="1">('TUSD BE'!$AM$11+'TUSD BF_350'!$AM$11+'TUSD CVA'!$AM$11)*1</f>
        <v>911.84</v>
      </c>
      <c r="AA64" s="6"/>
      <c r="AB64" s="6">
        <f>$K$64*$V$64</f>
        <v>0</v>
      </c>
      <c r="AC64" s="6">
        <f>$M$64*$W$64</f>
        <v>28259.618601874627</v>
      </c>
      <c r="AD64" s="6">
        <f>$O$64*$X$64</f>
        <v>0</v>
      </c>
      <c r="AE64" s="6">
        <f>$K$64*$Y$64</f>
        <v>0</v>
      </c>
      <c r="AF64" s="6">
        <f ca="1">$M$64*$Z$64</f>
        <v>18156.24493636312</v>
      </c>
      <c r="AG64" s="6">
        <f>$O$64*$AA$64</f>
        <v>0</v>
      </c>
    </row>
    <row r="65" spans="1:33" ht="11.25" customHeight="1" x14ac:dyDescent="0.25">
      <c r="A65" s="4" t="s">
        <v>21</v>
      </c>
      <c r="B65" s="4" t="s">
        <v>34</v>
      </c>
      <c r="C65" s="4" t="s">
        <v>35</v>
      </c>
      <c r="D65" s="4" t="s">
        <v>33</v>
      </c>
      <c r="E65" s="4" t="s">
        <v>25</v>
      </c>
      <c r="F65" s="4" t="s">
        <v>50</v>
      </c>
      <c r="G65" s="4" t="s">
        <v>25</v>
      </c>
      <c r="H65" s="4" t="s">
        <v>36</v>
      </c>
      <c r="I65" s="5">
        <v>44501</v>
      </c>
      <c r="J65" s="6">
        <v>0</v>
      </c>
      <c r="K65" s="6">
        <v>0</v>
      </c>
      <c r="L65" s="6">
        <v>45.478000000000002</v>
      </c>
      <c r="M65" s="6">
        <v>24.032740862360001</v>
      </c>
      <c r="N65" s="6">
        <v>0</v>
      </c>
      <c r="O65" s="6">
        <v>0</v>
      </c>
      <c r="P65" s="6">
        <v>0</v>
      </c>
      <c r="Q65" s="4" t="s">
        <v>51</v>
      </c>
      <c r="R65" s="4">
        <v>0</v>
      </c>
      <c r="S65" s="6">
        <v>0</v>
      </c>
      <c r="T65" s="6">
        <v>7</v>
      </c>
      <c r="U65" s="6">
        <v>0</v>
      </c>
      <c r="V65" s="6">
        <f>IF(ISERROR(VLOOKUP($S$65,'TAR FIN'!$A$1:$O$88,15,0)),0,VLOOKUP($S$65,'TAR FIN'!$A$1:$O$88,15,0))</f>
        <v>0</v>
      </c>
      <c r="W65" s="6">
        <f>IF(ISERROR(VLOOKUP($T$65,'TAR FIN'!$A$1:$O$88,15,0)),0,VLOOKUP($T$65,'TAR FIN'!$A$1:$O$88,15,0))</f>
        <v>1419.25</v>
      </c>
      <c r="X65" s="6">
        <f>IF(ISERROR(VLOOKUP($U$65,'TAR FIN'!$A$1:$O$88,15,0)),0,VLOOKUP($U$65,'TAR FIN'!$A$1:$O$88,15,0))</f>
        <v>0</v>
      </c>
      <c r="Y65" s="6"/>
      <c r="Z65" s="6">
        <f ca="1">('TUSD BE'!$AM$11+'TUSD BF_350'!$AM$11+'TUSD CVA'!$AM$11)*1</f>
        <v>911.84</v>
      </c>
      <c r="AA65" s="6"/>
      <c r="AB65" s="6">
        <f>$K$65*$V$65</f>
        <v>0</v>
      </c>
      <c r="AC65" s="6">
        <f>$M$65*$W$65</f>
        <v>34108.467468904433</v>
      </c>
      <c r="AD65" s="6">
        <f>$O$65*$X$65</f>
        <v>0</v>
      </c>
      <c r="AE65" s="6">
        <f>$K$65*$Y$65</f>
        <v>0</v>
      </c>
      <c r="AF65" s="6">
        <f ca="1">$M$65*$Z$65</f>
        <v>21914.014427934344</v>
      </c>
      <c r="AG65" s="6">
        <f>$O$65*$AA$65</f>
        <v>0</v>
      </c>
    </row>
    <row r="66" spans="1:33" ht="11.25" customHeight="1" x14ac:dyDescent="0.25">
      <c r="A66" s="4" t="s">
        <v>21</v>
      </c>
      <c r="B66" s="4" t="s">
        <v>34</v>
      </c>
      <c r="C66" s="4" t="s">
        <v>35</v>
      </c>
      <c r="D66" s="4" t="s">
        <v>33</v>
      </c>
      <c r="E66" s="4" t="s">
        <v>25</v>
      </c>
      <c r="F66" s="4" t="s">
        <v>50</v>
      </c>
      <c r="G66" s="4" t="s">
        <v>25</v>
      </c>
      <c r="H66" s="4" t="s">
        <v>36</v>
      </c>
      <c r="I66" s="5">
        <v>44531</v>
      </c>
      <c r="J66" s="6">
        <v>0</v>
      </c>
      <c r="K66" s="6">
        <v>0</v>
      </c>
      <c r="L66" s="6">
        <v>52.598999999999997</v>
      </c>
      <c r="M66" s="6">
        <v>28.7452062228</v>
      </c>
      <c r="N66" s="6">
        <v>0</v>
      </c>
      <c r="O66" s="6">
        <v>0</v>
      </c>
      <c r="P66" s="6">
        <v>0</v>
      </c>
      <c r="Q66" s="4" t="s">
        <v>51</v>
      </c>
      <c r="R66" s="4">
        <v>0</v>
      </c>
      <c r="S66" s="6">
        <v>0</v>
      </c>
      <c r="T66" s="6">
        <v>7</v>
      </c>
      <c r="U66" s="6">
        <v>0</v>
      </c>
      <c r="V66" s="6">
        <f>IF(ISERROR(VLOOKUP($S$66,'TAR FIN'!$A$1:$O$88,15,0)),0,VLOOKUP($S$66,'TAR FIN'!$A$1:$O$88,15,0))</f>
        <v>0</v>
      </c>
      <c r="W66" s="6">
        <f>IF(ISERROR(VLOOKUP($T$66,'TAR FIN'!$A$1:$O$88,15,0)),0,VLOOKUP($T$66,'TAR FIN'!$A$1:$O$88,15,0))</f>
        <v>1419.25</v>
      </c>
      <c r="X66" s="6">
        <f>IF(ISERROR(VLOOKUP($U$66,'TAR FIN'!$A$1:$O$88,15,0)),0,VLOOKUP($U$66,'TAR FIN'!$A$1:$O$88,15,0))</f>
        <v>0</v>
      </c>
      <c r="Y66" s="6"/>
      <c r="Z66" s="6">
        <f ca="1">('TUSD BE'!$AM$11+'TUSD BF_350'!$AM$11+'TUSD CVA'!$AM$11)*1</f>
        <v>911.84</v>
      </c>
      <c r="AA66" s="6"/>
      <c r="AB66" s="6">
        <f>$K$66*$V$66</f>
        <v>0</v>
      </c>
      <c r="AC66" s="6">
        <f>$M$66*$W$66</f>
        <v>40796.6339317089</v>
      </c>
      <c r="AD66" s="6">
        <f>$O$66*$X$66</f>
        <v>0</v>
      </c>
      <c r="AE66" s="6">
        <f>$K$66*$Y$66</f>
        <v>0</v>
      </c>
      <c r="AF66" s="6">
        <f ca="1">$M$66*$Z$66</f>
        <v>26211.028842197953</v>
      </c>
      <c r="AG66" s="6">
        <f>$O$66*$AA$66</f>
        <v>0</v>
      </c>
    </row>
    <row r="67" spans="1:33" ht="11.25" customHeight="1" x14ac:dyDescent="0.25">
      <c r="A67" s="4" t="s">
        <v>21</v>
      </c>
      <c r="B67" s="4" t="s">
        <v>34</v>
      </c>
      <c r="C67" s="4" t="s">
        <v>35</v>
      </c>
      <c r="D67" s="4" t="s">
        <v>33</v>
      </c>
      <c r="E67" s="4" t="s">
        <v>25</v>
      </c>
      <c r="F67" s="4" t="s">
        <v>50</v>
      </c>
      <c r="G67" s="4" t="s">
        <v>25</v>
      </c>
      <c r="H67" s="4" t="s">
        <v>36</v>
      </c>
      <c r="I67" s="5">
        <v>44562</v>
      </c>
      <c r="J67" s="6">
        <v>0</v>
      </c>
      <c r="K67" s="6">
        <v>0</v>
      </c>
      <c r="L67" s="6">
        <v>51.326999999999998</v>
      </c>
      <c r="M67" s="6">
        <v>27.832831548840002</v>
      </c>
      <c r="N67" s="6">
        <v>0</v>
      </c>
      <c r="O67" s="6">
        <v>0</v>
      </c>
      <c r="P67" s="6">
        <v>0</v>
      </c>
      <c r="Q67" s="4" t="s">
        <v>51</v>
      </c>
      <c r="R67" s="4">
        <v>0</v>
      </c>
      <c r="S67" s="6">
        <v>0</v>
      </c>
      <c r="T67" s="6">
        <v>7</v>
      </c>
      <c r="U67" s="6">
        <v>0</v>
      </c>
      <c r="V67" s="6">
        <f>IF(ISERROR(VLOOKUP($S$67,'TAR FIN'!$A$1:$O$88,15,0)),0,VLOOKUP($S$67,'TAR FIN'!$A$1:$O$88,15,0))</f>
        <v>0</v>
      </c>
      <c r="W67" s="6">
        <f>IF(ISERROR(VLOOKUP($T$67,'TAR FIN'!$A$1:$O$88,15,0)),0,VLOOKUP($T$67,'TAR FIN'!$A$1:$O$88,15,0))</f>
        <v>1419.25</v>
      </c>
      <c r="X67" s="6">
        <f>IF(ISERROR(VLOOKUP($U$67,'TAR FIN'!$A$1:$O$88,15,0)),0,VLOOKUP($U$67,'TAR FIN'!$A$1:$O$88,15,0))</f>
        <v>0</v>
      </c>
      <c r="Y67" s="6"/>
      <c r="Z67" s="6">
        <f ca="1">('TUSD BE'!$AM$11+'TUSD BF_350'!$AM$11+'TUSD CVA'!$AM$11)*1</f>
        <v>911.84</v>
      </c>
      <c r="AA67" s="6"/>
      <c r="AB67" s="6">
        <f>$K$67*$V$67</f>
        <v>0</v>
      </c>
      <c r="AC67" s="6">
        <f>$M$67*$W$67</f>
        <v>39501.746175691173</v>
      </c>
      <c r="AD67" s="6">
        <f>$O$67*$X$67</f>
        <v>0</v>
      </c>
      <c r="AE67" s="6">
        <f>$K$67*$Y$67</f>
        <v>0</v>
      </c>
      <c r="AF67" s="6">
        <f ca="1">$M$67*$Z$67</f>
        <v>25379.089119494267</v>
      </c>
      <c r="AG67" s="6">
        <f>$O$67*$AA$67</f>
        <v>0</v>
      </c>
    </row>
    <row r="68" spans="1:33" ht="11.25" customHeight="1" x14ac:dyDescent="0.25">
      <c r="A68" s="4" t="s">
        <v>21</v>
      </c>
      <c r="B68" s="4" t="s">
        <v>34</v>
      </c>
      <c r="C68" s="4" t="s">
        <v>35</v>
      </c>
      <c r="D68" s="4" t="s">
        <v>33</v>
      </c>
      <c r="E68" s="4" t="s">
        <v>25</v>
      </c>
      <c r="F68" s="4" t="s">
        <v>50</v>
      </c>
      <c r="G68" s="4" t="s">
        <v>25</v>
      </c>
      <c r="H68" s="4" t="s">
        <v>36</v>
      </c>
      <c r="I68" s="5">
        <v>44593</v>
      </c>
      <c r="J68" s="6">
        <v>0</v>
      </c>
      <c r="K68" s="6">
        <v>0</v>
      </c>
      <c r="L68" s="6">
        <v>50.866999999999997</v>
      </c>
      <c r="M68" s="6">
        <v>27.760110799700001</v>
      </c>
      <c r="N68" s="6">
        <v>0</v>
      </c>
      <c r="O68" s="6">
        <v>0</v>
      </c>
      <c r="P68" s="6">
        <v>0</v>
      </c>
      <c r="Q68" s="4" t="s">
        <v>51</v>
      </c>
      <c r="R68" s="4">
        <v>0</v>
      </c>
      <c r="S68" s="6">
        <v>0</v>
      </c>
      <c r="T68" s="6">
        <v>7</v>
      </c>
      <c r="U68" s="6">
        <v>0</v>
      </c>
      <c r="V68" s="6">
        <f>IF(ISERROR(VLOOKUP($S$68,'TAR FIN'!$A$1:$O$88,15,0)),0,VLOOKUP($S$68,'TAR FIN'!$A$1:$O$88,15,0))</f>
        <v>0</v>
      </c>
      <c r="W68" s="6">
        <f>IF(ISERROR(VLOOKUP($T$68,'TAR FIN'!$A$1:$O$88,15,0)),0,VLOOKUP($T$68,'TAR FIN'!$A$1:$O$88,15,0))</f>
        <v>1419.25</v>
      </c>
      <c r="X68" s="6">
        <f>IF(ISERROR(VLOOKUP($U$68,'TAR FIN'!$A$1:$O$88,15,0)),0,VLOOKUP($U$68,'TAR FIN'!$A$1:$O$88,15,0))</f>
        <v>0</v>
      </c>
      <c r="Y68" s="6"/>
      <c r="Z68" s="6">
        <f ca="1">('TUSD BE'!$AM$11+'TUSD BF_350'!$AM$11+'TUSD CVA'!$AM$11)*1</f>
        <v>911.84</v>
      </c>
      <c r="AA68" s="6"/>
      <c r="AB68" s="6">
        <f>$K$68*$V$68</f>
        <v>0</v>
      </c>
      <c r="AC68" s="6">
        <f>$M$68*$W$68</f>
        <v>39398.537252474227</v>
      </c>
      <c r="AD68" s="6">
        <f>$O$68*$X$68</f>
        <v>0</v>
      </c>
      <c r="AE68" s="6">
        <f>$K$68*$Y$68</f>
        <v>0</v>
      </c>
      <c r="AF68" s="6">
        <f ca="1">$M$68*$Z$68</f>
        <v>25312.77943159845</v>
      </c>
      <c r="AG68" s="6">
        <f>$O$68*$AA$68</f>
        <v>0</v>
      </c>
    </row>
    <row r="69" spans="1:33" ht="11.25" customHeight="1" x14ac:dyDescent="0.25">
      <c r="A69" s="4" t="s">
        <v>21</v>
      </c>
      <c r="B69" s="4" t="s">
        <v>34</v>
      </c>
      <c r="C69" s="4" t="s">
        <v>35</v>
      </c>
      <c r="D69" s="4" t="s">
        <v>33</v>
      </c>
      <c r="E69" s="4" t="s">
        <v>25</v>
      </c>
      <c r="F69" s="4" t="s">
        <v>50</v>
      </c>
      <c r="G69" s="4" t="s">
        <v>25</v>
      </c>
      <c r="H69" s="4" t="s">
        <v>36</v>
      </c>
      <c r="I69" s="5">
        <v>44621</v>
      </c>
      <c r="J69" s="6">
        <v>0</v>
      </c>
      <c r="K69" s="6">
        <v>0</v>
      </c>
      <c r="L69" s="6">
        <v>57.411999999999999</v>
      </c>
      <c r="M69" s="6">
        <v>30.320498353240001</v>
      </c>
      <c r="N69" s="6">
        <v>0</v>
      </c>
      <c r="O69" s="6">
        <v>0</v>
      </c>
      <c r="P69" s="6">
        <v>0</v>
      </c>
      <c r="Q69" s="4" t="s">
        <v>51</v>
      </c>
      <c r="R69" s="4">
        <v>0</v>
      </c>
      <c r="S69" s="6">
        <v>0</v>
      </c>
      <c r="T69" s="6">
        <v>7</v>
      </c>
      <c r="U69" s="6">
        <v>0</v>
      </c>
      <c r="V69" s="6">
        <f>IF(ISERROR(VLOOKUP($S$69,'TAR FIN'!$A$1:$O$88,15,0)),0,VLOOKUP($S$69,'TAR FIN'!$A$1:$O$88,15,0))</f>
        <v>0</v>
      </c>
      <c r="W69" s="6">
        <f>IF(ISERROR(VLOOKUP($T$69,'TAR FIN'!$A$1:$O$88,15,0)),0,VLOOKUP($T$69,'TAR FIN'!$A$1:$O$88,15,0))</f>
        <v>1419.25</v>
      </c>
      <c r="X69" s="6">
        <f>IF(ISERROR(VLOOKUP($U$69,'TAR FIN'!$A$1:$O$88,15,0)),0,VLOOKUP($U$69,'TAR FIN'!$A$1:$O$88,15,0))</f>
        <v>0</v>
      </c>
      <c r="Y69" s="6"/>
      <c r="Z69" s="6">
        <f ca="1">('TUSD BE'!$AM$11+'TUSD BF_350'!$AM$11+'TUSD CVA'!$AM$11)*1</f>
        <v>911.84</v>
      </c>
      <c r="AA69" s="6"/>
      <c r="AB69" s="6">
        <f>$K$69*$V$69</f>
        <v>0</v>
      </c>
      <c r="AC69" s="6">
        <f>$M$69*$W$69</f>
        <v>43032.36728783587</v>
      </c>
      <c r="AD69" s="6">
        <f>$O$69*$X$69</f>
        <v>0</v>
      </c>
      <c r="AE69" s="6">
        <f>$K$69*$Y$69</f>
        <v>0</v>
      </c>
      <c r="AF69" s="6">
        <f ca="1">$M$69*$Z$69</f>
        <v>27647.443218418364</v>
      </c>
      <c r="AG69" s="6">
        <f>$O$69*$AA$69</f>
        <v>0</v>
      </c>
    </row>
    <row r="70" spans="1:33" ht="11.25" customHeight="1" x14ac:dyDescent="0.25">
      <c r="A70" s="4" t="s">
        <v>21</v>
      </c>
      <c r="B70" s="4" t="s">
        <v>34</v>
      </c>
      <c r="C70" s="4" t="s">
        <v>35</v>
      </c>
      <c r="D70" s="4" t="s">
        <v>33</v>
      </c>
      <c r="E70" s="4" t="s">
        <v>25</v>
      </c>
      <c r="F70" s="4" t="s">
        <v>50</v>
      </c>
      <c r="G70" s="4" t="s">
        <v>25</v>
      </c>
      <c r="H70" s="4" t="s">
        <v>36</v>
      </c>
      <c r="I70" s="5">
        <v>44652</v>
      </c>
      <c r="J70" s="6">
        <v>0</v>
      </c>
      <c r="K70" s="6">
        <v>0</v>
      </c>
      <c r="L70" s="6">
        <v>46.329000000000001</v>
      </c>
      <c r="M70" s="6">
        <v>25.329025626749999</v>
      </c>
      <c r="N70" s="6">
        <v>0</v>
      </c>
      <c r="O70" s="6">
        <v>0</v>
      </c>
      <c r="P70" s="6">
        <v>0</v>
      </c>
      <c r="Q70" s="4" t="s">
        <v>51</v>
      </c>
      <c r="R70" s="4">
        <v>0</v>
      </c>
      <c r="S70" s="6">
        <v>0</v>
      </c>
      <c r="T70" s="6">
        <v>7</v>
      </c>
      <c r="U70" s="6">
        <v>0</v>
      </c>
      <c r="V70" s="6">
        <f>IF(ISERROR(VLOOKUP($S$70,'TAR FIN'!$A$1:$O$88,15,0)),0,VLOOKUP($S$70,'TAR FIN'!$A$1:$O$88,15,0))</f>
        <v>0</v>
      </c>
      <c r="W70" s="6">
        <f>IF(ISERROR(VLOOKUP($T$70,'TAR FIN'!$A$1:$O$88,15,0)),0,VLOOKUP($T$70,'TAR FIN'!$A$1:$O$88,15,0))</f>
        <v>1419.25</v>
      </c>
      <c r="X70" s="6">
        <f>IF(ISERROR(VLOOKUP($U$70,'TAR FIN'!$A$1:$O$88,15,0)),0,VLOOKUP($U$70,'TAR FIN'!$A$1:$O$88,15,0))</f>
        <v>0</v>
      </c>
      <c r="Y70" s="6"/>
      <c r="Z70" s="6">
        <f ca="1">('TUSD BE'!$AM$11+'TUSD BF_350'!$AM$11+'TUSD CVA'!$AM$11)*1</f>
        <v>911.84</v>
      </c>
      <c r="AA70" s="6"/>
      <c r="AB70" s="6">
        <f>$K$70*$V$70</f>
        <v>0</v>
      </c>
      <c r="AC70" s="6">
        <f>$M$70*$W$70</f>
        <v>35948.219620764939</v>
      </c>
      <c r="AD70" s="6">
        <f>$O$70*$X$70</f>
        <v>0</v>
      </c>
      <c r="AE70" s="6">
        <f>$K$70*$Y$70</f>
        <v>0</v>
      </c>
      <c r="AF70" s="6">
        <f ca="1">$M$70*$Z$70</f>
        <v>23096.018727495721</v>
      </c>
      <c r="AG70" s="6">
        <f>$O$70*$AA$70</f>
        <v>0</v>
      </c>
    </row>
    <row r="71" spans="1:33" ht="11.25" customHeight="1" x14ac:dyDescent="0.25">
      <c r="A71" s="4" t="s">
        <v>21</v>
      </c>
      <c r="B71" s="4" t="s">
        <v>34</v>
      </c>
      <c r="C71" s="4" t="s">
        <v>35</v>
      </c>
      <c r="D71" s="4" t="s">
        <v>33</v>
      </c>
      <c r="E71" s="4" t="s">
        <v>25</v>
      </c>
      <c r="F71" s="4" t="s">
        <v>50</v>
      </c>
      <c r="G71" s="4" t="s">
        <v>25</v>
      </c>
      <c r="H71" s="4" t="s">
        <v>36</v>
      </c>
      <c r="I71" s="5">
        <v>44682</v>
      </c>
      <c r="J71" s="6">
        <v>0</v>
      </c>
      <c r="K71" s="6">
        <v>0</v>
      </c>
      <c r="L71" s="6">
        <v>48.935000000000002</v>
      </c>
      <c r="M71" s="6">
        <v>25.7601777257</v>
      </c>
      <c r="N71" s="6">
        <v>0</v>
      </c>
      <c r="O71" s="6">
        <v>0</v>
      </c>
      <c r="P71" s="6">
        <v>0</v>
      </c>
      <c r="Q71" s="4" t="s">
        <v>51</v>
      </c>
      <c r="R71" s="4">
        <v>0</v>
      </c>
      <c r="S71" s="6">
        <v>0</v>
      </c>
      <c r="T71" s="6">
        <v>7</v>
      </c>
      <c r="U71" s="6">
        <v>0</v>
      </c>
      <c r="V71" s="6">
        <f>IF(ISERROR(VLOOKUP($S$71,'TAR FIN'!$A$1:$O$88,15,0)),0,VLOOKUP($S$71,'TAR FIN'!$A$1:$O$88,15,0))</f>
        <v>0</v>
      </c>
      <c r="W71" s="6">
        <f>IF(ISERROR(VLOOKUP($T$71,'TAR FIN'!$A$1:$O$88,15,0)),0,VLOOKUP($T$71,'TAR FIN'!$A$1:$O$88,15,0))</f>
        <v>1419.25</v>
      </c>
      <c r="X71" s="6">
        <f>IF(ISERROR(VLOOKUP($U$71,'TAR FIN'!$A$1:$O$88,15,0)),0,VLOOKUP($U$71,'TAR FIN'!$A$1:$O$88,15,0))</f>
        <v>0</v>
      </c>
      <c r="Y71" s="6"/>
      <c r="Z71" s="6">
        <f ca="1">('TUSD BE'!$AM$11+'TUSD BF_350'!$AM$11+'TUSD CVA'!$AM$11)*1</f>
        <v>911.84</v>
      </c>
      <c r="AA71" s="6"/>
      <c r="AB71" s="6">
        <f>$K$71*$V$71</f>
        <v>0</v>
      </c>
      <c r="AC71" s="6">
        <f>$M$71*$W$71</f>
        <v>36560.132237199723</v>
      </c>
      <c r="AD71" s="6">
        <f>$O$71*$X$71</f>
        <v>0</v>
      </c>
      <c r="AE71" s="6">
        <f>$K$71*$Y$71</f>
        <v>0</v>
      </c>
      <c r="AF71" s="6">
        <f ca="1">$M$71*$Z$71</f>
        <v>23489.160457402289</v>
      </c>
      <c r="AG71" s="6">
        <f>$O$71*$AA$71</f>
        <v>0</v>
      </c>
    </row>
    <row r="72" spans="1:33" ht="11.25" customHeight="1" x14ac:dyDescent="0.25">
      <c r="A72" s="4" t="s">
        <v>21</v>
      </c>
      <c r="B72" s="4" t="s">
        <v>34</v>
      </c>
      <c r="C72" s="4" t="s">
        <v>35</v>
      </c>
      <c r="D72" s="4" t="s">
        <v>33</v>
      </c>
      <c r="E72" s="4" t="s">
        <v>25</v>
      </c>
      <c r="F72" s="4" t="s">
        <v>50</v>
      </c>
      <c r="G72" s="4" t="s">
        <v>25</v>
      </c>
      <c r="H72" s="4" t="s">
        <v>36</v>
      </c>
      <c r="I72" s="5">
        <v>44713</v>
      </c>
      <c r="J72" s="6">
        <v>0</v>
      </c>
      <c r="K72" s="6">
        <v>0</v>
      </c>
      <c r="L72" s="6">
        <v>49.697000000000003</v>
      </c>
      <c r="M72" s="6">
        <v>27.17038111275</v>
      </c>
      <c r="N72" s="6">
        <v>0</v>
      </c>
      <c r="O72" s="6">
        <v>0</v>
      </c>
      <c r="P72" s="6">
        <v>0</v>
      </c>
      <c r="Q72" s="4" t="s">
        <v>51</v>
      </c>
      <c r="R72" s="4">
        <v>0</v>
      </c>
      <c r="S72" s="6">
        <v>0</v>
      </c>
      <c r="T72" s="6">
        <v>7</v>
      </c>
      <c r="U72" s="6">
        <v>0</v>
      </c>
      <c r="V72" s="6">
        <f>IF(ISERROR(VLOOKUP($S$72,'TAR FIN'!$A$1:$O$88,15,0)),0,VLOOKUP($S$72,'TAR FIN'!$A$1:$O$88,15,0))</f>
        <v>0</v>
      </c>
      <c r="W72" s="6">
        <f>IF(ISERROR(VLOOKUP($T$72,'TAR FIN'!$A$1:$O$88,15,0)),0,VLOOKUP($T$72,'TAR FIN'!$A$1:$O$88,15,0))</f>
        <v>1419.25</v>
      </c>
      <c r="X72" s="6">
        <f>IF(ISERROR(VLOOKUP($U$72,'TAR FIN'!$A$1:$O$88,15,0)),0,VLOOKUP($U$72,'TAR FIN'!$A$1:$O$88,15,0))</f>
        <v>0</v>
      </c>
      <c r="Y72" s="6"/>
      <c r="Z72" s="6">
        <f ca="1">('TUSD BE'!$AM$11+'TUSD BF_350'!$AM$11+'TUSD CVA'!$AM$11)*1</f>
        <v>911.84</v>
      </c>
      <c r="AA72" s="6"/>
      <c r="AB72" s="6">
        <f>$K$72*$V$72</f>
        <v>0</v>
      </c>
      <c r="AC72" s="6">
        <f>$M$72*$W$72</f>
        <v>38561.563394270437</v>
      </c>
      <c r="AD72" s="6">
        <f>$O$72*$X$72</f>
        <v>0</v>
      </c>
      <c r="AE72" s="6">
        <f>$K$72*$Y$72</f>
        <v>0</v>
      </c>
      <c r="AF72" s="6">
        <f ca="1">$M$72*$Z$72</f>
        <v>24775.040313849961</v>
      </c>
      <c r="AG72" s="6">
        <f>$O$72*$AA$72</f>
        <v>0</v>
      </c>
    </row>
    <row r="73" spans="1:33" ht="11.25" customHeight="1" x14ac:dyDescent="0.25">
      <c r="A73" s="4" t="s">
        <v>21</v>
      </c>
      <c r="B73" s="4" t="s">
        <v>34</v>
      </c>
      <c r="C73" s="4" t="s">
        <v>35</v>
      </c>
      <c r="D73" s="4" t="s">
        <v>33</v>
      </c>
      <c r="E73" s="4" t="s">
        <v>25</v>
      </c>
      <c r="F73" s="4" t="s">
        <v>50</v>
      </c>
      <c r="G73" s="4" t="s">
        <v>25</v>
      </c>
      <c r="H73" s="4" t="s">
        <v>36</v>
      </c>
      <c r="I73" s="5">
        <v>44743</v>
      </c>
      <c r="J73" s="6">
        <v>0</v>
      </c>
      <c r="K73" s="6">
        <v>0</v>
      </c>
      <c r="L73" s="6">
        <v>48.795999999999999</v>
      </c>
      <c r="M73" s="6">
        <v>25.68700587112</v>
      </c>
      <c r="N73" s="6">
        <v>0</v>
      </c>
      <c r="O73" s="6">
        <v>0</v>
      </c>
      <c r="P73" s="6">
        <v>0</v>
      </c>
      <c r="Q73" s="4" t="s">
        <v>51</v>
      </c>
      <c r="R73" s="4">
        <v>0</v>
      </c>
      <c r="S73" s="6">
        <v>0</v>
      </c>
      <c r="T73" s="6">
        <v>7</v>
      </c>
      <c r="U73" s="6">
        <v>0</v>
      </c>
      <c r="V73" s="6">
        <f>IF(ISERROR(VLOOKUP($S$73,'TAR FIN'!$A$1:$O$88,15,0)),0,VLOOKUP($S$73,'TAR FIN'!$A$1:$O$88,15,0))</f>
        <v>0</v>
      </c>
      <c r="W73" s="6">
        <f>IF(ISERROR(VLOOKUP($T$73,'TAR FIN'!$A$1:$O$88,15,0)),0,VLOOKUP($T$73,'TAR FIN'!$A$1:$O$88,15,0))</f>
        <v>1419.25</v>
      </c>
      <c r="X73" s="6">
        <f>IF(ISERROR(VLOOKUP($U$73,'TAR FIN'!$A$1:$O$88,15,0)),0,VLOOKUP($U$73,'TAR FIN'!$A$1:$O$88,15,0))</f>
        <v>0</v>
      </c>
      <c r="Y73" s="6"/>
      <c r="Z73" s="6">
        <f ca="1">('TUSD BE'!$AM$11+'TUSD BF_350'!$AM$11+'TUSD CVA'!$AM$11)*1</f>
        <v>911.84</v>
      </c>
      <c r="AA73" s="6"/>
      <c r="AB73" s="6">
        <f>$K$73*$V$73</f>
        <v>0</v>
      </c>
      <c r="AC73" s="6">
        <f>$M$73*$W$73</f>
        <v>36456.283082587062</v>
      </c>
      <c r="AD73" s="6">
        <f>$O$73*$X$73</f>
        <v>0</v>
      </c>
      <c r="AE73" s="6">
        <f>$K$73*$Y$73</f>
        <v>0</v>
      </c>
      <c r="AF73" s="6">
        <f ca="1">$M$73*$Z$73</f>
        <v>23422.43943352206</v>
      </c>
      <c r="AG73" s="6">
        <f>$O$73*$AA$73</f>
        <v>0</v>
      </c>
    </row>
    <row r="74" spans="1:33" ht="11.25" customHeight="1" x14ac:dyDescent="0.25">
      <c r="A74" s="4" t="s">
        <v>21</v>
      </c>
      <c r="B74" s="4" t="s">
        <v>34</v>
      </c>
      <c r="C74" s="4" t="s">
        <v>35</v>
      </c>
      <c r="D74" s="4" t="s">
        <v>33</v>
      </c>
      <c r="E74" s="4" t="s">
        <v>25</v>
      </c>
      <c r="F74" s="4" t="s">
        <v>25</v>
      </c>
      <c r="G74" s="4" t="s">
        <v>25</v>
      </c>
      <c r="H74" s="4" t="s">
        <v>37</v>
      </c>
      <c r="I74" s="5">
        <v>44409</v>
      </c>
      <c r="J74" s="6">
        <v>0</v>
      </c>
      <c r="K74" s="6">
        <v>0</v>
      </c>
      <c r="L74" s="6">
        <v>180.10599999999999</v>
      </c>
      <c r="M74" s="6">
        <v>180.10599999999999</v>
      </c>
      <c r="N74" s="6">
        <v>180.10599999999999</v>
      </c>
      <c r="O74" s="6">
        <v>180.10599999999999</v>
      </c>
      <c r="P74" s="6">
        <v>0</v>
      </c>
      <c r="Q74" s="4" t="s">
        <v>26</v>
      </c>
      <c r="R74" s="4">
        <v>0</v>
      </c>
      <c r="S74" s="6">
        <v>0</v>
      </c>
      <c r="T74" s="6">
        <v>8</v>
      </c>
      <c r="U74" s="6">
        <v>51</v>
      </c>
      <c r="V74" s="6">
        <f>IF(ISERROR(VLOOKUP($S$74,'TAR FIN'!$A$1:$O$88,15,0)),0,VLOOKUP($S$74,'TAR FIN'!$A$1:$O$88,15,0))</f>
        <v>0</v>
      </c>
      <c r="W74" s="6">
        <f>IF(ISERROR(VLOOKUP($T$74,'TAR FIN'!$A$1:$O$88,15,0)),0,VLOOKUP($T$74,'TAR FIN'!$A$1:$O$88,15,0))</f>
        <v>70.19</v>
      </c>
      <c r="X74" s="6">
        <f>IF(ISERROR(VLOOKUP($U$74,'TAR FIN'!$A$1:$O$88,15,0)),0,VLOOKUP($U$74,'TAR FIN'!$A$1:$O$88,15,0))</f>
        <v>302.62</v>
      </c>
      <c r="Y74" s="6"/>
      <c r="Z74" s="6">
        <f ca="1">('TUSD BE'!$AM$12+'TUSD BF_350'!$AM$12+'TUSD CVA'!$AM$12)*1</f>
        <v>126.25</v>
      </c>
      <c r="AA74" s="6">
        <f ca="1">('TE BE'!$AB$6+'TE BF_350'!$AB$6+'TE CVA'!$AB$6)*1</f>
        <v>250.04</v>
      </c>
      <c r="AB74" s="6">
        <f>$K$74*$V$74</f>
        <v>0</v>
      </c>
      <c r="AC74" s="6">
        <f>$M$74*$W$74</f>
        <v>12641.64014</v>
      </c>
      <c r="AD74" s="6">
        <f>$O$74*$X$74</f>
        <v>54503.67772</v>
      </c>
      <c r="AE74" s="6">
        <f>$K$74*$Y$74</f>
        <v>0</v>
      </c>
      <c r="AF74" s="6">
        <f ca="1">$M$74*$Z$74</f>
        <v>22738.3825</v>
      </c>
      <c r="AG74" s="6">
        <f ca="1">$O$74*$AA$74</f>
        <v>45033.704239999999</v>
      </c>
    </row>
    <row r="75" spans="1:33" ht="11.25" customHeight="1" x14ac:dyDescent="0.25">
      <c r="A75" s="4" t="s">
        <v>21</v>
      </c>
      <c r="B75" s="4" t="s">
        <v>34</v>
      </c>
      <c r="C75" s="4" t="s">
        <v>35</v>
      </c>
      <c r="D75" s="4" t="s">
        <v>33</v>
      </c>
      <c r="E75" s="4" t="s">
        <v>25</v>
      </c>
      <c r="F75" s="4" t="s">
        <v>25</v>
      </c>
      <c r="G75" s="4" t="s">
        <v>25</v>
      </c>
      <c r="H75" s="4" t="s">
        <v>37</v>
      </c>
      <c r="I75" s="5">
        <v>44440</v>
      </c>
      <c r="J75" s="6">
        <v>0</v>
      </c>
      <c r="K75" s="6">
        <v>0</v>
      </c>
      <c r="L75" s="6">
        <v>173.40199999999999</v>
      </c>
      <c r="M75" s="6">
        <v>173.40199999999999</v>
      </c>
      <c r="N75" s="6">
        <v>173.40199999999999</v>
      </c>
      <c r="O75" s="6">
        <v>173.40199999999999</v>
      </c>
      <c r="P75" s="6">
        <v>0</v>
      </c>
      <c r="Q75" s="4" t="s">
        <v>26</v>
      </c>
      <c r="R75" s="4">
        <v>0</v>
      </c>
      <c r="S75" s="6">
        <v>0</v>
      </c>
      <c r="T75" s="6">
        <v>8</v>
      </c>
      <c r="U75" s="6">
        <v>51</v>
      </c>
      <c r="V75" s="6">
        <f>IF(ISERROR(VLOOKUP($S$75,'TAR FIN'!$A$1:$O$88,15,0)),0,VLOOKUP($S$75,'TAR FIN'!$A$1:$O$88,15,0))</f>
        <v>0</v>
      </c>
      <c r="W75" s="6">
        <f>IF(ISERROR(VLOOKUP($T$75,'TAR FIN'!$A$1:$O$88,15,0)),0,VLOOKUP($T$75,'TAR FIN'!$A$1:$O$88,15,0))</f>
        <v>70.19</v>
      </c>
      <c r="X75" s="6">
        <f>IF(ISERROR(VLOOKUP($U$75,'TAR FIN'!$A$1:$O$88,15,0)),0,VLOOKUP($U$75,'TAR FIN'!$A$1:$O$88,15,0))</f>
        <v>302.62</v>
      </c>
      <c r="Y75" s="6"/>
      <c r="Z75" s="6">
        <f ca="1">('TUSD BE'!$AM$12+'TUSD BF_350'!$AM$12+'TUSD CVA'!$AM$12)*1</f>
        <v>126.25</v>
      </c>
      <c r="AA75" s="6">
        <f ca="1">('TE BE'!$AB$6+'TE BF_350'!$AB$6+'TE CVA'!$AB$6)*1</f>
        <v>250.04</v>
      </c>
      <c r="AB75" s="6">
        <f>$K$75*$V$75</f>
        <v>0</v>
      </c>
      <c r="AC75" s="6">
        <f>$M$75*$W$75</f>
        <v>12171.086379999999</v>
      </c>
      <c r="AD75" s="6">
        <f>$O$75*$X$75</f>
        <v>52474.913239999994</v>
      </c>
      <c r="AE75" s="6">
        <f>$K$75*$Y$75</f>
        <v>0</v>
      </c>
      <c r="AF75" s="6">
        <f ca="1">$M$75*$Z$75</f>
        <v>21892.002499999999</v>
      </c>
      <c r="AG75" s="6">
        <f ca="1">$O$75*$AA$75</f>
        <v>43357.436079999992</v>
      </c>
    </row>
    <row r="76" spans="1:33" ht="11.25" customHeight="1" x14ac:dyDescent="0.25">
      <c r="A76" s="4" t="s">
        <v>21</v>
      </c>
      <c r="B76" s="4" t="s">
        <v>34</v>
      </c>
      <c r="C76" s="4" t="s">
        <v>35</v>
      </c>
      <c r="D76" s="4" t="s">
        <v>33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44470</v>
      </c>
      <c r="J76" s="6">
        <v>0</v>
      </c>
      <c r="K76" s="6">
        <v>0</v>
      </c>
      <c r="L76" s="6">
        <v>191.13900000000001</v>
      </c>
      <c r="M76" s="6">
        <v>191.13900000000001</v>
      </c>
      <c r="N76" s="6">
        <v>191.13900000000001</v>
      </c>
      <c r="O76" s="6">
        <v>191.13900000000001</v>
      </c>
      <c r="P76" s="6">
        <v>0</v>
      </c>
      <c r="Q76" s="4" t="s">
        <v>26</v>
      </c>
      <c r="R76" s="4">
        <v>0</v>
      </c>
      <c r="S76" s="6">
        <v>0</v>
      </c>
      <c r="T76" s="6">
        <v>8</v>
      </c>
      <c r="U76" s="6">
        <v>51</v>
      </c>
      <c r="V76" s="6">
        <f>IF(ISERROR(VLOOKUP($S$76,'TAR FIN'!$A$1:$O$88,15,0)),0,VLOOKUP($S$76,'TAR FIN'!$A$1:$O$88,15,0))</f>
        <v>0</v>
      </c>
      <c r="W76" s="6">
        <f>IF(ISERROR(VLOOKUP($T$76,'TAR FIN'!$A$1:$O$88,15,0)),0,VLOOKUP($T$76,'TAR FIN'!$A$1:$O$88,15,0))</f>
        <v>70.19</v>
      </c>
      <c r="X76" s="6">
        <f>IF(ISERROR(VLOOKUP($U$76,'TAR FIN'!$A$1:$O$88,15,0)),0,VLOOKUP($U$76,'TAR FIN'!$A$1:$O$88,15,0))</f>
        <v>302.62</v>
      </c>
      <c r="Y76" s="6"/>
      <c r="Z76" s="6">
        <f ca="1">('TUSD BE'!$AM$12+'TUSD BF_350'!$AM$12+'TUSD CVA'!$AM$12)*1</f>
        <v>126.25</v>
      </c>
      <c r="AA76" s="6">
        <f ca="1">('TE BE'!$AB$6+'TE BF_350'!$AB$6+'TE CVA'!$AB$6)*1</f>
        <v>250.04</v>
      </c>
      <c r="AB76" s="6">
        <f>$K$76*$V$76</f>
        <v>0</v>
      </c>
      <c r="AC76" s="6">
        <f>$M$76*$W$76</f>
        <v>13416.046410000001</v>
      </c>
      <c r="AD76" s="6">
        <f>$O$76*$X$76</f>
        <v>57842.484180000007</v>
      </c>
      <c r="AE76" s="6">
        <f>$K$76*$Y$76</f>
        <v>0</v>
      </c>
      <c r="AF76" s="6">
        <f ca="1">$M$76*$Z$76</f>
        <v>24131.298750000002</v>
      </c>
      <c r="AG76" s="6">
        <f ca="1">$O$76*$AA$76</f>
        <v>47792.395560000004</v>
      </c>
    </row>
    <row r="77" spans="1:33" ht="11.25" customHeight="1" x14ac:dyDescent="0.25">
      <c r="A77" s="4" t="s">
        <v>21</v>
      </c>
      <c r="B77" s="4" t="s">
        <v>34</v>
      </c>
      <c r="C77" s="4" t="s">
        <v>35</v>
      </c>
      <c r="D77" s="4" t="s">
        <v>33</v>
      </c>
      <c r="E77" s="4" t="s">
        <v>25</v>
      </c>
      <c r="F77" s="4" t="s">
        <v>25</v>
      </c>
      <c r="G77" s="4" t="s">
        <v>25</v>
      </c>
      <c r="H77" s="4" t="s">
        <v>37</v>
      </c>
      <c r="I77" s="5">
        <v>44501</v>
      </c>
      <c r="J77" s="6">
        <v>0</v>
      </c>
      <c r="K77" s="6">
        <v>0</v>
      </c>
      <c r="L77" s="6">
        <v>206.661</v>
      </c>
      <c r="M77" s="6">
        <v>206.661</v>
      </c>
      <c r="N77" s="6">
        <v>206.661</v>
      </c>
      <c r="O77" s="6">
        <v>206.661</v>
      </c>
      <c r="P77" s="6">
        <v>0</v>
      </c>
      <c r="Q77" s="4" t="s">
        <v>26</v>
      </c>
      <c r="R77" s="4">
        <v>0</v>
      </c>
      <c r="S77" s="6">
        <v>0</v>
      </c>
      <c r="T77" s="6">
        <v>8</v>
      </c>
      <c r="U77" s="6">
        <v>51</v>
      </c>
      <c r="V77" s="6">
        <f>IF(ISERROR(VLOOKUP($S$77,'TAR FIN'!$A$1:$O$88,15,0)),0,VLOOKUP($S$77,'TAR FIN'!$A$1:$O$88,15,0))</f>
        <v>0</v>
      </c>
      <c r="W77" s="6">
        <f>IF(ISERROR(VLOOKUP($T$77,'TAR FIN'!$A$1:$O$88,15,0)),0,VLOOKUP($T$77,'TAR FIN'!$A$1:$O$88,15,0))</f>
        <v>70.19</v>
      </c>
      <c r="X77" s="6">
        <f>IF(ISERROR(VLOOKUP($U$77,'TAR FIN'!$A$1:$O$88,15,0)),0,VLOOKUP($U$77,'TAR FIN'!$A$1:$O$88,15,0))</f>
        <v>302.62</v>
      </c>
      <c r="Y77" s="6"/>
      <c r="Z77" s="6">
        <f ca="1">('TUSD BE'!$AM$12+'TUSD BF_350'!$AM$12+'TUSD CVA'!$AM$12)*1</f>
        <v>126.25</v>
      </c>
      <c r="AA77" s="6">
        <f ca="1">('TE BE'!$AB$6+'TE BF_350'!$AB$6+'TE CVA'!$AB$6)*1</f>
        <v>250.04</v>
      </c>
      <c r="AB77" s="6">
        <f>$K$77*$V$77</f>
        <v>0</v>
      </c>
      <c r="AC77" s="6">
        <f>$M$77*$W$77</f>
        <v>14505.53559</v>
      </c>
      <c r="AD77" s="6">
        <f>$O$77*$X$77</f>
        <v>62539.751820000005</v>
      </c>
      <c r="AE77" s="6">
        <f>$K$77*$Y$77</f>
        <v>0</v>
      </c>
      <c r="AF77" s="6">
        <f ca="1">$M$77*$Z$77</f>
        <v>26090.951250000002</v>
      </c>
      <c r="AG77" s="6">
        <f ca="1">$O$77*$AA$77</f>
        <v>51673.516439999999</v>
      </c>
    </row>
    <row r="78" spans="1:33" ht="11.25" customHeight="1" x14ac:dyDescent="0.25">
      <c r="A78" s="4" t="s">
        <v>21</v>
      </c>
      <c r="B78" s="4" t="s">
        <v>34</v>
      </c>
      <c r="C78" s="4" t="s">
        <v>35</v>
      </c>
      <c r="D78" s="4" t="s">
        <v>33</v>
      </c>
      <c r="E78" s="4" t="s">
        <v>25</v>
      </c>
      <c r="F78" s="4" t="s">
        <v>25</v>
      </c>
      <c r="G78" s="4" t="s">
        <v>25</v>
      </c>
      <c r="H78" s="4" t="s">
        <v>37</v>
      </c>
      <c r="I78" s="5">
        <v>44531</v>
      </c>
      <c r="J78" s="6">
        <v>0</v>
      </c>
      <c r="K78" s="6">
        <v>0</v>
      </c>
      <c r="L78" s="6">
        <v>158.70099999999999</v>
      </c>
      <c r="M78" s="6">
        <v>158.70099999999999</v>
      </c>
      <c r="N78" s="6">
        <v>158.70099999999999</v>
      </c>
      <c r="O78" s="6">
        <v>158.70099999999999</v>
      </c>
      <c r="P78" s="6">
        <v>0</v>
      </c>
      <c r="Q78" s="4" t="s">
        <v>26</v>
      </c>
      <c r="R78" s="4">
        <v>0</v>
      </c>
      <c r="S78" s="6">
        <v>0</v>
      </c>
      <c r="T78" s="6">
        <v>8</v>
      </c>
      <c r="U78" s="6">
        <v>51</v>
      </c>
      <c r="V78" s="6">
        <f>IF(ISERROR(VLOOKUP($S$78,'TAR FIN'!$A$1:$O$88,15,0)),0,VLOOKUP($S$78,'TAR FIN'!$A$1:$O$88,15,0))</f>
        <v>0</v>
      </c>
      <c r="W78" s="6">
        <f>IF(ISERROR(VLOOKUP($T$78,'TAR FIN'!$A$1:$O$88,15,0)),0,VLOOKUP($T$78,'TAR FIN'!$A$1:$O$88,15,0))</f>
        <v>70.19</v>
      </c>
      <c r="X78" s="6">
        <f>IF(ISERROR(VLOOKUP($U$78,'TAR FIN'!$A$1:$O$88,15,0)),0,VLOOKUP($U$78,'TAR FIN'!$A$1:$O$88,15,0))</f>
        <v>302.62</v>
      </c>
      <c r="Y78" s="6"/>
      <c r="Z78" s="6">
        <f ca="1">('TUSD BE'!$AM$12+'TUSD BF_350'!$AM$12+'TUSD CVA'!$AM$12)*1</f>
        <v>126.25</v>
      </c>
      <c r="AA78" s="6">
        <f ca="1">('TE BE'!$AB$6+'TE BF_350'!$AB$6+'TE CVA'!$AB$6)*1</f>
        <v>250.04</v>
      </c>
      <c r="AB78" s="6">
        <f>$K$78*$V$78</f>
        <v>0</v>
      </c>
      <c r="AC78" s="6">
        <f>$M$78*$W$78</f>
        <v>11139.223189999999</v>
      </c>
      <c r="AD78" s="6">
        <f>$O$78*$X$78</f>
        <v>48026.096619999997</v>
      </c>
      <c r="AE78" s="6">
        <f>$K$78*$Y$78</f>
        <v>0</v>
      </c>
      <c r="AF78" s="6">
        <f ca="1">$M$78*$Z$78</f>
        <v>20036.001249999998</v>
      </c>
      <c r="AG78" s="6">
        <f ca="1">$O$78*$AA$78</f>
        <v>39681.598039999997</v>
      </c>
    </row>
    <row r="79" spans="1:33" ht="11.25" customHeight="1" x14ac:dyDescent="0.25">
      <c r="A79" s="4" t="s">
        <v>21</v>
      </c>
      <c r="B79" s="4" t="s">
        <v>34</v>
      </c>
      <c r="C79" s="4" t="s">
        <v>35</v>
      </c>
      <c r="D79" s="4" t="s">
        <v>33</v>
      </c>
      <c r="E79" s="4" t="s">
        <v>25</v>
      </c>
      <c r="F79" s="4" t="s">
        <v>25</v>
      </c>
      <c r="G79" s="4" t="s">
        <v>25</v>
      </c>
      <c r="H79" s="4" t="s">
        <v>37</v>
      </c>
      <c r="I79" s="5">
        <v>44562</v>
      </c>
      <c r="J79" s="6">
        <v>0</v>
      </c>
      <c r="K79" s="6">
        <v>0</v>
      </c>
      <c r="L79" s="6">
        <v>133.976</v>
      </c>
      <c r="M79" s="6">
        <v>133.976</v>
      </c>
      <c r="N79" s="6">
        <v>133.976</v>
      </c>
      <c r="O79" s="6">
        <v>133.976</v>
      </c>
      <c r="P79" s="6">
        <v>0</v>
      </c>
      <c r="Q79" s="4" t="s">
        <v>26</v>
      </c>
      <c r="R79" s="4">
        <v>0</v>
      </c>
      <c r="S79" s="6">
        <v>0</v>
      </c>
      <c r="T79" s="6">
        <v>8</v>
      </c>
      <c r="U79" s="6">
        <v>51</v>
      </c>
      <c r="V79" s="6">
        <f>IF(ISERROR(VLOOKUP($S$79,'TAR FIN'!$A$1:$O$88,15,0)),0,VLOOKUP($S$79,'TAR FIN'!$A$1:$O$88,15,0))</f>
        <v>0</v>
      </c>
      <c r="W79" s="6">
        <f>IF(ISERROR(VLOOKUP($T$79,'TAR FIN'!$A$1:$O$88,15,0)),0,VLOOKUP($T$79,'TAR FIN'!$A$1:$O$88,15,0))</f>
        <v>70.19</v>
      </c>
      <c r="X79" s="6">
        <f>IF(ISERROR(VLOOKUP($U$79,'TAR FIN'!$A$1:$O$88,15,0)),0,VLOOKUP($U$79,'TAR FIN'!$A$1:$O$88,15,0))</f>
        <v>302.62</v>
      </c>
      <c r="Y79" s="6"/>
      <c r="Z79" s="6">
        <f ca="1">('TUSD BE'!$AM$12+'TUSD BF_350'!$AM$12+'TUSD CVA'!$AM$12)*1</f>
        <v>126.25</v>
      </c>
      <c r="AA79" s="6">
        <f ca="1">('TE BE'!$AB$6+'TE BF_350'!$AB$6+'TE CVA'!$AB$6)*1</f>
        <v>250.04</v>
      </c>
      <c r="AB79" s="6">
        <f>$K$79*$V$79</f>
        <v>0</v>
      </c>
      <c r="AC79" s="6">
        <f>$M$79*$W$79</f>
        <v>9403.7754399999994</v>
      </c>
      <c r="AD79" s="6">
        <f>$O$79*$X$79</f>
        <v>40543.81712</v>
      </c>
      <c r="AE79" s="6">
        <f>$K$79*$Y$79</f>
        <v>0</v>
      </c>
      <c r="AF79" s="6">
        <f ca="1">$M$79*$Z$79</f>
        <v>16914.47</v>
      </c>
      <c r="AG79" s="6">
        <f ca="1">$O$79*$AA$79</f>
        <v>33499.359039999996</v>
      </c>
    </row>
    <row r="80" spans="1:33" ht="11.25" customHeight="1" x14ac:dyDescent="0.25">
      <c r="A80" s="4" t="s">
        <v>21</v>
      </c>
      <c r="B80" s="4" t="s">
        <v>34</v>
      </c>
      <c r="C80" s="4" t="s">
        <v>35</v>
      </c>
      <c r="D80" s="4" t="s">
        <v>33</v>
      </c>
      <c r="E80" s="4" t="s">
        <v>25</v>
      </c>
      <c r="F80" s="4" t="s">
        <v>25</v>
      </c>
      <c r="G80" s="4" t="s">
        <v>25</v>
      </c>
      <c r="H80" s="4" t="s">
        <v>37</v>
      </c>
      <c r="I80" s="5">
        <v>44593</v>
      </c>
      <c r="J80" s="6">
        <v>0</v>
      </c>
      <c r="K80" s="6">
        <v>0</v>
      </c>
      <c r="L80" s="6">
        <v>138.666</v>
      </c>
      <c r="M80" s="6">
        <v>138.666</v>
      </c>
      <c r="N80" s="6">
        <v>138.666</v>
      </c>
      <c r="O80" s="6">
        <v>138.666</v>
      </c>
      <c r="P80" s="6">
        <v>0</v>
      </c>
      <c r="Q80" s="4" t="s">
        <v>26</v>
      </c>
      <c r="R80" s="4">
        <v>0</v>
      </c>
      <c r="S80" s="6">
        <v>0</v>
      </c>
      <c r="T80" s="6">
        <v>8</v>
      </c>
      <c r="U80" s="6">
        <v>51</v>
      </c>
      <c r="V80" s="6">
        <f>IF(ISERROR(VLOOKUP($S$80,'TAR FIN'!$A$1:$O$88,15,0)),0,VLOOKUP($S$80,'TAR FIN'!$A$1:$O$88,15,0))</f>
        <v>0</v>
      </c>
      <c r="W80" s="6">
        <f>IF(ISERROR(VLOOKUP($T$80,'TAR FIN'!$A$1:$O$88,15,0)),0,VLOOKUP($T$80,'TAR FIN'!$A$1:$O$88,15,0))</f>
        <v>70.19</v>
      </c>
      <c r="X80" s="6">
        <f>IF(ISERROR(VLOOKUP($U$80,'TAR FIN'!$A$1:$O$88,15,0)),0,VLOOKUP($U$80,'TAR FIN'!$A$1:$O$88,15,0))</f>
        <v>302.62</v>
      </c>
      <c r="Y80" s="6"/>
      <c r="Z80" s="6">
        <f ca="1">('TUSD BE'!$AM$12+'TUSD BF_350'!$AM$12+'TUSD CVA'!$AM$12)*1</f>
        <v>126.25</v>
      </c>
      <c r="AA80" s="6">
        <f ca="1">('TE BE'!$AB$6+'TE BF_350'!$AB$6+'TE CVA'!$AB$6)*1</f>
        <v>250.04</v>
      </c>
      <c r="AB80" s="6">
        <f>$K$80*$V$80</f>
        <v>0</v>
      </c>
      <c r="AC80" s="6">
        <f>$M$80*$W$80</f>
        <v>9732.9665399999994</v>
      </c>
      <c r="AD80" s="6">
        <f>$O$80*$X$80</f>
        <v>41963.104919999998</v>
      </c>
      <c r="AE80" s="6">
        <f>$K$80*$Y$80</f>
        <v>0</v>
      </c>
      <c r="AF80" s="6">
        <f ca="1">$M$80*$Z$80</f>
        <v>17506.5825</v>
      </c>
      <c r="AG80" s="6">
        <f ca="1">$O$80*$AA$80</f>
        <v>34672.04664</v>
      </c>
    </row>
    <row r="81" spans="1:33" ht="11.25" customHeight="1" x14ac:dyDescent="0.25">
      <c r="A81" s="4" t="s">
        <v>21</v>
      </c>
      <c r="B81" s="4" t="s">
        <v>34</v>
      </c>
      <c r="C81" s="4" t="s">
        <v>35</v>
      </c>
      <c r="D81" s="4" t="s">
        <v>33</v>
      </c>
      <c r="E81" s="4" t="s">
        <v>25</v>
      </c>
      <c r="F81" s="4" t="s">
        <v>25</v>
      </c>
      <c r="G81" s="4" t="s">
        <v>25</v>
      </c>
      <c r="H81" s="4" t="s">
        <v>37</v>
      </c>
      <c r="I81" s="5">
        <v>44621</v>
      </c>
      <c r="J81" s="6">
        <v>0</v>
      </c>
      <c r="K81" s="6">
        <v>0</v>
      </c>
      <c r="L81" s="6">
        <v>150.70599999999999</v>
      </c>
      <c r="M81" s="6">
        <v>150.70599999999999</v>
      </c>
      <c r="N81" s="6">
        <v>150.70599999999999</v>
      </c>
      <c r="O81" s="6">
        <v>150.70599999999999</v>
      </c>
      <c r="P81" s="6">
        <v>0</v>
      </c>
      <c r="Q81" s="4" t="s">
        <v>26</v>
      </c>
      <c r="R81" s="4">
        <v>0</v>
      </c>
      <c r="S81" s="6">
        <v>0</v>
      </c>
      <c r="T81" s="6">
        <v>8</v>
      </c>
      <c r="U81" s="6">
        <v>51</v>
      </c>
      <c r="V81" s="6">
        <f>IF(ISERROR(VLOOKUP($S$81,'TAR FIN'!$A$1:$O$88,15,0)),0,VLOOKUP($S$81,'TAR FIN'!$A$1:$O$88,15,0))</f>
        <v>0</v>
      </c>
      <c r="W81" s="6">
        <f>IF(ISERROR(VLOOKUP($T$81,'TAR FIN'!$A$1:$O$88,15,0)),0,VLOOKUP($T$81,'TAR FIN'!$A$1:$O$88,15,0))</f>
        <v>70.19</v>
      </c>
      <c r="X81" s="6">
        <f>IF(ISERROR(VLOOKUP($U$81,'TAR FIN'!$A$1:$O$88,15,0)),0,VLOOKUP($U$81,'TAR FIN'!$A$1:$O$88,15,0))</f>
        <v>302.62</v>
      </c>
      <c r="Y81" s="6"/>
      <c r="Z81" s="6">
        <f ca="1">('TUSD BE'!$AM$12+'TUSD BF_350'!$AM$12+'TUSD CVA'!$AM$12)*1</f>
        <v>126.25</v>
      </c>
      <c r="AA81" s="6">
        <f ca="1">('TE BE'!$AB$6+'TE BF_350'!$AB$6+'TE CVA'!$AB$6)*1</f>
        <v>250.04</v>
      </c>
      <c r="AB81" s="6">
        <f>$K$81*$V$81</f>
        <v>0</v>
      </c>
      <c r="AC81" s="6">
        <f>$M$81*$W$81</f>
        <v>10578.054139999998</v>
      </c>
      <c r="AD81" s="6">
        <f>$O$81*$X$81</f>
        <v>45606.649719999994</v>
      </c>
      <c r="AE81" s="6">
        <f>$K$81*$Y$81</f>
        <v>0</v>
      </c>
      <c r="AF81" s="6">
        <f ca="1">$M$81*$Z$81</f>
        <v>19026.6325</v>
      </c>
      <c r="AG81" s="6">
        <f ca="1">$O$81*$AA$81</f>
        <v>37682.52824</v>
      </c>
    </row>
    <row r="82" spans="1:33" ht="11.25" customHeight="1" x14ac:dyDescent="0.25">
      <c r="A82" s="4" t="s">
        <v>21</v>
      </c>
      <c r="B82" s="4" t="s">
        <v>34</v>
      </c>
      <c r="C82" s="4" t="s">
        <v>35</v>
      </c>
      <c r="D82" s="4" t="s">
        <v>33</v>
      </c>
      <c r="E82" s="4" t="s">
        <v>25</v>
      </c>
      <c r="F82" s="4" t="s">
        <v>25</v>
      </c>
      <c r="G82" s="4" t="s">
        <v>25</v>
      </c>
      <c r="H82" s="4" t="s">
        <v>37</v>
      </c>
      <c r="I82" s="5">
        <v>44652</v>
      </c>
      <c r="J82" s="6">
        <v>0</v>
      </c>
      <c r="K82" s="6">
        <v>0</v>
      </c>
      <c r="L82" s="6">
        <v>119.78400000000001</v>
      </c>
      <c r="M82" s="6">
        <v>119.78400000000001</v>
      </c>
      <c r="N82" s="6">
        <v>119.78400000000001</v>
      </c>
      <c r="O82" s="6">
        <v>119.78400000000001</v>
      </c>
      <c r="P82" s="6">
        <v>0</v>
      </c>
      <c r="Q82" s="4" t="s">
        <v>26</v>
      </c>
      <c r="R82" s="4">
        <v>0</v>
      </c>
      <c r="S82" s="6">
        <v>0</v>
      </c>
      <c r="T82" s="6">
        <v>8</v>
      </c>
      <c r="U82" s="6">
        <v>51</v>
      </c>
      <c r="V82" s="6">
        <f>IF(ISERROR(VLOOKUP($S$82,'TAR FIN'!$A$1:$O$88,15,0)),0,VLOOKUP($S$82,'TAR FIN'!$A$1:$O$88,15,0))</f>
        <v>0</v>
      </c>
      <c r="W82" s="6">
        <f>IF(ISERROR(VLOOKUP($T$82,'TAR FIN'!$A$1:$O$88,15,0)),0,VLOOKUP($T$82,'TAR FIN'!$A$1:$O$88,15,0))</f>
        <v>70.19</v>
      </c>
      <c r="X82" s="6">
        <f>IF(ISERROR(VLOOKUP($U$82,'TAR FIN'!$A$1:$O$88,15,0)),0,VLOOKUP($U$82,'TAR FIN'!$A$1:$O$88,15,0))</f>
        <v>302.62</v>
      </c>
      <c r="Y82" s="6"/>
      <c r="Z82" s="6">
        <f ca="1">('TUSD BE'!$AM$12+'TUSD BF_350'!$AM$12+'TUSD CVA'!$AM$12)*1</f>
        <v>126.25</v>
      </c>
      <c r="AA82" s="6">
        <f ca="1">('TE BE'!$AB$6+'TE BF_350'!$AB$6+'TE CVA'!$AB$6)*1</f>
        <v>250.04</v>
      </c>
      <c r="AB82" s="6">
        <f>$K$82*$V$82</f>
        <v>0</v>
      </c>
      <c r="AC82" s="6">
        <f>$M$82*$W$82</f>
        <v>8407.6389600000002</v>
      </c>
      <c r="AD82" s="6">
        <f>$O$82*$X$82</f>
        <v>36249.034080000005</v>
      </c>
      <c r="AE82" s="6">
        <f>$K$82*$Y$82</f>
        <v>0</v>
      </c>
      <c r="AF82" s="6">
        <f ca="1">$M$82*$Z$82</f>
        <v>15122.730000000001</v>
      </c>
      <c r="AG82" s="6">
        <f ca="1">$O$82*$AA$82</f>
        <v>29950.791359999999</v>
      </c>
    </row>
    <row r="83" spans="1:33" ht="11.25" customHeight="1" x14ac:dyDescent="0.25">
      <c r="A83" s="4" t="s">
        <v>21</v>
      </c>
      <c r="B83" s="4" t="s">
        <v>34</v>
      </c>
      <c r="C83" s="4" t="s">
        <v>35</v>
      </c>
      <c r="D83" s="4" t="s">
        <v>33</v>
      </c>
      <c r="E83" s="4" t="s">
        <v>25</v>
      </c>
      <c r="F83" s="4" t="s">
        <v>25</v>
      </c>
      <c r="G83" s="4" t="s">
        <v>25</v>
      </c>
      <c r="H83" s="4" t="s">
        <v>37</v>
      </c>
      <c r="I83" s="5">
        <v>44682</v>
      </c>
      <c r="J83" s="6">
        <v>0</v>
      </c>
      <c r="K83" s="6">
        <v>0</v>
      </c>
      <c r="L83" s="6">
        <v>148.124</v>
      </c>
      <c r="M83" s="6">
        <v>148.124</v>
      </c>
      <c r="N83" s="6">
        <v>148.124</v>
      </c>
      <c r="O83" s="6">
        <v>148.124</v>
      </c>
      <c r="P83" s="6">
        <v>0</v>
      </c>
      <c r="Q83" s="4" t="s">
        <v>26</v>
      </c>
      <c r="R83" s="4">
        <v>0</v>
      </c>
      <c r="S83" s="6">
        <v>0</v>
      </c>
      <c r="T83" s="6">
        <v>8</v>
      </c>
      <c r="U83" s="6">
        <v>51</v>
      </c>
      <c r="V83" s="6">
        <f>IF(ISERROR(VLOOKUP($S$83,'TAR FIN'!$A$1:$O$88,15,0)),0,VLOOKUP($S$83,'TAR FIN'!$A$1:$O$88,15,0))</f>
        <v>0</v>
      </c>
      <c r="W83" s="6">
        <f>IF(ISERROR(VLOOKUP($T$83,'TAR FIN'!$A$1:$O$88,15,0)),0,VLOOKUP($T$83,'TAR FIN'!$A$1:$O$88,15,0))</f>
        <v>70.19</v>
      </c>
      <c r="X83" s="6">
        <f>IF(ISERROR(VLOOKUP($U$83,'TAR FIN'!$A$1:$O$88,15,0)),0,VLOOKUP($U$83,'TAR FIN'!$A$1:$O$88,15,0))</f>
        <v>302.62</v>
      </c>
      <c r="Y83" s="6"/>
      <c r="Z83" s="6">
        <f ca="1">('TUSD BE'!$AM$12+'TUSD BF_350'!$AM$12+'TUSD CVA'!$AM$12)*1</f>
        <v>126.25</v>
      </c>
      <c r="AA83" s="6">
        <f ca="1">('TE BE'!$AB$6+'TE BF_350'!$AB$6+'TE CVA'!$AB$6)*1</f>
        <v>250.04</v>
      </c>
      <c r="AB83" s="6">
        <f>$K$83*$V$83</f>
        <v>0</v>
      </c>
      <c r="AC83" s="6">
        <f>$M$83*$W$83</f>
        <v>10396.823559999999</v>
      </c>
      <c r="AD83" s="6">
        <f>$O$83*$X$83</f>
        <v>44825.284879999999</v>
      </c>
      <c r="AE83" s="6">
        <f>$K$83*$Y$83</f>
        <v>0</v>
      </c>
      <c r="AF83" s="6">
        <f ca="1">$M$83*$Z$83</f>
        <v>18700.654999999999</v>
      </c>
      <c r="AG83" s="6">
        <f ca="1">$O$83*$AA$83</f>
        <v>37036.924959999997</v>
      </c>
    </row>
    <row r="84" spans="1:33" ht="11.25" customHeight="1" x14ac:dyDescent="0.25">
      <c r="A84" s="4" t="s">
        <v>21</v>
      </c>
      <c r="B84" s="4" t="s">
        <v>34</v>
      </c>
      <c r="C84" s="4" t="s">
        <v>35</v>
      </c>
      <c r="D84" s="4" t="s">
        <v>33</v>
      </c>
      <c r="E84" s="4" t="s">
        <v>25</v>
      </c>
      <c r="F84" s="4" t="s">
        <v>25</v>
      </c>
      <c r="G84" s="4" t="s">
        <v>25</v>
      </c>
      <c r="H84" s="4" t="s">
        <v>37</v>
      </c>
      <c r="I84" s="5">
        <v>44713</v>
      </c>
      <c r="J84" s="6">
        <v>0</v>
      </c>
      <c r="K84" s="6">
        <v>0</v>
      </c>
      <c r="L84" s="6">
        <v>143.33099999999999</v>
      </c>
      <c r="M84" s="6">
        <v>143.33099999999999</v>
      </c>
      <c r="N84" s="6">
        <v>143.33099999999999</v>
      </c>
      <c r="O84" s="6">
        <v>143.33099999999999</v>
      </c>
      <c r="P84" s="6">
        <v>0</v>
      </c>
      <c r="Q84" s="4" t="s">
        <v>26</v>
      </c>
      <c r="R84" s="4">
        <v>0</v>
      </c>
      <c r="S84" s="6">
        <v>0</v>
      </c>
      <c r="T84" s="6">
        <v>8</v>
      </c>
      <c r="U84" s="6">
        <v>51</v>
      </c>
      <c r="V84" s="6">
        <f>IF(ISERROR(VLOOKUP($S$84,'TAR FIN'!$A$1:$O$88,15,0)),0,VLOOKUP($S$84,'TAR FIN'!$A$1:$O$88,15,0))</f>
        <v>0</v>
      </c>
      <c r="W84" s="6">
        <f>IF(ISERROR(VLOOKUP($T$84,'TAR FIN'!$A$1:$O$88,15,0)),0,VLOOKUP($T$84,'TAR FIN'!$A$1:$O$88,15,0))</f>
        <v>70.19</v>
      </c>
      <c r="X84" s="6">
        <f>IF(ISERROR(VLOOKUP($U$84,'TAR FIN'!$A$1:$O$88,15,0)),0,VLOOKUP($U$84,'TAR FIN'!$A$1:$O$88,15,0))</f>
        <v>302.62</v>
      </c>
      <c r="Y84" s="6"/>
      <c r="Z84" s="6">
        <f ca="1">('TUSD BE'!$AM$12+'TUSD BF_350'!$AM$12+'TUSD CVA'!$AM$12)*1</f>
        <v>126.25</v>
      </c>
      <c r="AA84" s="6">
        <f ca="1">('TE BE'!$AB$6+'TE BF_350'!$AB$6+'TE CVA'!$AB$6)*1</f>
        <v>250.04</v>
      </c>
      <c r="AB84" s="6">
        <f>$K$84*$V$84</f>
        <v>0</v>
      </c>
      <c r="AC84" s="6">
        <f>$M$84*$W$84</f>
        <v>10060.402889999999</v>
      </c>
      <c r="AD84" s="6">
        <f>$O$84*$X$84</f>
        <v>43374.827219999999</v>
      </c>
      <c r="AE84" s="6">
        <f>$K$84*$Y$84</f>
        <v>0</v>
      </c>
      <c r="AF84" s="6">
        <f ca="1">$M$84*$Z$84</f>
        <v>18095.53875</v>
      </c>
      <c r="AG84" s="6">
        <f ca="1">$O$84*$AA$84</f>
        <v>35838.483239999994</v>
      </c>
    </row>
    <row r="85" spans="1:33" ht="11.25" customHeight="1" x14ac:dyDescent="0.25">
      <c r="A85" s="4" t="s">
        <v>21</v>
      </c>
      <c r="B85" s="4" t="s">
        <v>34</v>
      </c>
      <c r="C85" s="4" t="s">
        <v>35</v>
      </c>
      <c r="D85" s="4" t="s">
        <v>33</v>
      </c>
      <c r="E85" s="4" t="s">
        <v>25</v>
      </c>
      <c r="F85" s="4" t="s">
        <v>25</v>
      </c>
      <c r="G85" s="4" t="s">
        <v>25</v>
      </c>
      <c r="H85" s="4" t="s">
        <v>37</v>
      </c>
      <c r="I85" s="5">
        <v>44743</v>
      </c>
      <c r="J85" s="6">
        <v>0</v>
      </c>
      <c r="K85" s="6">
        <v>0</v>
      </c>
      <c r="L85" s="6">
        <v>143.77099999999999</v>
      </c>
      <c r="M85" s="6">
        <v>143.77099999999999</v>
      </c>
      <c r="N85" s="6">
        <v>143.77099999999999</v>
      </c>
      <c r="O85" s="6">
        <v>143.77099999999999</v>
      </c>
      <c r="P85" s="6">
        <v>0</v>
      </c>
      <c r="Q85" s="4" t="s">
        <v>26</v>
      </c>
      <c r="R85" s="4">
        <v>0</v>
      </c>
      <c r="S85" s="6">
        <v>0</v>
      </c>
      <c r="T85" s="6">
        <v>8</v>
      </c>
      <c r="U85" s="6">
        <v>51</v>
      </c>
      <c r="V85" s="6">
        <f>IF(ISERROR(VLOOKUP($S$85,'TAR FIN'!$A$1:$O$88,15,0)),0,VLOOKUP($S$85,'TAR FIN'!$A$1:$O$88,15,0))</f>
        <v>0</v>
      </c>
      <c r="W85" s="6">
        <f>IF(ISERROR(VLOOKUP($T$85,'TAR FIN'!$A$1:$O$88,15,0)),0,VLOOKUP($T$85,'TAR FIN'!$A$1:$O$88,15,0))</f>
        <v>70.19</v>
      </c>
      <c r="X85" s="6">
        <f>IF(ISERROR(VLOOKUP($U$85,'TAR FIN'!$A$1:$O$88,15,0)),0,VLOOKUP($U$85,'TAR FIN'!$A$1:$O$88,15,0))</f>
        <v>302.62</v>
      </c>
      <c r="Y85" s="6"/>
      <c r="Z85" s="6">
        <f ca="1">('TUSD BE'!$AM$12+'TUSD BF_350'!$AM$12+'TUSD CVA'!$AM$12)*1</f>
        <v>126.25</v>
      </c>
      <c r="AA85" s="6">
        <f ca="1">('TE BE'!$AB$6+'TE BF_350'!$AB$6+'TE CVA'!$AB$6)*1</f>
        <v>250.04</v>
      </c>
      <c r="AB85" s="6">
        <f>$K$85*$V$85</f>
        <v>0</v>
      </c>
      <c r="AC85" s="6">
        <f>$M$85*$W$85</f>
        <v>10091.286489999999</v>
      </c>
      <c r="AD85" s="6">
        <f>$O$85*$X$85</f>
        <v>43507.980019999995</v>
      </c>
      <c r="AE85" s="6">
        <f>$K$85*$Y$85</f>
        <v>0</v>
      </c>
      <c r="AF85" s="6">
        <f ca="1">$M$85*$Z$85</f>
        <v>18151.088749999999</v>
      </c>
      <c r="AG85" s="6">
        <f ca="1">$O$85*$AA$85</f>
        <v>35948.500839999993</v>
      </c>
    </row>
    <row r="86" spans="1:33" ht="11.25" customHeight="1" x14ac:dyDescent="0.25">
      <c r="A86" s="4" t="s">
        <v>21</v>
      </c>
      <c r="B86" s="4" t="s">
        <v>34</v>
      </c>
      <c r="C86" s="4" t="s">
        <v>35</v>
      </c>
      <c r="D86" s="4" t="s">
        <v>33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44409</v>
      </c>
      <c r="J86" s="6">
        <v>1060</v>
      </c>
      <c r="K86" s="6">
        <v>1060</v>
      </c>
      <c r="L86" s="6">
        <v>0</v>
      </c>
      <c r="M86" s="6">
        <v>0</v>
      </c>
      <c r="N86" s="6">
        <v>0</v>
      </c>
      <c r="O86" s="6">
        <v>0</v>
      </c>
      <c r="P86" s="6">
        <v>6</v>
      </c>
      <c r="Q86" s="4" t="s">
        <v>26</v>
      </c>
      <c r="R86" s="4">
        <v>0</v>
      </c>
      <c r="S86" s="6">
        <v>6</v>
      </c>
      <c r="T86" s="6">
        <v>0</v>
      </c>
      <c r="U86" s="6">
        <v>0</v>
      </c>
      <c r="V86" s="6">
        <f>IF(ISERROR(VLOOKUP($S$86,'TAR FIN'!$A$1:$O$88,15,0)),0,VLOOKUP($S$86,'TAR FIN'!$A$1:$O$88,15,0))</f>
        <v>20.43</v>
      </c>
      <c r="W86" s="6">
        <f>IF(ISERROR(VLOOKUP($T$86,'TAR FIN'!$A$1:$O$88,15,0)),0,VLOOKUP($T$86,'TAR FIN'!$A$1:$O$88,15,0))</f>
        <v>0</v>
      </c>
      <c r="X86" s="6">
        <f>IF(ISERROR(VLOOKUP($U$86,'TAR FIN'!$A$1:$O$88,15,0)),0,VLOOKUP($U$86,'TAR FIN'!$A$1:$O$88,15,0))</f>
        <v>0</v>
      </c>
      <c r="Y86" s="6">
        <f ca="1">('TUSD BE'!$AM$10+'TUSD BF_350'!$AM$10+'TUSD CVA'!$AM$10)*1</f>
        <v>15.64</v>
      </c>
      <c r="Z86" s="6"/>
      <c r="AA86" s="6"/>
      <c r="AB86" s="6">
        <f>$K$86*$V$86</f>
        <v>21655.8</v>
      </c>
      <c r="AC86" s="6">
        <f>$M$86*$W$86</f>
        <v>0</v>
      </c>
      <c r="AD86" s="6">
        <f>$O$86*$X$86</f>
        <v>0</v>
      </c>
      <c r="AE86" s="6">
        <f ca="1">$K$86*$Y$86</f>
        <v>16578.400000000001</v>
      </c>
      <c r="AF86" s="6">
        <f>$M$86*$Z$86</f>
        <v>0</v>
      </c>
      <c r="AG86" s="6">
        <f>$O$86*$AA$86</f>
        <v>0</v>
      </c>
    </row>
    <row r="87" spans="1:33" ht="11.25" customHeight="1" x14ac:dyDescent="0.25">
      <c r="A87" s="4" t="s">
        <v>21</v>
      </c>
      <c r="B87" s="4" t="s">
        <v>34</v>
      </c>
      <c r="C87" s="4" t="s">
        <v>35</v>
      </c>
      <c r="D87" s="4" t="s">
        <v>33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44440</v>
      </c>
      <c r="J87" s="6">
        <v>1057</v>
      </c>
      <c r="K87" s="6">
        <v>1057</v>
      </c>
      <c r="L87" s="6">
        <v>0</v>
      </c>
      <c r="M87" s="6">
        <v>0</v>
      </c>
      <c r="N87" s="6">
        <v>0</v>
      </c>
      <c r="O87" s="6">
        <v>0</v>
      </c>
      <c r="P87" s="6">
        <v>6</v>
      </c>
      <c r="Q87" s="4" t="s">
        <v>26</v>
      </c>
      <c r="R87" s="4">
        <v>0</v>
      </c>
      <c r="S87" s="6">
        <v>6</v>
      </c>
      <c r="T87" s="6">
        <v>0</v>
      </c>
      <c r="U87" s="6">
        <v>0</v>
      </c>
      <c r="V87" s="6">
        <f>IF(ISERROR(VLOOKUP($S$87,'TAR FIN'!$A$1:$O$88,15,0)),0,VLOOKUP($S$87,'TAR FIN'!$A$1:$O$88,15,0))</f>
        <v>20.43</v>
      </c>
      <c r="W87" s="6">
        <f>IF(ISERROR(VLOOKUP($T$87,'TAR FIN'!$A$1:$O$88,15,0)),0,VLOOKUP($T$87,'TAR FIN'!$A$1:$O$88,15,0))</f>
        <v>0</v>
      </c>
      <c r="X87" s="6">
        <f>IF(ISERROR(VLOOKUP($U$87,'TAR FIN'!$A$1:$O$88,15,0)),0,VLOOKUP($U$87,'TAR FIN'!$A$1:$O$88,15,0))</f>
        <v>0</v>
      </c>
      <c r="Y87" s="6">
        <f ca="1">('TUSD BE'!$AM$10+'TUSD BF_350'!$AM$10+'TUSD CVA'!$AM$10)*1</f>
        <v>15.64</v>
      </c>
      <c r="Z87" s="6"/>
      <c r="AA87" s="6"/>
      <c r="AB87" s="6">
        <f>$K$87*$V$87</f>
        <v>21594.51</v>
      </c>
      <c r="AC87" s="6">
        <f>$M$87*$W$87</f>
        <v>0</v>
      </c>
      <c r="AD87" s="6">
        <f>$O$87*$X$87</f>
        <v>0</v>
      </c>
      <c r="AE87" s="6">
        <f ca="1">$K$87*$Y$87</f>
        <v>16531.48</v>
      </c>
      <c r="AF87" s="6">
        <f>$M$87*$Z$87</f>
        <v>0</v>
      </c>
      <c r="AG87" s="6">
        <f>$O$87*$AA$87</f>
        <v>0</v>
      </c>
    </row>
    <row r="88" spans="1:33" ht="11.25" customHeight="1" x14ac:dyDescent="0.25">
      <c r="A88" s="4" t="s">
        <v>21</v>
      </c>
      <c r="B88" s="4" t="s">
        <v>34</v>
      </c>
      <c r="C88" s="4" t="s">
        <v>35</v>
      </c>
      <c r="D88" s="4" t="s">
        <v>33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44470</v>
      </c>
      <c r="J88" s="6">
        <v>955</v>
      </c>
      <c r="K88" s="6">
        <v>955</v>
      </c>
      <c r="L88" s="6">
        <v>0</v>
      </c>
      <c r="M88" s="6">
        <v>0</v>
      </c>
      <c r="N88" s="6">
        <v>0</v>
      </c>
      <c r="O88" s="6">
        <v>0</v>
      </c>
      <c r="P88" s="6">
        <v>6</v>
      </c>
      <c r="Q88" s="4" t="s">
        <v>26</v>
      </c>
      <c r="R88" s="4">
        <v>0</v>
      </c>
      <c r="S88" s="6">
        <v>6</v>
      </c>
      <c r="T88" s="6">
        <v>0</v>
      </c>
      <c r="U88" s="6">
        <v>0</v>
      </c>
      <c r="V88" s="6">
        <f>IF(ISERROR(VLOOKUP($S$88,'TAR FIN'!$A$1:$O$88,15,0)),0,VLOOKUP($S$88,'TAR FIN'!$A$1:$O$88,15,0))</f>
        <v>20.43</v>
      </c>
      <c r="W88" s="6">
        <f>IF(ISERROR(VLOOKUP($T$88,'TAR FIN'!$A$1:$O$88,15,0)),0,VLOOKUP($T$88,'TAR FIN'!$A$1:$O$88,15,0))</f>
        <v>0</v>
      </c>
      <c r="X88" s="6">
        <f>IF(ISERROR(VLOOKUP($U$88,'TAR FIN'!$A$1:$O$88,15,0)),0,VLOOKUP($U$88,'TAR FIN'!$A$1:$O$88,15,0))</f>
        <v>0</v>
      </c>
      <c r="Y88" s="6">
        <f ca="1">('TUSD BE'!$AM$10+'TUSD BF_350'!$AM$10+'TUSD CVA'!$AM$10)*1</f>
        <v>15.64</v>
      </c>
      <c r="Z88" s="6"/>
      <c r="AA88" s="6"/>
      <c r="AB88" s="6">
        <f>$K$88*$V$88</f>
        <v>19510.650000000001</v>
      </c>
      <c r="AC88" s="6">
        <f>$M$88*$W$88</f>
        <v>0</v>
      </c>
      <c r="AD88" s="6">
        <f>$O$88*$X$88</f>
        <v>0</v>
      </c>
      <c r="AE88" s="6">
        <f ca="1">$K$88*$Y$88</f>
        <v>14936.2</v>
      </c>
      <c r="AF88" s="6">
        <f>$M$88*$Z$88</f>
        <v>0</v>
      </c>
      <c r="AG88" s="6">
        <f>$O$88*$AA$88</f>
        <v>0</v>
      </c>
    </row>
    <row r="89" spans="1:33" ht="11.25" customHeight="1" x14ac:dyDescent="0.25">
      <c r="A89" s="4" t="s">
        <v>21</v>
      </c>
      <c r="B89" s="4" t="s">
        <v>34</v>
      </c>
      <c r="C89" s="4" t="s">
        <v>35</v>
      </c>
      <c r="D89" s="4" t="s">
        <v>33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44501</v>
      </c>
      <c r="J89" s="6">
        <v>983</v>
      </c>
      <c r="K89" s="6">
        <v>983</v>
      </c>
      <c r="L89" s="6">
        <v>0</v>
      </c>
      <c r="M89" s="6">
        <v>0</v>
      </c>
      <c r="N89" s="6">
        <v>0</v>
      </c>
      <c r="O89" s="6">
        <v>0</v>
      </c>
      <c r="P89" s="6">
        <v>6</v>
      </c>
      <c r="Q89" s="4" t="s">
        <v>26</v>
      </c>
      <c r="R89" s="4">
        <v>0</v>
      </c>
      <c r="S89" s="6">
        <v>6</v>
      </c>
      <c r="T89" s="6">
        <v>0</v>
      </c>
      <c r="U89" s="6">
        <v>0</v>
      </c>
      <c r="V89" s="6">
        <f>IF(ISERROR(VLOOKUP($S$89,'TAR FIN'!$A$1:$O$88,15,0)),0,VLOOKUP($S$89,'TAR FIN'!$A$1:$O$88,15,0))</f>
        <v>20.43</v>
      </c>
      <c r="W89" s="6">
        <f>IF(ISERROR(VLOOKUP($T$89,'TAR FIN'!$A$1:$O$88,15,0)),0,VLOOKUP($T$89,'TAR FIN'!$A$1:$O$88,15,0))</f>
        <v>0</v>
      </c>
      <c r="X89" s="6">
        <f>IF(ISERROR(VLOOKUP($U$89,'TAR FIN'!$A$1:$O$88,15,0)),0,VLOOKUP($U$89,'TAR FIN'!$A$1:$O$88,15,0))</f>
        <v>0</v>
      </c>
      <c r="Y89" s="6">
        <f ca="1">('TUSD BE'!$AM$10+'TUSD BF_350'!$AM$10+'TUSD CVA'!$AM$10)*1</f>
        <v>15.64</v>
      </c>
      <c r="Z89" s="6"/>
      <c r="AA89" s="6"/>
      <c r="AB89" s="6">
        <f>$K$89*$V$89</f>
        <v>20082.689999999999</v>
      </c>
      <c r="AC89" s="6">
        <f>$M$89*$W$89</f>
        <v>0</v>
      </c>
      <c r="AD89" s="6">
        <f>$O$89*$X$89</f>
        <v>0</v>
      </c>
      <c r="AE89" s="6">
        <f ca="1">$K$89*$Y$89</f>
        <v>15374.12</v>
      </c>
      <c r="AF89" s="6">
        <f>$M$89*$Z$89</f>
        <v>0</v>
      </c>
      <c r="AG89" s="6">
        <f>$O$89*$AA$89</f>
        <v>0</v>
      </c>
    </row>
    <row r="90" spans="1:33" ht="11.25" customHeight="1" x14ac:dyDescent="0.25">
      <c r="A90" s="4" t="s">
        <v>21</v>
      </c>
      <c r="B90" s="4" t="s">
        <v>34</v>
      </c>
      <c r="C90" s="4" t="s">
        <v>35</v>
      </c>
      <c r="D90" s="4" t="s">
        <v>33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44531</v>
      </c>
      <c r="J90" s="6">
        <v>1079</v>
      </c>
      <c r="K90" s="6">
        <v>1079</v>
      </c>
      <c r="L90" s="6">
        <v>0</v>
      </c>
      <c r="M90" s="6">
        <v>0</v>
      </c>
      <c r="N90" s="6">
        <v>0</v>
      </c>
      <c r="O90" s="6">
        <v>0</v>
      </c>
      <c r="P90" s="6">
        <v>6</v>
      </c>
      <c r="Q90" s="4" t="s">
        <v>26</v>
      </c>
      <c r="R90" s="4">
        <v>0</v>
      </c>
      <c r="S90" s="6">
        <v>6</v>
      </c>
      <c r="T90" s="6">
        <v>0</v>
      </c>
      <c r="U90" s="6">
        <v>0</v>
      </c>
      <c r="V90" s="6">
        <f>IF(ISERROR(VLOOKUP($S$90,'TAR FIN'!$A$1:$O$88,15,0)),0,VLOOKUP($S$90,'TAR FIN'!$A$1:$O$88,15,0))</f>
        <v>20.43</v>
      </c>
      <c r="W90" s="6">
        <f>IF(ISERROR(VLOOKUP($T$90,'TAR FIN'!$A$1:$O$88,15,0)),0,VLOOKUP($T$90,'TAR FIN'!$A$1:$O$88,15,0))</f>
        <v>0</v>
      </c>
      <c r="X90" s="6">
        <f>IF(ISERROR(VLOOKUP($U$90,'TAR FIN'!$A$1:$O$88,15,0)),0,VLOOKUP($U$90,'TAR FIN'!$A$1:$O$88,15,0))</f>
        <v>0</v>
      </c>
      <c r="Y90" s="6">
        <f ca="1">('TUSD BE'!$AM$10+'TUSD BF_350'!$AM$10+'TUSD CVA'!$AM$10)*1</f>
        <v>15.64</v>
      </c>
      <c r="Z90" s="6"/>
      <c r="AA90" s="6"/>
      <c r="AB90" s="6">
        <f>$K$90*$V$90</f>
        <v>22043.97</v>
      </c>
      <c r="AC90" s="6">
        <f>$M$90*$W$90</f>
        <v>0</v>
      </c>
      <c r="AD90" s="6">
        <f>$O$90*$X$90</f>
        <v>0</v>
      </c>
      <c r="AE90" s="6">
        <f ca="1">$K$90*$Y$90</f>
        <v>16875.560000000001</v>
      </c>
      <c r="AF90" s="6">
        <f>$M$90*$Z$90</f>
        <v>0</v>
      </c>
      <c r="AG90" s="6">
        <f>$O$90*$AA$90</f>
        <v>0</v>
      </c>
    </row>
    <row r="91" spans="1:33" ht="11.25" customHeight="1" x14ac:dyDescent="0.25">
      <c r="A91" s="4" t="s">
        <v>21</v>
      </c>
      <c r="B91" s="4" t="s">
        <v>34</v>
      </c>
      <c r="C91" s="4" t="s">
        <v>35</v>
      </c>
      <c r="D91" s="4" t="s">
        <v>33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44562</v>
      </c>
      <c r="J91" s="6">
        <v>874</v>
      </c>
      <c r="K91" s="6">
        <v>874</v>
      </c>
      <c r="L91" s="6">
        <v>0</v>
      </c>
      <c r="M91" s="6">
        <v>0</v>
      </c>
      <c r="N91" s="6">
        <v>0</v>
      </c>
      <c r="O91" s="6">
        <v>0</v>
      </c>
      <c r="P91" s="6">
        <v>6</v>
      </c>
      <c r="Q91" s="4" t="s">
        <v>26</v>
      </c>
      <c r="R91" s="4">
        <v>0</v>
      </c>
      <c r="S91" s="6">
        <v>6</v>
      </c>
      <c r="T91" s="6">
        <v>0</v>
      </c>
      <c r="U91" s="6">
        <v>0</v>
      </c>
      <c r="V91" s="6">
        <f>IF(ISERROR(VLOOKUP($S$91,'TAR FIN'!$A$1:$O$88,15,0)),0,VLOOKUP($S$91,'TAR FIN'!$A$1:$O$88,15,0))</f>
        <v>20.43</v>
      </c>
      <c r="W91" s="6">
        <f>IF(ISERROR(VLOOKUP($T$91,'TAR FIN'!$A$1:$O$88,15,0)),0,VLOOKUP($T$91,'TAR FIN'!$A$1:$O$88,15,0))</f>
        <v>0</v>
      </c>
      <c r="X91" s="6">
        <f>IF(ISERROR(VLOOKUP($U$91,'TAR FIN'!$A$1:$O$88,15,0)),0,VLOOKUP($U$91,'TAR FIN'!$A$1:$O$88,15,0))</f>
        <v>0</v>
      </c>
      <c r="Y91" s="6">
        <f ca="1">('TUSD BE'!$AM$10+'TUSD BF_350'!$AM$10+'TUSD CVA'!$AM$10)*1</f>
        <v>15.64</v>
      </c>
      <c r="Z91" s="6"/>
      <c r="AA91" s="6"/>
      <c r="AB91" s="6">
        <f>$K$91*$V$91</f>
        <v>17855.82</v>
      </c>
      <c r="AC91" s="6">
        <f>$M$91*$W$91</f>
        <v>0</v>
      </c>
      <c r="AD91" s="6">
        <f>$O$91*$X$91</f>
        <v>0</v>
      </c>
      <c r="AE91" s="6">
        <f ca="1">$K$91*$Y$91</f>
        <v>13669.36</v>
      </c>
      <c r="AF91" s="6">
        <f>$M$91*$Z$91</f>
        <v>0</v>
      </c>
      <c r="AG91" s="6">
        <f>$O$91*$AA$91</f>
        <v>0</v>
      </c>
    </row>
    <row r="92" spans="1:33" ht="11.25" customHeight="1" x14ac:dyDescent="0.25">
      <c r="A92" s="4" t="s">
        <v>21</v>
      </c>
      <c r="B92" s="4" t="s">
        <v>34</v>
      </c>
      <c r="C92" s="4" t="s">
        <v>35</v>
      </c>
      <c r="D92" s="4" t="s">
        <v>33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44593</v>
      </c>
      <c r="J92" s="6">
        <v>936</v>
      </c>
      <c r="K92" s="6">
        <v>936</v>
      </c>
      <c r="L92" s="6">
        <v>0</v>
      </c>
      <c r="M92" s="6">
        <v>0</v>
      </c>
      <c r="N92" s="6">
        <v>0</v>
      </c>
      <c r="O92" s="6">
        <v>0</v>
      </c>
      <c r="P92" s="6">
        <v>7</v>
      </c>
      <c r="Q92" s="4" t="s">
        <v>26</v>
      </c>
      <c r="R92" s="4">
        <v>0</v>
      </c>
      <c r="S92" s="6">
        <v>6</v>
      </c>
      <c r="T92" s="6">
        <v>0</v>
      </c>
      <c r="U92" s="6">
        <v>0</v>
      </c>
      <c r="V92" s="6">
        <f>IF(ISERROR(VLOOKUP($S$92,'TAR FIN'!$A$1:$O$88,15,0)),0,VLOOKUP($S$92,'TAR FIN'!$A$1:$O$88,15,0))</f>
        <v>20.43</v>
      </c>
      <c r="W92" s="6">
        <f>IF(ISERROR(VLOOKUP($T$92,'TAR FIN'!$A$1:$O$88,15,0)),0,VLOOKUP($T$92,'TAR FIN'!$A$1:$O$88,15,0))</f>
        <v>0</v>
      </c>
      <c r="X92" s="6">
        <f>IF(ISERROR(VLOOKUP($U$92,'TAR FIN'!$A$1:$O$88,15,0)),0,VLOOKUP($U$92,'TAR FIN'!$A$1:$O$88,15,0))</f>
        <v>0</v>
      </c>
      <c r="Y92" s="6">
        <f ca="1">('TUSD BE'!$AM$10+'TUSD BF_350'!$AM$10+'TUSD CVA'!$AM$10)*1</f>
        <v>15.64</v>
      </c>
      <c r="Z92" s="6"/>
      <c r="AA92" s="6"/>
      <c r="AB92" s="6">
        <f>$K$92*$V$92</f>
        <v>19122.48</v>
      </c>
      <c r="AC92" s="6">
        <f>$M$92*$W$92</f>
        <v>0</v>
      </c>
      <c r="AD92" s="6">
        <f>$O$92*$X$92</f>
        <v>0</v>
      </c>
      <c r="AE92" s="6">
        <f ca="1">$K$92*$Y$92</f>
        <v>14639.04</v>
      </c>
      <c r="AF92" s="6">
        <f>$M$92*$Z$92</f>
        <v>0</v>
      </c>
      <c r="AG92" s="6">
        <f>$O$92*$AA$92</f>
        <v>0</v>
      </c>
    </row>
    <row r="93" spans="1:33" ht="11.25" customHeight="1" x14ac:dyDescent="0.25">
      <c r="A93" s="4" t="s">
        <v>21</v>
      </c>
      <c r="B93" s="4" t="s">
        <v>34</v>
      </c>
      <c r="C93" s="4" t="s">
        <v>35</v>
      </c>
      <c r="D93" s="4" t="s">
        <v>33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44621</v>
      </c>
      <c r="J93" s="6">
        <v>887</v>
      </c>
      <c r="K93" s="6">
        <v>887</v>
      </c>
      <c r="L93" s="6">
        <v>0</v>
      </c>
      <c r="M93" s="6">
        <v>0</v>
      </c>
      <c r="N93" s="6">
        <v>0</v>
      </c>
      <c r="O93" s="6">
        <v>0</v>
      </c>
      <c r="P93" s="6">
        <v>6</v>
      </c>
      <c r="Q93" s="4" t="s">
        <v>26</v>
      </c>
      <c r="R93" s="4">
        <v>0</v>
      </c>
      <c r="S93" s="6">
        <v>6</v>
      </c>
      <c r="T93" s="6">
        <v>0</v>
      </c>
      <c r="U93" s="6">
        <v>0</v>
      </c>
      <c r="V93" s="6">
        <f>IF(ISERROR(VLOOKUP($S$93,'TAR FIN'!$A$1:$O$88,15,0)),0,VLOOKUP($S$93,'TAR FIN'!$A$1:$O$88,15,0))</f>
        <v>20.43</v>
      </c>
      <c r="W93" s="6">
        <f>IF(ISERROR(VLOOKUP($T$93,'TAR FIN'!$A$1:$O$88,15,0)),0,VLOOKUP($T$93,'TAR FIN'!$A$1:$O$88,15,0))</f>
        <v>0</v>
      </c>
      <c r="X93" s="6">
        <f>IF(ISERROR(VLOOKUP($U$93,'TAR FIN'!$A$1:$O$88,15,0)),0,VLOOKUP($U$93,'TAR FIN'!$A$1:$O$88,15,0))</f>
        <v>0</v>
      </c>
      <c r="Y93" s="6">
        <f ca="1">('TUSD BE'!$AM$10+'TUSD BF_350'!$AM$10+'TUSD CVA'!$AM$10)*1</f>
        <v>15.64</v>
      </c>
      <c r="Z93" s="6"/>
      <c r="AA93" s="6"/>
      <c r="AB93" s="6">
        <f>$K$93*$V$93</f>
        <v>18121.41</v>
      </c>
      <c r="AC93" s="6">
        <f>$M$93*$W$93</f>
        <v>0</v>
      </c>
      <c r="AD93" s="6">
        <f>$O$93*$X$93</f>
        <v>0</v>
      </c>
      <c r="AE93" s="6">
        <f ca="1">$K$93*$Y$93</f>
        <v>13872.68</v>
      </c>
      <c r="AF93" s="6">
        <f>$M$93*$Z$93</f>
        <v>0</v>
      </c>
      <c r="AG93" s="6">
        <f>$O$93*$AA$93</f>
        <v>0</v>
      </c>
    </row>
    <row r="94" spans="1:33" ht="11.25" customHeight="1" x14ac:dyDescent="0.25">
      <c r="A94" s="4" t="s">
        <v>21</v>
      </c>
      <c r="B94" s="4" t="s">
        <v>34</v>
      </c>
      <c r="C94" s="4" t="s">
        <v>35</v>
      </c>
      <c r="D94" s="4" t="s">
        <v>33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44652</v>
      </c>
      <c r="J94" s="6">
        <v>923</v>
      </c>
      <c r="K94" s="6">
        <v>923</v>
      </c>
      <c r="L94" s="6">
        <v>0</v>
      </c>
      <c r="M94" s="6">
        <v>0</v>
      </c>
      <c r="N94" s="6">
        <v>0</v>
      </c>
      <c r="O94" s="6">
        <v>0</v>
      </c>
      <c r="P94" s="6">
        <v>6</v>
      </c>
      <c r="Q94" s="4" t="s">
        <v>26</v>
      </c>
      <c r="R94" s="4">
        <v>0</v>
      </c>
      <c r="S94" s="6">
        <v>6</v>
      </c>
      <c r="T94" s="6">
        <v>0</v>
      </c>
      <c r="U94" s="6">
        <v>0</v>
      </c>
      <c r="V94" s="6">
        <f>IF(ISERROR(VLOOKUP($S$94,'TAR FIN'!$A$1:$O$88,15,0)),0,VLOOKUP($S$94,'TAR FIN'!$A$1:$O$88,15,0))</f>
        <v>20.43</v>
      </c>
      <c r="W94" s="6">
        <f>IF(ISERROR(VLOOKUP($T$94,'TAR FIN'!$A$1:$O$88,15,0)),0,VLOOKUP($T$94,'TAR FIN'!$A$1:$O$88,15,0))</f>
        <v>0</v>
      </c>
      <c r="X94" s="6">
        <f>IF(ISERROR(VLOOKUP($U$94,'TAR FIN'!$A$1:$O$88,15,0)),0,VLOOKUP($U$94,'TAR FIN'!$A$1:$O$88,15,0))</f>
        <v>0</v>
      </c>
      <c r="Y94" s="6">
        <f ca="1">('TUSD BE'!$AM$10+'TUSD BF_350'!$AM$10+'TUSD CVA'!$AM$10)*1</f>
        <v>15.64</v>
      </c>
      <c r="Z94" s="6"/>
      <c r="AA94" s="6"/>
      <c r="AB94" s="6">
        <f>$K$94*$V$94</f>
        <v>18856.89</v>
      </c>
      <c r="AC94" s="6">
        <f>$M$94*$W$94</f>
        <v>0</v>
      </c>
      <c r="AD94" s="6">
        <f>$O$94*$X$94</f>
        <v>0</v>
      </c>
      <c r="AE94" s="6">
        <f ca="1">$K$94*$Y$94</f>
        <v>14435.720000000001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21</v>
      </c>
      <c r="B95" s="4" t="s">
        <v>34</v>
      </c>
      <c r="C95" s="4" t="s">
        <v>35</v>
      </c>
      <c r="D95" s="4" t="s">
        <v>33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44682</v>
      </c>
      <c r="J95" s="6">
        <v>902</v>
      </c>
      <c r="K95" s="6">
        <v>902</v>
      </c>
      <c r="L95" s="6">
        <v>0</v>
      </c>
      <c r="M95" s="6">
        <v>0</v>
      </c>
      <c r="N95" s="6">
        <v>0</v>
      </c>
      <c r="O95" s="6">
        <v>0</v>
      </c>
      <c r="P95" s="6">
        <v>6</v>
      </c>
      <c r="Q95" s="4" t="s">
        <v>26</v>
      </c>
      <c r="R95" s="4">
        <v>0</v>
      </c>
      <c r="S95" s="6">
        <v>6</v>
      </c>
      <c r="T95" s="6">
        <v>0</v>
      </c>
      <c r="U95" s="6">
        <v>0</v>
      </c>
      <c r="V95" s="6">
        <f>IF(ISERROR(VLOOKUP($S$95,'TAR FIN'!$A$1:$O$88,15,0)),0,VLOOKUP($S$95,'TAR FIN'!$A$1:$O$88,15,0))</f>
        <v>20.43</v>
      </c>
      <c r="W95" s="6">
        <f>IF(ISERROR(VLOOKUP($T$95,'TAR FIN'!$A$1:$O$88,15,0)),0,VLOOKUP($T$95,'TAR FIN'!$A$1:$O$88,15,0))</f>
        <v>0</v>
      </c>
      <c r="X95" s="6">
        <f>IF(ISERROR(VLOOKUP($U$95,'TAR FIN'!$A$1:$O$88,15,0)),0,VLOOKUP($U$95,'TAR FIN'!$A$1:$O$88,15,0))</f>
        <v>0</v>
      </c>
      <c r="Y95" s="6">
        <f ca="1">('TUSD BE'!$AM$10+'TUSD BF_350'!$AM$10+'TUSD CVA'!$AM$10)*1</f>
        <v>15.64</v>
      </c>
      <c r="Z95" s="6"/>
      <c r="AA95" s="6"/>
      <c r="AB95" s="6">
        <f>$K$95*$V$95</f>
        <v>18427.86</v>
      </c>
      <c r="AC95" s="6">
        <f>$M$95*$W$95</f>
        <v>0</v>
      </c>
      <c r="AD95" s="6">
        <f>$O$95*$X$95</f>
        <v>0</v>
      </c>
      <c r="AE95" s="6">
        <f ca="1">$K$95*$Y$95</f>
        <v>14107.28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21</v>
      </c>
      <c r="B96" s="4" t="s">
        <v>34</v>
      </c>
      <c r="C96" s="4" t="s">
        <v>35</v>
      </c>
      <c r="D96" s="4" t="s">
        <v>33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931</v>
      </c>
      <c r="K96" s="6">
        <v>931</v>
      </c>
      <c r="L96" s="6">
        <v>0</v>
      </c>
      <c r="M96" s="6">
        <v>0</v>
      </c>
      <c r="N96" s="6">
        <v>0</v>
      </c>
      <c r="O96" s="6">
        <v>0</v>
      </c>
      <c r="P96" s="6">
        <v>6</v>
      </c>
      <c r="Q96" s="4" t="s">
        <v>26</v>
      </c>
      <c r="R96" s="4">
        <v>0</v>
      </c>
      <c r="S96" s="6">
        <v>6</v>
      </c>
      <c r="T96" s="6">
        <v>0</v>
      </c>
      <c r="U96" s="6">
        <v>0</v>
      </c>
      <c r="V96" s="6">
        <f>IF(ISERROR(VLOOKUP($S$96,'TAR FIN'!$A$1:$O$88,15,0)),0,VLOOKUP($S$96,'TAR FIN'!$A$1:$O$88,15,0))</f>
        <v>20.43</v>
      </c>
      <c r="W96" s="6">
        <f>IF(ISERROR(VLOOKUP($T$96,'TAR FIN'!$A$1:$O$88,15,0)),0,VLOOKUP($T$96,'TAR FIN'!$A$1:$O$88,15,0))</f>
        <v>0</v>
      </c>
      <c r="X96" s="6">
        <f>IF(ISERROR(VLOOKUP($U$96,'TAR FIN'!$A$1:$O$88,15,0)),0,VLOOKUP($U$96,'TAR FIN'!$A$1:$O$88,15,0))</f>
        <v>0</v>
      </c>
      <c r="Y96" s="6">
        <f ca="1">('TUSD BE'!$AM$10+'TUSD BF_350'!$AM$10+'TUSD CVA'!$AM$10)*1</f>
        <v>15.64</v>
      </c>
      <c r="Z96" s="6"/>
      <c r="AA96" s="6"/>
      <c r="AB96" s="6">
        <f>$K$96*$V$96</f>
        <v>19020.329999999998</v>
      </c>
      <c r="AC96" s="6">
        <f>$M$96*$W$96</f>
        <v>0</v>
      </c>
      <c r="AD96" s="6">
        <f>$O$96*$X$96</f>
        <v>0</v>
      </c>
      <c r="AE96" s="6">
        <f ca="1">$K$96*$Y$96</f>
        <v>14560.84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21</v>
      </c>
      <c r="B97" s="4" t="s">
        <v>34</v>
      </c>
      <c r="C97" s="4" t="s">
        <v>35</v>
      </c>
      <c r="D97" s="4" t="s">
        <v>33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44743</v>
      </c>
      <c r="J97" s="6">
        <v>930</v>
      </c>
      <c r="K97" s="6">
        <v>930</v>
      </c>
      <c r="L97" s="6">
        <v>0</v>
      </c>
      <c r="M97" s="6">
        <v>0</v>
      </c>
      <c r="N97" s="6">
        <v>0</v>
      </c>
      <c r="O97" s="6">
        <v>0</v>
      </c>
      <c r="P97" s="6">
        <v>6</v>
      </c>
      <c r="Q97" s="4" t="s">
        <v>26</v>
      </c>
      <c r="R97" s="4">
        <v>0</v>
      </c>
      <c r="S97" s="6">
        <v>6</v>
      </c>
      <c r="T97" s="6">
        <v>0</v>
      </c>
      <c r="U97" s="6">
        <v>0</v>
      </c>
      <c r="V97" s="6">
        <f>IF(ISERROR(VLOOKUP($S$97,'TAR FIN'!$A$1:$O$88,15,0)),0,VLOOKUP($S$97,'TAR FIN'!$A$1:$O$88,15,0))</f>
        <v>20.43</v>
      </c>
      <c r="W97" s="6">
        <f>IF(ISERROR(VLOOKUP($T$97,'TAR FIN'!$A$1:$O$88,15,0)),0,VLOOKUP($T$97,'TAR FIN'!$A$1:$O$88,15,0))</f>
        <v>0</v>
      </c>
      <c r="X97" s="6">
        <f>IF(ISERROR(VLOOKUP($U$97,'TAR FIN'!$A$1:$O$88,15,0)),0,VLOOKUP($U$97,'TAR FIN'!$A$1:$O$88,15,0))</f>
        <v>0</v>
      </c>
      <c r="Y97" s="6">
        <f ca="1">('TUSD BE'!$AM$10+'TUSD BF_350'!$AM$10+'TUSD CVA'!$AM$10)*1</f>
        <v>15.64</v>
      </c>
      <c r="Z97" s="6"/>
      <c r="AA97" s="6"/>
      <c r="AB97" s="6">
        <f>$K$97*$V$97</f>
        <v>18999.900000000001</v>
      </c>
      <c r="AC97" s="6">
        <f>$M$97*$W$97</f>
        <v>0</v>
      </c>
      <c r="AD97" s="6">
        <f>$O$97*$X$97</f>
        <v>0</v>
      </c>
      <c r="AE97" s="6">
        <f ca="1">$K$97*$Y$97</f>
        <v>14545.2</v>
      </c>
      <c r="AF97" s="6">
        <f>$M$97*$Z$97</f>
        <v>0</v>
      </c>
      <c r="AG97" s="6">
        <f>$O$97*$AA$97</f>
        <v>0</v>
      </c>
    </row>
    <row r="98" spans="1:33" ht="11.25" customHeight="1" x14ac:dyDescent="0.25">
      <c r="A98" s="4" t="s">
        <v>21</v>
      </c>
      <c r="B98" s="4" t="s">
        <v>34</v>
      </c>
      <c r="C98" s="4" t="s">
        <v>35</v>
      </c>
      <c r="D98" s="4" t="s">
        <v>33</v>
      </c>
      <c r="E98" s="4" t="s">
        <v>25</v>
      </c>
      <c r="F98" s="4" t="s">
        <v>25</v>
      </c>
      <c r="G98" s="4" t="s">
        <v>25</v>
      </c>
      <c r="H98" s="4" t="s">
        <v>36</v>
      </c>
      <c r="I98" s="5">
        <v>44409</v>
      </c>
      <c r="J98" s="6">
        <v>0</v>
      </c>
      <c r="K98" s="6">
        <v>0</v>
      </c>
      <c r="L98" s="6">
        <v>9.4670000000000005</v>
      </c>
      <c r="M98" s="6">
        <v>9.4670000000000005</v>
      </c>
      <c r="N98" s="6">
        <v>9.4670000000000005</v>
      </c>
      <c r="O98" s="6">
        <v>9.4670000000000005</v>
      </c>
      <c r="P98" s="6">
        <v>0</v>
      </c>
      <c r="Q98" s="4" t="s">
        <v>26</v>
      </c>
      <c r="R98" s="4">
        <v>0</v>
      </c>
      <c r="S98" s="6">
        <v>0</v>
      </c>
      <c r="T98" s="6">
        <v>7</v>
      </c>
      <c r="U98" s="6">
        <v>50</v>
      </c>
      <c r="V98" s="6">
        <f>IF(ISERROR(VLOOKUP($S$98,'TAR FIN'!$A$1:$O$88,15,0)),0,VLOOKUP($S$98,'TAR FIN'!$A$1:$O$88,15,0))</f>
        <v>0</v>
      </c>
      <c r="W98" s="6">
        <f>IF(ISERROR(VLOOKUP($T$98,'TAR FIN'!$A$1:$O$88,15,0)),0,VLOOKUP($T$98,'TAR FIN'!$A$1:$O$88,15,0))</f>
        <v>1419.25</v>
      </c>
      <c r="X98" s="6">
        <f>IF(ISERROR(VLOOKUP($U$98,'TAR FIN'!$A$1:$O$88,15,0)),0,VLOOKUP($U$98,'TAR FIN'!$A$1:$O$88,15,0))</f>
        <v>518.44000000000005</v>
      </c>
      <c r="Y98" s="6"/>
      <c r="Z98" s="6">
        <f ca="1">('TUSD BE'!$AM$11+'TUSD BF_350'!$AM$11+'TUSD CVA'!$AM$11)*1</f>
        <v>911.84</v>
      </c>
      <c r="AA98" s="6">
        <f ca="1">('TE BE'!$AB$5+'TE BF_350'!$AB$5+'TE CVA'!$AB$5)*1</f>
        <v>399.84</v>
      </c>
      <c r="AB98" s="6">
        <f>$K$98*$V$98</f>
        <v>0</v>
      </c>
      <c r="AC98" s="6">
        <f>$M$98*$W$98</f>
        <v>13436.03975</v>
      </c>
      <c r="AD98" s="6">
        <f>$O$98*$X$98</f>
        <v>4908.0714800000005</v>
      </c>
      <c r="AE98" s="6">
        <f>$K$98*$Y$98</f>
        <v>0</v>
      </c>
      <c r="AF98" s="6">
        <f ca="1">$M$98*$Z$98</f>
        <v>8632.3892800000012</v>
      </c>
      <c r="AG98" s="6">
        <f ca="1">$O$98*$AA$98</f>
        <v>3785.2852800000001</v>
      </c>
    </row>
    <row r="99" spans="1:33" ht="11.25" customHeight="1" x14ac:dyDescent="0.25">
      <c r="A99" s="4" t="s">
        <v>21</v>
      </c>
      <c r="B99" s="4" t="s">
        <v>34</v>
      </c>
      <c r="C99" s="4" t="s">
        <v>35</v>
      </c>
      <c r="D99" s="4" t="s">
        <v>33</v>
      </c>
      <c r="E99" s="4" t="s">
        <v>25</v>
      </c>
      <c r="F99" s="4" t="s">
        <v>25</v>
      </c>
      <c r="G99" s="4" t="s">
        <v>25</v>
      </c>
      <c r="H99" s="4" t="s">
        <v>36</v>
      </c>
      <c r="I99" s="5">
        <v>44440</v>
      </c>
      <c r="J99" s="6">
        <v>0</v>
      </c>
      <c r="K99" s="6">
        <v>0</v>
      </c>
      <c r="L99" s="6">
        <v>8.6820000000000004</v>
      </c>
      <c r="M99" s="6">
        <v>8.6820000000000004</v>
      </c>
      <c r="N99" s="6">
        <v>8.6820000000000004</v>
      </c>
      <c r="O99" s="6">
        <v>8.6820000000000004</v>
      </c>
      <c r="P99" s="6">
        <v>0</v>
      </c>
      <c r="Q99" s="4" t="s">
        <v>26</v>
      </c>
      <c r="R99" s="4">
        <v>0</v>
      </c>
      <c r="S99" s="6">
        <v>0</v>
      </c>
      <c r="T99" s="6">
        <v>7</v>
      </c>
      <c r="U99" s="6">
        <v>50</v>
      </c>
      <c r="V99" s="6">
        <f>IF(ISERROR(VLOOKUP($S$99,'TAR FIN'!$A$1:$O$88,15,0)),0,VLOOKUP($S$99,'TAR FIN'!$A$1:$O$88,15,0))</f>
        <v>0</v>
      </c>
      <c r="W99" s="6">
        <f>IF(ISERROR(VLOOKUP($T$99,'TAR FIN'!$A$1:$O$88,15,0)),0,VLOOKUP($T$99,'TAR FIN'!$A$1:$O$88,15,0))</f>
        <v>1419.25</v>
      </c>
      <c r="X99" s="6">
        <f>IF(ISERROR(VLOOKUP($U$99,'TAR FIN'!$A$1:$O$88,15,0)),0,VLOOKUP($U$99,'TAR FIN'!$A$1:$O$88,15,0))</f>
        <v>518.44000000000005</v>
      </c>
      <c r="Y99" s="6"/>
      <c r="Z99" s="6">
        <f ca="1">('TUSD BE'!$AM$11+'TUSD BF_350'!$AM$11+'TUSD CVA'!$AM$11)*1</f>
        <v>911.84</v>
      </c>
      <c r="AA99" s="6">
        <f ca="1">('TE BE'!$AB$5+'TE BF_350'!$AB$5+'TE CVA'!$AB$5)*1</f>
        <v>399.84</v>
      </c>
      <c r="AB99" s="6">
        <f>$K$99*$V$99</f>
        <v>0</v>
      </c>
      <c r="AC99" s="6">
        <f>$M$99*$W$99</f>
        <v>12321.9285</v>
      </c>
      <c r="AD99" s="6">
        <f>$O$99*$X$99</f>
        <v>4501.0960800000003</v>
      </c>
      <c r="AE99" s="6">
        <f>$K$99*$Y$99</f>
        <v>0</v>
      </c>
      <c r="AF99" s="6">
        <f ca="1">$M$99*$Z$99</f>
        <v>7916.5948800000006</v>
      </c>
      <c r="AG99" s="6">
        <f ca="1">$O$99*$AA$99</f>
        <v>3471.4108799999999</v>
      </c>
    </row>
    <row r="100" spans="1:33" ht="11.25" customHeight="1" x14ac:dyDescent="0.25">
      <c r="A100" s="4" t="s">
        <v>21</v>
      </c>
      <c r="B100" s="4" t="s">
        <v>34</v>
      </c>
      <c r="C100" s="4" t="s">
        <v>35</v>
      </c>
      <c r="D100" s="4" t="s">
        <v>33</v>
      </c>
      <c r="E100" s="4" t="s">
        <v>25</v>
      </c>
      <c r="F100" s="4" t="s">
        <v>25</v>
      </c>
      <c r="G100" s="4" t="s">
        <v>25</v>
      </c>
      <c r="H100" s="4" t="s">
        <v>36</v>
      </c>
      <c r="I100" s="5">
        <v>44470</v>
      </c>
      <c r="J100" s="6">
        <v>0</v>
      </c>
      <c r="K100" s="6">
        <v>0</v>
      </c>
      <c r="L100" s="6">
        <v>7.7679999999999998</v>
      </c>
      <c r="M100" s="6">
        <v>7.7679999999999998</v>
      </c>
      <c r="N100" s="6">
        <v>7.7679999999999998</v>
      </c>
      <c r="O100" s="6">
        <v>7.7679999999999998</v>
      </c>
      <c r="P100" s="6">
        <v>0</v>
      </c>
      <c r="Q100" s="4" t="s">
        <v>26</v>
      </c>
      <c r="R100" s="4">
        <v>0</v>
      </c>
      <c r="S100" s="6">
        <v>0</v>
      </c>
      <c r="T100" s="6">
        <v>7</v>
      </c>
      <c r="U100" s="6">
        <v>50</v>
      </c>
      <c r="V100" s="6">
        <f>IF(ISERROR(VLOOKUP($S$100,'TAR FIN'!$A$1:$O$88,15,0)),0,VLOOKUP($S$100,'TAR FIN'!$A$1:$O$88,15,0))</f>
        <v>0</v>
      </c>
      <c r="W100" s="6">
        <f>IF(ISERROR(VLOOKUP($T$100,'TAR FIN'!$A$1:$O$88,15,0)),0,VLOOKUP($T$100,'TAR FIN'!$A$1:$O$88,15,0))</f>
        <v>1419.25</v>
      </c>
      <c r="X100" s="6">
        <f>IF(ISERROR(VLOOKUP($U$100,'TAR FIN'!$A$1:$O$88,15,0)),0,VLOOKUP($U$100,'TAR FIN'!$A$1:$O$88,15,0))</f>
        <v>518.44000000000005</v>
      </c>
      <c r="Y100" s="6"/>
      <c r="Z100" s="6">
        <f ca="1">('TUSD BE'!$AM$11+'TUSD BF_350'!$AM$11+'TUSD CVA'!$AM$11)*1</f>
        <v>911.84</v>
      </c>
      <c r="AA100" s="6">
        <f ca="1">('TE BE'!$AB$5+'TE BF_350'!$AB$5+'TE CVA'!$AB$5)*1</f>
        <v>399.84</v>
      </c>
      <c r="AB100" s="6">
        <f>$K$100*$V$100</f>
        <v>0</v>
      </c>
      <c r="AC100" s="6">
        <f>$M$100*$W$100</f>
        <v>11024.734</v>
      </c>
      <c r="AD100" s="6">
        <f>$O$100*$X$100</f>
        <v>4027.2419200000004</v>
      </c>
      <c r="AE100" s="6">
        <f>$K$100*$Y$100</f>
        <v>0</v>
      </c>
      <c r="AF100" s="6">
        <f ca="1">$M$100*$Z$100</f>
        <v>7083.1731200000004</v>
      </c>
      <c r="AG100" s="6">
        <f ca="1">$O$100*$AA$100</f>
        <v>3105.9571199999996</v>
      </c>
    </row>
    <row r="101" spans="1:33" ht="11.25" customHeight="1" x14ac:dyDescent="0.25">
      <c r="A101" s="4" t="s">
        <v>21</v>
      </c>
      <c r="B101" s="4" t="s">
        <v>34</v>
      </c>
      <c r="C101" s="4" t="s">
        <v>35</v>
      </c>
      <c r="D101" s="4" t="s">
        <v>33</v>
      </c>
      <c r="E101" s="4" t="s">
        <v>25</v>
      </c>
      <c r="F101" s="4" t="s">
        <v>25</v>
      </c>
      <c r="G101" s="4" t="s">
        <v>25</v>
      </c>
      <c r="H101" s="4" t="s">
        <v>36</v>
      </c>
      <c r="I101" s="5">
        <v>44501</v>
      </c>
      <c r="J101" s="6">
        <v>0</v>
      </c>
      <c r="K101" s="6">
        <v>0</v>
      </c>
      <c r="L101" s="6">
        <v>7.8209999999999997</v>
      </c>
      <c r="M101" s="6">
        <v>7.8209999999999997</v>
      </c>
      <c r="N101" s="6">
        <v>7.8209999999999997</v>
      </c>
      <c r="O101" s="6">
        <v>7.8209999999999997</v>
      </c>
      <c r="P101" s="6">
        <v>0</v>
      </c>
      <c r="Q101" s="4" t="s">
        <v>26</v>
      </c>
      <c r="R101" s="4">
        <v>0</v>
      </c>
      <c r="S101" s="6">
        <v>0</v>
      </c>
      <c r="T101" s="6">
        <v>7</v>
      </c>
      <c r="U101" s="6">
        <v>50</v>
      </c>
      <c r="V101" s="6">
        <f>IF(ISERROR(VLOOKUP($S$101,'TAR FIN'!$A$1:$O$88,15,0)),0,VLOOKUP($S$101,'TAR FIN'!$A$1:$O$88,15,0))</f>
        <v>0</v>
      </c>
      <c r="W101" s="6">
        <f>IF(ISERROR(VLOOKUP($T$101,'TAR FIN'!$A$1:$O$88,15,0)),0,VLOOKUP($T$101,'TAR FIN'!$A$1:$O$88,15,0))</f>
        <v>1419.25</v>
      </c>
      <c r="X101" s="6">
        <f>IF(ISERROR(VLOOKUP($U$101,'TAR FIN'!$A$1:$O$88,15,0)),0,VLOOKUP($U$101,'TAR FIN'!$A$1:$O$88,15,0))</f>
        <v>518.44000000000005</v>
      </c>
      <c r="Y101" s="6"/>
      <c r="Z101" s="6">
        <f ca="1">('TUSD BE'!$AM$11+'TUSD BF_350'!$AM$11+'TUSD CVA'!$AM$11)*1</f>
        <v>911.84</v>
      </c>
      <c r="AA101" s="6">
        <f ca="1">('TE BE'!$AB$5+'TE BF_350'!$AB$5+'TE CVA'!$AB$5)*1</f>
        <v>399.84</v>
      </c>
      <c r="AB101" s="6">
        <f>$K$101*$V$101</f>
        <v>0</v>
      </c>
      <c r="AC101" s="6">
        <f>$M$101*$W$101</f>
        <v>11099.954249999999</v>
      </c>
      <c r="AD101" s="6">
        <f>$O$101*$X$101</f>
        <v>4054.7192400000004</v>
      </c>
      <c r="AE101" s="6">
        <f>$K$101*$Y$101</f>
        <v>0</v>
      </c>
      <c r="AF101" s="6">
        <f ca="1">$M$101*$Z$101</f>
        <v>7131.5006400000002</v>
      </c>
      <c r="AG101" s="6">
        <f ca="1">$O$101*$AA$101</f>
        <v>3127.1486399999999</v>
      </c>
    </row>
    <row r="102" spans="1:33" ht="11.25" customHeight="1" x14ac:dyDescent="0.25">
      <c r="A102" s="4" t="s">
        <v>21</v>
      </c>
      <c r="B102" s="4" t="s">
        <v>34</v>
      </c>
      <c r="C102" s="4" t="s">
        <v>35</v>
      </c>
      <c r="D102" s="4" t="s">
        <v>33</v>
      </c>
      <c r="E102" s="4" t="s">
        <v>25</v>
      </c>
      <c r="F102" s="4" t="s">
        <v>25</v>
      </c>
      <c r="G102" s="4" t="s">
        <v>25</v>
      </c>
      <c r="H102" s="4" t="s">
        <v>36</v>
      </c>
      <c r="I102" s="5">
        <v>44531</v>
      </c>
      <c r="J102" s="6">
        <v>0</v>
      </c>
      <c r="K102" s="6">
        <v>0</v>
      </c>
      <c r="L102" s="6">
        <v>5.6539999999999999</v>
      </c>
      <c r="M102" s="6">
        <v>5.6539999999999999</v>
      </c>
      <c r="N102" s="6">
        <v>5.6539999999999999</v>
      </c>
      <c r="O102" s="6">
        <v>5.6539999999999999</v>
      </c>
      <c r="P102" s="6">
        <v>0</v>
      </c>
      <c r="Q102" s="4" t="s">
        <v>26</v>
      </c>
      <c r="R102" s="4">
        <v>0</v>
      </c>
      <c r="S102" s="6">
        <v>0</v>
      </c>
      <c r="T102" s="6">
        <v>7</v>
      </c>
      <c r="U102" s="6">
        <v>50</v>
      </c>
      <c r="V102" s="6">
        <f>IF(ISERROR(VLOOKUP($S$102,'TAR FIN'!$A$1:$O$88,15,0)),0,VLOOKUP($S$102,'TAR FIN'!$A$1:$O$88,15,0))</f>
        <v>0</v>
      </c>
      <c r="W102" s="6">
        <f>IF(ISERROR(VLOOKUP($T$102,'TAR FIN'!$A$1:$O$88,15,0)),0,VLOOKUP($T$102,'TAR FIN'!$A$1:$O$88,15,0))</f>
        <v>1419.25</v>
      </c>
      <c r="X102" s="6">
        <f>IF(ISERROR(VLOOKUP($U$102,'TAR FIN'!$A$1:$O$88,15,0)),0,VLOOKUP($U$102,'TAR FIN'!$A$1:$O$88,15,0))</f>
        <v>518.44000000000005</v>
      </c>
      <c r="Y102" s="6"/>
      <c r="Z102" s="6">
        <f ca="1">('TUSD BE'!$AM$11+'TUSD BF_350'!$AM$11+'TUSD CVA'!$AM$11)*1</f>
        <v>911.84</v>
      </c>
      <c r="AA102" s="6">
        <f ca="1">('TE BE'!$AB$5+'TE BF_350'!$AB$5+'TE CVA'!$AB$5)*1</f>
        <v>399.84</v>
      </c>
      <c r="AB102" s="6">
        <f>$K$102*$V$102</f>
        <v>0</v>
      </c>
      <c r="AC102" s="6">
        <f>$M$102*$W$102</f>
        <v>8024.4394999999995</v>
      </c>
      <c r="AD102" s="6">
        <f>$O$102*$X$102</f>
        <v>2931.2597600000004</v>
      </c>
      <c r="AE102" s="6">
        <f>$K$102*$Y$102</f>
        <v>0</v>
      </c>
      <c r="AF102" s="6">
        <f ca="1">$M$102*$Z$102</f>
        <v>5155.5433599999997</v>
      </c>
      <c r="AG102" s="6">
        <f ca="1">$O$102*$AA$102</f>
        <v>2260.6953599999997</v>
      </c>
    </row>
    <row r="103" spans="1:33" ht="11.25" customHeight="1" x14ac:dyDescent="0.25">
      <c r="A103" s="4" t="s">
        <v>21</v>
      </c>
      <c r="B103" s="4" t="s">
        <v>34</v>
      </c>
      <c r="C103" s="4" t="s">
        <v>35</v>
      </c>
      <c r="D103" s="4" t="s">
        <v>33</v>
      </c>
      <c r="E103" s="4" t="s">
        <v>25</v>
      </c>
      <c r="F103" s="4" t="s">
        <v>25</v>
      </c>
      <c r="G103" s="4" t="s">
        <v>25</v>
      </c>
      <c r="H103" s="4" t="s">
        <v>36</v>
      </c>
      <c r="I103" s="5">
        <v>44562</v>
      </c>
      <c r="J103" s="6">
        <v>0</v>
      </c>
      <c r="K103" s="6">
        <v>0</v>
      </c>
      <c r="L103" s="6">
        <v>4.7830000000000004</v>
      </c>
      <c r="M103" s="6">
        <v>4.7830000000000004</v>
      </c>
      <c r="N103" s="6">
        <v>4.7830000000000004</v>
      </c>
      <c r="O103" s="6">
        <v>4.7830000000000004</v>
      </c>
      <c r="P103" s="6">
        <v>0</v>
      </c>
      <c r="Q103" s="4" t="s">
        <v>26</v>
      </c>
      <c r="R103" s="4">
        <v>0</v>
      </c>
      <c r="S103" s="6">
        <v>0</v>
      </c>
      <c r="T103" s="6">
        <v>7</v>
      </c>
      <c r="U103" s="6">
        <v>50</v>
      </c>
      <c r="V103" s="6">
        <f>IF(ISERROR(VLOOKUP($S$103,'TAR FIN'!$A$1:$O$88,15,0)),0,VLOOKUP($S$103,'TAR FIN'!$A$1:$O$88,15,0))</f>
        <v>0</v>
      </c>
      <c r="W103" s="6">
        <f>IF(ISERROR(VLOOKUP($T$103,'TAR FIN'!$A$1:$O$88,15,0)),0,VLOOKUP($T$103,'TAR FIN'!$A$1:$O$88,15,0))</f>
        <v>1419.25</v>
      </c>
      <c r="X103" s="6">
        <f>IF(ISERROR(VLOOKUP($U$103,'TAR FIN'!$A$1:$O$88,15,0)),0,VLOOKUP($U$103,'TAR FIN'!$A$1:$O$88,15,0))</f>
        <v>518.44000000000005</v>
      </c>
      <c r="Y103" s="6"/>
      <c r="Z103" s="6">
        <f ca="1">('TUSD BE'!$AM$11+'TUSD BF_350'!$AM$11+'TUSD CVA'!$AM$11)*1</f>
        <v>911.84</v>
      </c>
      <c r="AA103" s="6">
        <f ca="1">('TE BE'!$AB$5+'TE BF_350'!$AB$5+'TE CVA'!$AB$5)*1</f>
        <v>399.84</v>
      </c>
      <c r="AB103" s="6">
        <f>$K$103*$V$103</f>
        <v>0</v>
      </c>
      <c r="AC103" s="6">
        <f>$M$103*$W$103</f>
        <v>6788.2727500000001</v>
      </c>
      <c r="AD103" s="6">
        <f>$O$103*$X$103</f>
        <v>2479.6985200000004</v>
      </c>
      <c r="AE103" s="6">
        <f>$K$103*$Y$103</f>
        <v>0</v>
      </c>
      <c r="AF103" s="6">
        <f ca="1">$M$103*$Z$103</f>
        <v>4361.3307200000008</v>
      </c>
      <c r="AG103" s="6">
        <f ca="1">$O$103*$AA$103</f>
        <v>1912.43472</v>
      </c>
    </row>
    <row r="104" spans="1:33" ht="11.25" customHeight="1" x14ac:dyDescent="0.25">
      <c r="A104" s="4" t="s">
        <v>21</v>
      </c>
      <c r="B104" s="4" t="s">
        <v>34</v>
      </c>
      <c r="C104" s="4" t="s">
        <v>35</v>
      </c>
      <c r="D104" s="4" t="s">
        <v>33</v>
      </c>
      <c r="E104" s="4" t="s">
        <v>25</v>
      </c>
      <c r="F104" s="4" t="s">
        <v>25</v>
      </c>
      <c r="G104" s="4" t="s">
        <v>25</v>
      </c>
      <c r="H104" s="4" t="s">
        <v>36</v>
      </c>
      <c r="I104" s="5">
        <v>44593</v>
      </c>
      <c r="J104" s="6">
        <v>0</v>
      </c>
      <c r="K104" s="6">
        <v>0</v>
      </c>
      <c r="L104" s="6">
        <v>4.8639999999999999</v>
      </c>
      <c r="M104" s="6">
        <v>4.8639999999999999</v>
      </c>
      <c r="N104" s="6">
        <v>4.8639999999999999</v>
      </c>
      <c r="O104" s="6">
        <v>4.8639999999999999</v>
      </c>
      <c r="P104" s="6">
        <v>0</v>
      </c>
      <c r="Q104" s="4" t="s">
        <v>26</v>
      </c>
      <c r="R104" s="4">
        <v>0</v>
      </c>
      <c r="S104" s="6">
        <v>0</v>
      </c>
      <c r="T104" s="6">
        <v>7</v>
      </c>
      <c r="U104" s="6">
        <v>50</v>
      </c>
      <c r="V104" s="6">
        <f>IF(ISERROR(VLOOKUP($S$104,'TAR FIN'!$A$1:$O$88,15,0)),0,VLOOKUP($S$104,'TAR FIN'!$A$1:$O$88,15,0))</f>
        <v>0</v>
      </c>
      <c r="W104" s="6">
        <f>IF(ISERROR(VLOOKUP($T$104,'TAR FIN'!$A$1:$O$88,15,0)),0,VLOOKUP($T$104,'TAR FIN'!$A$1:$O$88,15,0))</f>
        <v>1419.25</v>
      </c>
      <c r="X104" s="6">
        <f>IF(ISERROR(VLOOKUP($U$104,'TAR FIN'!$A$1:$O$88,15,0)),0,VLOOKUP($U$104,'TAR FIN'!$A$1:$O$88,15,0))</f>
        <v>518.44000000000005</v>
      </c>
      <c r="Y104" s="6"/>
      <c r="Z104" s="6">
        <f ca="1">('TUSD BE'!$AM$11+'TUSD BF_350'!$AM$11+'TUSD CVA'!$AM$11)*1</f>
        <v>911.84</v>
      </c>
      <c r="AA104" s="6">
        <f ca="1">('TE BE'!$AB$5+'TE BF_350'!$AB$5+'TE CVA'!$AB$5)*1</f>
        <v>399.84</v>
      </c>
      <c r="AB104" s="6">
        <f>$K$104*$V$104</f>
        <v>0</v>
      </c>
      <c r="AC104" s="6">
        <f>$M$104*$W$104</f>
        <v>6903.232</v>
      </c>
      <c r="AD104" s="6">
        <f>$O$104*$X$104</f>
        <v>2521.6921600000001</v>
      </c>
      <c r="AE104" s="6">
        <f>$K$104*$Y$104</f>
        <v>0</v>
      </c>
      <c r="AF104" s="6">
        <f ca="1">$M$104*$Z$104</f>
        <v>4435.1897600000002</v>
      </c>
      <c r="AG104" s="6">
        <f ca="1">$O$104*$AA$104</f>
        <v>1944.8217599999998</v>
      </c>
    </row>
    <row r="105" spans="1:33" ht="11.25" customHeight="1" x14ac:dyDescent="0.25">
      <c r="A105" s="4" t="s">
        <v>21</v>
      </c>
      <c r="B105" s="4" t="s">
        <v>34</v>
      </c>
      <c r="C105" s="4" t="s">
        <v>35</v>
      </c>
      <c r="D105" s="4" t="s">
        <v>33</v>
      </c>
      <c r="E105" s="4" t="s">
        <v>25</v>
      </c>
      <c r="F105" s="4" t="s">
        <v>25</v>
      </c>
      <c r="G105" s="4" t="s">
        <v>25</v>
      </c>
      <c r="H105" s="4" t="s">
        <v>36</v>
      </c>
      <c r="I105" s="5">
        <v>44621</v>
      </c>
      <c r="J105" s="6">
        <v>0</v>
      </c>
      <c r="K105" s="6">
        <v>0</v>
      </c>
      <c r="L105" s="6">
        <v>5.569</v>
      </c>
      <c r="M105" s="6">
        <v>5.569</v>
      </c>
      <c r="N105" s="6">
        <v>5.569</v>
      </c>
      <c r="O105" s="6">
        <v>5.569</v>
      </c>
      <c r="P105" s="6">
        <v>0</v>
      </c>
      <c r="Q105" s="4" t="s">
        <v>26</v>
      </c>
      <c r="R105" s="4">
        <v>0</v>
      </c>
      <c r="S105" s="6">
        <v>0</v>
      </c>
      <c r="T105" s="6">
        <v>7</v>
      </c>
      <c r="U105" s="6">
        <v>50</v>
      </c>
      <c r="V105" s="6">
        <f>IF(ISERROR(VLOOKUP($S$105,'TAR FIN'!$A$1:$O$88,15,0)),0,VLOOKUP($S$105,'TAR FIN'!$A$1:$O$88,15,0))</f>
        <v>0</v>
      </c>
      <c r="W105" s="6">
        <f>IF(ISERROR(VLOOKUP($T$105,'TAR FIN'!$A$1:$O$88,15,0)),0,VLOOKUP($T$105,'TAR FIN'!$A$1:$O$88,15,0))</f>
        <v>1419.25</v>
      </c>
      <c r="X105" s="6">
        <f>IF(ISERROR(VLOOKUP($U$105,'TAR FIN'!$A$1:$O$88,15,0)),0,VLOOKUP($U$105,'TAR FIN'!$A$1:$O$88,15,0))</f>
        <v>518.44000000000005</v>
      </c>
      <c r="Y105" s="6"/>
      <c r="Z105" s="6">
        <f ca="1">('TUSD BE'!$AM$11+'TUSD BF_350'!$AM$11+'TUSD CVA'!$AM$11)*1</f>
        <v>911.84</v>
      </c>
      <c r="AA105" s="6">
        <f ca="1">('TE BE'!$AB$5+'TE BF_350'!$AB$5+'TE CVA'!$AB$5)*1</f>
        <v>399.84</v>
      </c>
      <c r="AB105" s="6">
        <f>$K$105*$V$105</f>
        <v>0</v>
      </c>
      <c r="AC105" s="6">
        <f>$M$105*$W$105</f>
        <v>7903.8032499999999</v>
      </c>
      <c r="AD105" s="6">
        <f>$O$105*$X$105</f>
        <v>2887.1923600000005</v>
      </c>
      <c r="AE105" s="6">
        <f>$K$105*$Y$105</f>
        <v>0</v>
      </c>
      <c r="AF105" s="6">
        <f ca="1">$M$105*$Z$105</f>
        <v>5078.0369600000004</v>
      </c>
      <c r="AG105" s="6">
        <f ca="1">$O$105*$AA$105</f>
        <v>2226.7089599999999</v>
      </c>
    </row>
    <row r="106" spans="1:33" ht="11.25" customHeight="1" x14ac:dyDescent="0.25">
      <c r="A106" s="4" t="s">
        <v>21</v>
      </c>
      <c r="B106" s="4" t="s">
        <v>34</v>
      </c>
      <c r="C106" s="4" t="s">
        <v>35</v>
      </c>
      <c r="D106" s="4" t="s">
        <v>33</v>
      </c>
      <c r="E106" s="4" t="s">
        <v>25</v>
      </c>
      <c r="F106" s="4" t="s">
        <v>25</v>
      </c>
      <c r="G106" s="4" t="s">
        <v>25</v>
      </c>
      <c r="H106" s="4" t="s">
        <v>36</v>
      </c>
      <c r="I106" s="5">
        <v>44652</v>
      </c>
      <c r="J106" s="6">
        <v>0</v>
      </c>
      <c r="K106" s="6">
        <v>0</v>
      </c>
      <c r="L106" s="6">
        <v>3.931</v>
      </c>
      <c r="M106" s="6">
        <v>3.931</v>
      </c>
      <c r="N106" s="6">
        <v>3.931</v>
      </c>
      <c r="O106" s="6">
        <v>3.931</v>
      </c>
      <c r="P106" s="6">
        <v>0</v>
      </c>
      <c r="Q106" s="4" t="s">
        <v>26</v>
      </c>
      <c r="R106" s="4">
        <v>0</v>
      </c>
      <c r="S106" s="6">
        <v>0</v>
      </c>
      <c r="T106" s="6">
        <v>7</v>
      </c>
      <c r="U106" s="6">
        <v>50</v>
      </c>
      <c r="V106" s="6">
        <f>IF(ISERROR(VLOOKUP($S$106,'TAR FIN'!$A$1:$O$88,15,0)),0,VLOOKUP($S$106,'TAR FIN'!$A$1:$O$88,15,0))</f>
        <v>0</v>
      </c>
      <c r="W106" s="6">
        <f>IF(ISERROR(VLOOKUP($T$106,'TAR FIN'!$A$1:$O$88,15,0)),0,VLOOKUP($T$106,'TAR FIN'!$A$1:$O$88,15,0))</f>
        <v>1419.25</v>
      </c>
      <c r="X106" s="6">
        <f>IF(ISERROR(VLOOKUP($U$106,'TAR FIN'!$A$1:$O$88,15,0)),0,VLOOKUP($U$106,'TAR FIN'!$A$1:$O$88,15,0))</f>
        <v>518.44000000000005</v>
      </c>
      <c r="Y106" s="6"/>
      <c r="Z106" s="6">
        <f ca="1">('TUSD BE'!$AM$11+'TUSD BF_350'!$AM$11+'TUSD CVA'!$AM$11)*1</f>
        <v>911.84</v>
      </c>
      <c r="AA106" s="6">
        <f ca="1">('TE BE'!$AB$5+'TE BF_350'!$AB$5+'TE CVA'!$AB$5)*1</f>
        <v>399.84</v>
      </c>
      <c r="AB106" s="6">
        <f>$K$106*$V$106</f>
        <v>0</v>
      </c>
      <c r="AC106" s="6">
        <f>$M$106*$W$106</f>
        <v>5579.0717500000001</v>
      </c>
      <c r="AD106" s="6">
        <f>$O$106*$X$106</f>
        <v>2037.9876400000003</v>
      </c>
      <c r="AE106" s="6">
        <f>$K$106*$Y$106</f>
        <v>0</v>
      </c>
      <c r="AF106" s="6">
        <f ca="1">$M$106*$Z$106</f>
        <v>3584.4430400000001</v>
      </c>
      <c r="AG106" s="6">
        <f ca="1">$O$106*$AA$106</f>
        <v>1571.7710399999999</v>
      </c>
    </row>
    <row r="107" spans="1:33" ht="11.25" customHeight="1" x14ac:dyDescent="0.25">
      <c r="A107" s="4" t="s">
        <v>21</v>
      </c>
      <c r="B107" s="4" t="s">
        <v>34</v>
      </c>
      <c r="C107" s="4" t="s">
        <v>35</v>
      </c>
      <c r="D107" s="4" t="s">
        <v>33</v>
      </c>
      <c r="E107" s="4" t="s">
        <v>25</v>
      </c>
      <c r="F107" s="4" t="s">
        <v>25</v>
      </c>
      <c r="G107" s="4" t="s">
        <v>25</v>
      </c>
      <c r="H107" s="4" t="s">
        <v>36</v>
      </c>
      <c r="I107" s="5">
        <v>44682</v>
      </c>
      <c r="J107" s="6">
        <v>0</v>
      </c>
      <c r="K107" s="6">
        <v>0</v>
      </c>
      <c r="L107" s="6">
        <v>5.6840000000000002</v>
      </c>
      <c r="M107" s="6">
        <v>5.6840000000000002</v>
      </c>
      <c r="N107" s="6">
        <v>5.6840000000000002</v>
      </c>
      <c r="O107" s="6">
        <v>5.6840000000000002</v>
      </c>
      <c r="P107" s="6">
        <v>0</v>
      </c>
      <c r="Q107" s="4" t="s">
        <v>26</v>
      </c>
      <c r="R107" s="4">
        <v>0</v>
      </c>
      <c r="S107" s="6">
        <v>0</v>
      </c>
      <c r="T107" s="6">
        <v>7</v>
      </c>
      <c r="U107" s="6">
        <v>50</v>
      </c>
      <c r="V107" s="6">
        <f>IF(ISERROR(VLOOKUP($S$107,'TAR FIN'!$A$1:$O$88,15,0)),0,VLOOKUP($S$107,'TAR FIN'!$A$1:$O$88,15,0))</f>
        <v>0</v>
      </c>
      <c r="W107" s="6">
        <f>IF(ISERROR(VLOOKUP($T$107,'TAR FIN'!$A$1:$O$88,15,0)),0,VLOOKUP($T$107,'TAR FIN'!$A$1:$O$88,15,0))</f>
        <v>1419.25</v>
      </c>
      <c r="X107" s="6">
        <f>IF(ISERROR(VLOOKUP($U$107,'TAR FIN'!$A$1:$O$88,15,0)),0,VLOOKUP($U$107,'TAR FIN'!$A$1:$O$88,15,0))</f>
        <v>518.44000000000005</v>
      </c>
      <c r="Y107" s="6"/>
      <c r="Z107" s="6">
        <f ca="1">('TUSD BE'!$AM$11+'TUSD BF_350'!$AM$11+'TUSD CVA'!$AM$11)*1</f>
        <v>911.84</v>
      </c>
      <c r="AA107" s="6">
        <f ca="1">('TE BE'!$AB$5+'TE BF_350'!$AB$5+'TE CVA'!$AB$5)*1</f>
        <v>399.84</v>
      </c>
      <c r="AB107" s="6">
        <f>$K$107*$V$107</f>
        <v>0</v>
      </c>
      <c r="AC107" s="6">
        <f>$M$107*$W$107</f>
        <v>8067.0169999999998</v>
      </c>
      <c r="AD107" s="6">
        <f>$O$107*$X$107</f>
        <v>2946.8129600000002</v>
      </c>
      <c r="AE107" s="6">
        <f>$K$107*$Y$107</f>
        <v>0</v>
      </c>
      <c r="AF107" s="6">
        <f ca="1">$M$107*$Z$107</f>
        <v>5182.8985600000005</v>
      </c>
      <c r="AG107" s="6">
        <f ca="1">$O$107*$AA$107</f>
        <v>2272.69056</v>
      </c>
    </row>
    <row r="108" spans="1:33" ht="11.25" customHeight="1" x14ac:dyDescent="0.25">
      <c r="A108" s="4" t="s">
        <v>21</v>
      </c>
      <c r="B108" s="4" t="s">
        <v>34</v>
      </c>
      <c r="C108" s="4" t="s">
        <v>35</v>
      </c>
      <c r="D108" s="4" t="s">
        <v>33</v>
      </c>
      <c r="E108" s="4" t="s">
        <v>25</v>
      </c>
      <c r="F108" s="4" t="s">
        <v>25</v>
      </c>
      <c r="G108" s="4" t="s">
        <v>25</v>
      </c>
      <c r="H108" s="4" t="s">
        <v>36</v>
      </c>
      <c r="I108" s="5">
        <v>44713</v>
      </c>
      <c r="J108" s="6">
        <v>0</v>
      </c>
      <c r="K108" s="6">
        <v>0</v>
      </c>
      <c r="L108" s="6">
        <v>5.5490000000000004</v>
      </c>
      <c r="M108" s="6">
        <v>5.5490000000000004</v>
      </c>
      <c r="N108" s="6">
        <v>5.5490000000000004</v>
      </c>
      <c r="O108" s="6">
        <v>5.5490000000000004</v>
      </c>
      <c r="P108" s="6">
        <v>0</v>
      </c>
      <c r="Q108" s="4" t="s">
        <v>26</v>
      </c>
      <c r="R108" s="4">
        <v>0</v>
      </c>
      <c r="S108" s="6">
        <v>0</v>
      </c>
      <c r="T108" s="6">
        <v>7</v>
      </c>
      <c r="U108" s="6">
        <v>50</v>
      </c>
      <c r="V108" s="6">
        <f>IF(ISERROR(VLOOKUP($S$108,'TAR FIN'!$A$1:$O$88,15,0)),0,VLOOKUP($S$108,'TAR FIN'!$A$1:$O$88,15,0))</f>
        <v>0</v>
      </c>
      <c r="W108" s="6">
        <f>IF(ISERROR(VLOOKUP($T$108,'TAR FIN'!$A$1:$O$88,15,0)),0,VLOOKUP($T$108,'TAR FIN'!$A$1:$O$88,15,0))</f>
        <v>1419.25</v>
      </c>
      <c r="X108" s="6">
        <f>IF(ISERROR(VLOOKUP($U$108,'TAR FIN'!$A$1:$O$88,15,0)),0,VLOOKUP($U$108,'TAR FIN'!$A$1:$O$88,15,0))</f>
        <v>518.44000000000005</v>
      </c>
      <c r="Y108" s="6"/>
      <c r="Z108" s="6">
        <f ca="1">('TUSD BE'!$AM$11+'TUSD BF_350'!$AM$11+'TUSD CVA'!$AM$11)*1</f>
        <v>911.84</v>
      </c>
      <c r="AA108" s="6">
        <f ca="1">('TE BE'!$AB$5+'TE BF_350'!$AB$5+'TE CVA'!$AB$5)*1</f>
        <v>399.84</v>
      </c>
      <c r="AB108" s="6">
        <f>$K$108*$V$108</f>
        <v>0</v>
      </c>
      <c r="AC108" s="6">
        <f>$M$108*$W$108</f>
        <v>7875.4182500000006</v>
      </c>
      <c r="AD108" s="6">
        <f>$O$108*$X$108</f>
        <v>2876.8235600000007</v>
      </c>
      <c r="AE108" s="6">
        <f>$K$108*$Y$108</f>
        <v>0</v>
      </c>
      <c r="AF108" s="6">
        <f ca="1">$M$108*$Z$108</f>
        <v>5059.8001600000007</v>
      </c>
      <c r="AG108" s="6">
        <f ca="1">$O$108*$AA$108</f>
        <v>2218.71216</v>
      </c>
    </row>
    <row r="109" spans="1:33" ht="11.25" customHeight="1" x14ac:dyDescent="0.25">
      <c r="A109" s="4" t="s">
        <v>21</v>
      </c>
      <c r="B109" s="4" t="s">
        <v>34</v>
      </c>
      <c r="C109" s="4" t="s">
        <v>35</v>
      </c>
      <c r="D109" s="4" t="s">
        <v>33</v>
      </c>
      <c r="E109" s="4" t="s">
        <v>25</v>
      </c>
      <c r="F109" s="4" t="s">
        <v>25</v>
      </c>
      <c r="G109" s="4" t="s">
        <v>25</v>
      </c>
      <c r="H109" s="4" t="s">
        <v>36</v>
      </c>
      <c r="I109" s="5">
        <v>44743</v>
      </c>
      <c r="J109" s="6">
        <v>0</v>
      </c>
      <c r="K109" s="6">
        <v>0</v>
      </c>
      <c r="L109" s="6">
        <v>4.47</v>
      </c>
      <c r="M109" s="6">
        <v>4.47</v>
      </c>
      <c r="N109" s="6">
        <v>4.47</v>
      </c>
      <c r="O109" s="6">
        <v>4.47</v>
      </c>
      <c r="P109" s="6">
        <v>0</v>
      </c>
      <c r="Q109" s="4" t="s">
        <v>26</v>
      </c>
      <c r="R109" s="4">
        <v>0</v>
      </c>
      <c r="S109" s="6">
        <v>0</v>
      </c>
      <c r="T109" s="6">
        <v>7</v>
      </c>
      <c r="U109" s="6">
        <v>50</v>
      </c>
      <c r="V109" s="6">
        <f>IF(ISERROR(VLOOKUP($S$109,'TAR FIN'!$A$1:$O$88,15,0)),0,VLOOKUP($S$109,'TAR FIN'!$A$1:$O$88,15,0))</f>
        <v>0</v>
      </c>
      <c r="W109" s="6">
        <f>IF(ISERROR(VLOOKUP($T$109,'TAR FIN'!$A$1:$O$88,15,0)),0,VLOOKUP($T$109,'TAR FIN'!$A$1:$O$88,15,0))</f>
        <v>1419.25</v>
      </c>
      <c r="X109" s="6">
        <f>IF(ISERROR(VLOOKUP($U$109,'TAR FIN'!$A$1:$O$88,15,0)),0,VLOOKUP($U$109,'TAR FIN'!$A$1:$O$88,15,0))</f>
        <v>518.44000000000005</v>
      </c>
      <c r="Y109" s="6"/>
      <c r="Z109" s="6">
        <f ca="1">('TUSD BE'!$AM$11+'TUSD BF_350'!$AM$11+'TUSD CVA'!$AM$11)*1</f>
        <v>911.84</v>
      </c>
      <c r="AA109" s="6">
        <f ca="1">('TE BE'!$AB$5+'TE BF_350'!$AB$5+'TE CVA'!$AB$5)*1</f>
        <v>399.84</v>
      </c>
      <c r="AB109" s="6">
        <f>$K$109*$V$109</f>
        <v>0</v>
      </c>
      <c r="AC109" s="6">
        <f>$M$109*$W$109</f>
        <v>6344.0474999999997</v>
      </c>
      <c r="AD109" s="6">
        <f>$O$109*$X$109</f>
        <v>2317.4268000000002</v>
      </c>
      <c r="AE109" s="6">
        <f>$K$109*$Y$109</f>
        <v>0</v>
      </c>
      <c r="AF109" s="6">
        <f ca="1">$M$109*$Z$109</f>
        <v>4075.9247999999998</v>
      </c>
      <c r="AG109" s="6">
        <f ca="1">$O$109*$AA$109</f>
        <v>1787.2847999999997</v>
      </c>
    </row>
    <row r="110" spans="1:33" ht="11.25" customHeight="1" x14ac:dyDescent="0.25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44409</v>
      </c>
      <c r="J110" s="6">
        <v>0</v>
      </c>
      <c r="K110" s="6">
        <v>0</v>
      </c>
      <c r="L110" s="6">
        <v>542.63900000000001</v>
      </c>
      <c r="M110" s="6">
        <v>542.63900000000001</v>
      </c>
      <c r="N110" s="6">
        <v>542.63900000000001</v>
      </c>
      <c r="O110" s="6">
        <v>542.63900000000001</v>
      </c>
      <c r="P110" s="6">
        <v>2963</v>
      </c>
      <c r="Q110" s="4" t="s">
        <v>26</v>
      </c>
      <c r="R110" s="4">
        <v>0</v>
      </c>
      <c r="S110" s="6">
        <v>0</v>
      </c>
      <c r="T110" s="6">
        <v>18</v>
      </c>
      <c r="U110" s="6">
        <v>56</v>
      </c>
      <c r="V110" s="6">
        <f>IF(ISERROR(VLOOKUP($S$110,'TAR FIN'!$A$1:$O$88,15,0)),0,VLOOKUP($S$110,'TAR FIN'!$A$1:$O$88,15,0))</f>
        <v>0</v>
      </c>
      <c r="W110" s="6">
        <f>IF(ISERROR(VLOOKUP($T$110,'TAR FIN'!$A$1:$O$88,15,0)),0,VLOOKUP($T$110,'TAR FIN'!$A$1:$O$88,15,0))</f>
        <v>0</v>
      </c>
      <c r="X110" s="6">
        <f>IF(ISERROR(VLOOKUP($U$110,'TAR FIN'!$A$1:$O$88,15,0)),0,VLOOKUP($U$110,'TAR FIN'!$A$1:$O$88,15,0))</f>
        <v>0</v>
      </c>
      <c r="Y110" s="6"/>
      <c r="Z110" s="6">
        <f ca="1">('TUSD BE'!$AM$20+'TUSD BF_350'!$AM$20+'TUSD CVA'!$AM$20)*1</f>
        <v>310.49</v>
      </c>
      <c r="AA110" s="6">
        <f ca="1">('TE BE'!$AB$11+'TE BF_350'!$AB$11+'TE CVA'!$AB$11)*1</f>
        <v>262.52999999999997</v>
      </c>
      <c r="AB110" s="6">
        <f>$K$110*$V$110</f>
        <v>0</v>
      </c>
      <c r="AC110" s="6">
        <f>$M$110*$W$110</f>
        <v>0</v>
      </c>
      <c r="AD110" s="6">
        <f>$O$110*$X$110</f>
        <v>0</v>
      </c>
      <c r="AE110" s="6">
        <f>$K$110*$Y$110</f>
        <v>0</v>
      </c>
      <c r="AF110" s="6">
        <f ca="1">$M$110*$Z$110</f>
        <v>168483.98311</v>
      </c>
      <c r="AG110" s="6">
        <f ca="1">$O$110*$AA$110</f>
        <v>142459.01666999998</v>
      </c>
    </row>
    <row r="111" spans="1:33" ht="11.25" customHeight="1" x14ac:dyDescent="0.25">
      <c r="A111" s="4" t="s">
        <v>27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44409</v>
      </c>
      <c r="J111" s="6">
        <v>0</v>
      </c>
      <c r="K111" s="6">
        <v>0</v>
      </c>
      <c r="L111" s="6">
        <v>2.3889999999999998</v>
      </c>
      <c r="M111" s="6">
        <v>2.3889999999999998</v>
      </c>
      <c r="N111" s="6">
        <v>2.3889999999999998</v>
      </c>
      <c r="O111" s="6">
        <v>2.3889999999999998</v>
      </c>
      <c r="P111" s="6">
        <v>21</v>
      </c>
      <c r="Q111" s="4" t="s">
        <v>26</v>
      </c>
      <c r="R111" s="4">
        <v>0</v>
      </c>
      <c r="S111" s="6">
        <v>0</v>
      </c>
      <c r="T111" s="6">
        <v>18</v>
      </c>
      <c r="U111" s="6">
        <v>56</v>
      </c>
      <c r="V111" s="6">
        <f>IF(ISERROR(VLOOKUP($S$111,'TAR FIN'!$A$1:$O$88,15,0)),0,VLOOKUP($S$111,'TAR FIN'!$A$1:$O$88,15,0))</f>
        <v>0</v>
      </c>
      <c r="W111" s="6">
        <f>IF(ISERROR(VLOOKUP($T$111,'TAR FIN'!$A$1:$O$88,15,0)),0,VLOOKUP($T$111,'TAR FIN'!$A$1:$O$88,15,0))</f>
        <v>0</v>
      </c>
      <c r="X111" s="6">
        <f>IF(ISERROR(VLOOKUP($U$111,'TAR FIN'!$A$1:$O$88,15,0)),0,VLOOKUP($U$111,'TAR FIN'!$A$1:$O$88,15,0))</f>
        <v>0</v>
      </c>
      <c r="Y111" s="6"/>
      <c r="Z111" s="6">
        <f ca="1">('TUSD BE'!$AM$20+'TUSD BF_350'!$AM$20+'TUSD CVA'!$AM$20)*1</f>
        <v>310.49</v>
      </c>
      <c r="AA111" s="6">
        <f ca="1">('TE BE'!$AB$11+'TE BF_350'!$AB$11+'TE CVA'!$AB$11)*1</f>
        <v>262.52999999999997</v>
      </c>
      <c r="AB111" s="6">
        <f>$K$111*$V$111</f>
        <v>0</v>
      </c>
      <c r="AC111" s="6">
        <f>$M$111*$W$111</f>
        <v>0</v>
      </c>
      <c r="AD111" s="6">
        <f>$O$111*$X$111</f>
        <v>0</v>
      </c>
      <c r="AE111" s="6">
        <f>$K$111*$Y$111</f>
        <v>0</v>
      </c>
      <c r="AF111" s="6">
        <f ca="1">$M$111*$Z$111</f>
        <v>741.76060999999993</v>
      </c>
      <c r="AG111" s="6">
        <f ca="1">$O$111*$AA$111</f>
        <v>627.18416999999988</v>
      </c>
    </row>
    <row r="112" spans="1:33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44440</v>
      </c>
      <c r="J112" s="6">
        <v>0</v>
      </c>
      <c r="K112" s="6">
        <v>0</v>
      </c>
      <c r="L112" s="6">
        <v>502.65699999999998</v>
      </c>
      <c r="M112" s="6">
        <v>502.65699999999998</v>
      </c>
      <c r="N112" s="6">
        <v>502.65699999999998</v>
      </c>
      <c r="O112" s="6">
        <v>502.65699999999998</v>
      </c>
      <c r="P112" s="6">
        <v>2965</v>
      </c>
      <c r="Q112" s="4" t="s">
        <v>26</v>
      </c>
      <c r="R112" s="4">
        <v>0</v>
      </c>
      <c r="S112" s="6">
        <v>0</v>
      </c>
      <c r="T112" s="6">
        <v>18</v>
      </c>
      <c r="U112" s="6">
        <v>56</v>
      </c>
      <c r="V112" s="6">
        <f>IF(ISERROR(VLOOKUP($S$112,'TAR FIN'!$A$1:$O$88,15,0)),0,VLOOKUP($S$112,'TAR FIN'!$A$1:$O$88,15,0))</f>
        <v>0</v>
      </c>
      <c r="W112" s="6">
        <f>IF(ISERROR(VLOOKUP($T$112,'TAR FIN'!$A$1:$O$88,15,0)),0,VLOOKUP($T$112,'TAR FIN'!$A$1:$O$88,15,0))</f>
        <v>0</v>
      </c>
      <c r="X112" s="6">
        <f>IF(ISERROR(VLOOKUP($U$112,'TAR FIN'!$A$1:$O$88,15,0)),0,VLOOKUP($U$112,'TAR FIN'!$A$1:$O$88,15,0))</f>
        <v>0</v>
      </c>
      <c r="Y112" s="6"/>
      <c r="Z112" s="6">
        <f ca="1">('TUSD BE'!$AM$20+'TUSD BF_350'!$AM$20+'TUSD CVA'!$AM$20)*1</f>
        <v>310.49</v>
      </c>
      <c r="AA112" s="6">
        <f ca="1">('TE BE'!$AB$11+'TE BF_350'!$AB$11+'TE CVA'!$AB$11)*1</f>
        <v>262.52999999999997</v>
      </c>
      <c r="AB112" s="6">
        <f>$K$112*$V$112</f>
        <v>0</v>
      </c>
      <c r="AC112" s="6">
        <f>$M$112*$W$112</f>
        <v>0</v>
      </c>
      <c r="AD112" s="6">
        <f>$O$112*$X$112</f>
        <v>0</v>
      </c>
      <c r="AE112" s="6">
        <f>$K$112*$Y$112</f>
        <v>0</v>
      </c>
      <c r="AF112" s="6">
        <f ca="1">$M$112*$Z$112</f>
        <v>156069.97193</v>
      </c>
      <c r="AG112" s="6">
        <f ca="1">$O$112*$AA$112</f>
        <v>131962.54220999999</v>
      </c>
    </row>
    <row r="113" spans="1:33" ht="11.25" customHeight="1" x14ac:dyDescent="0.25">
      <c r="A113" s="4" t="s">
        <v>27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44440</v>
      </c>
      <c r="J113" s="6">
        <v>0</v>
      </c>
      <c r="K113" s="6">
        <v>0</v>
      </c>
      <c r="L113" s="6">
        <v>2.5299999999999998</v>
      </c>
      <c r="M113" s="6">
        <v>2.5299999999999998</v>
      </c>
      <c r="N113" s="6">
        <v>2.5299999999999998</v>
      </c>
      <c r="O113" s="6">
        <v>2.5299999999999998</v>
      </c>
      <c r="P113" s="6">
        <v>23</v>
      </c>
      <c r="Q113" s="4" t="s">
        <v>26</v>
      </c>
      <c r="R113" s="4">
        <v>0</v>
      </c>
      <c r="S113" s="6">
        <v>0</v>
      </c>
      <c r="T113" s="6">
        <v>18</v>
      </c>
      <c r="U113" s="6">
        <v>56</v>
      </c>
      <c r="V113" s="6">
        <f>IF(ISERROR(VLOOKUP($S$113,'TAR FIN'!$A$1:$O$88,15,0)),0,VLOOKUP($S$113,'TAR FIN'!$A$1:$O$88,15,0))</f>
        <v>0</v>
      </c>
      <c r="W113" s="6">
        <f>IF(ISERROR(VLOOKUP($T$113,'TAR FIN'!$A$1:$O$88,15,0)),0,VLOOKUP($T$113,'TAR FIN'!$A$1:$O$88,15,0))</f>
        <v>0</v>
      </c>
      <c r="X113" s="6">
        <f>IF(ISERROR(VLOOKUP($U$113,'TAR FIN'!$A$1:$O$88,15,0)),0,VLOOKUP($U$113,'TAR FIN'!$A$1:$O$88,15,0))</f>
        <v>0</v>
      </c>
      <c r="Y113" s="6"/>
      <c r="Z113" s="6">
        <f ca="1">('TUSD BE'!$AM$20+'TUSD BF_350'!$AM$20+'TUSD CVA'!$AM$20)*1</f>
        <v>310.49</v>
      </c>
      <c r="AA113" s="6">
        <f ca="1">('TE BE'!$AB$11+'TE BF_350'!$AB$11+'TE CVA'!$AB$11)*1</f>
        <v>262.52999999999997</v>
      </c>
      <c r="AB113" s="6">
        <f>$K$113*$V$113</f>
        <v>0</v>
      </c>
      <c r="AC113" s="6">
        <f>$M$113*$W$113</f>
        <v>0</v>
      </c>
      <c r="AD113" s="6">
        <f>$O$113*$X$113</f>
        <v>0</v>
      </c>
      <c r="AE113" s="6">
        <f>$K$113*$Y$113</f>
        <v>0</v>
      </c>
      <c r="AF113" s="6">
        <f ca="1">$M$113*$Z$113</f>
        <v>785.53969999999993</v>
      </c>
      <c r="AG113" s="6">
        <f ca="1">$O$113*$AA$113</f>
        <v>664.20089999999993</v>
      </c>
    </row>
    <row r="114" spans="1:33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44470</v>
      </c>
      <c r="J114" s="6">
        <v>0</v>
      </c>
      <c r="K114" s="6">
        <v>0</v>
      </c>
      <c r="L114" s="6">
        <v>562.58399999999995</v>
      </c>
      <c r="M114" s="6">
        <v>562.58399999999995</v>
      </c>
      <c r="N114" s="6">
        <v>562.58399999999995</v>
      </c>
      <c r="O114" s="6">
        <v>562.58399999999995</v>
      </c>
      <c r="P114" s="6">
        <v>2968</v>
      </c>
      <c r="Q114" s="4" t="s">
        <v>26</v>
      </c>
      <c r="R114" s="4">
        <v>0</v>
      </c>
      <c r="S114" s="6">
        <v>0</v>
      </c>
      <c r="T114" s="6">
        <v>18</v>
      </c>
      <c r="U114" s="6">
        <v>56</v>
      </c>
      <c r="V114" s="6">
        <f>IF(ISERROR(VLOOKUP($S$114,'TAR FIN'!$A$1:$O$88,15,0)),0,VLOOKUP($S$114,'TAR FIN'!$A$1:$O$88,15,0))</f>
        <v>0</v>
      </c>
      <c r="W114" s="6">
        <f>IF(ISERROR(VLOOKUP($T$114,'TAR FIN'!$A$1:$O$88,15,0)),0,VLOOKUP($T$114,'TAR FIN'!$A$1:$O$88,15,0))</f>
        <v>0</v>
      </c>
      <c r="X114" s="6">
        <f>IF(ISERROR(VLOOKUP($U$114,'TAR FIN'!$A$1:$O$88,15,0)),0,VLOOKUP($U$114,'TAR FIN'!$A$1:$O$88,15,0))</f>
        <v>0</v>
      </c>
      <c r="Y114" s="6"/>
      <c r="Z114" s="6">
        <f ca="1">('TUSD BE'!$AM$20+'TUSD BF_350'!$AM$20+'TUSD CVA'!$AM$20)*1</f>
        <v>310.49</v>
      </c>
      <c r="AA114" s="6">
        <f ca="1">('TE BE'!$AB$11+'TE BF_350'!$AB$11+'TE CVA'!$AB$11)*1</f>
        <v>262.52999999999997</v>
      </c>
      <c r="AB114" s="6">
        <f>$K$114*$V$114</f>
        <v>0</v>
      </c>
      <c r="AC114" s="6">
        <f>$M$114*$W$114</f>
        <v>0</v>
      </c>
      <c r="AD114" s="6">
        <f>$O$114*$X$114</f>
        <v>0</v>
      </c>
      <c r="AE114" s="6">
        <f>$K$114*$Y$114</f>
        <v>0</v>
      </c>
      <c r="AF114" s="6">
        <f ca="1">$M$114*$Z$114</f>
        <v>174676.70616</v>
      </c>
      <c r="AG114" s="6">
        <f ca="1">$O$114*$AA$114</f>
        <v>147695.17751999997</v>
      </c>
    </row>
    <row r="115" spans="1:33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44470</v>
      </c>
      <c r="J115" s="6">
        <v>0</v>
      </c>
      <c r="K115" s="6">
        <v>0</v>
      </c>
      <c r="L115" s="6">
        <v>2.69</v>
      </c>
      <c r="M115" s="6">
        <v>2.69</v>
      </c>
      <c r="N115" s="6">
        <v>2.69</v>
      </c>
      <c r="O115" s="6">
        <v>2.69</v>
      </c>
      <c r="P115" s="6">
        <v>24</v>
      </c>
      <c r="Q115" s="4" t="s">
        <v>26</v>
      </c>
      <c r="R115" s="4">
        <v>0</v>
      </c>
      <c r="S115" s="6">
        <v>0</v>
      </c>
      <c r="T115" s="6">
        <v>18</v>
      </c>
      <c r="U115" s="6">
        <v>56</v>
      </c>
      <c r="V115" s="6">
        <f>IF(ISERROR(VLOOKUP($S$115,'TAR FIN'!$A$1:$O$88,15,0)),0,VLOOKUP($S$115,'TAR FIN'!$A$1:$O$88,15,0))</f>
        <v>0</v>
      </c>
      <c r="W115" s="6">
        <f>IF(ISERROR(VLOOKUP($T$115,'TAR FIN'!$A$1:$O$88,15,0)),0,VLOOKUP($T$115,'TAR FIN'!$A$1:$O$88,15,0))</f>
        <v>0</v>
      </c>
      <c r="X115" s="6">
        <f>IF(ISERROR(VLOOKUP($U$115,'TAR FIN'!$A$1:$O$88,15,0)),0,VLOOKUP($U$115,'TAR FIN'!$A$1:$O$88,15,0))</f>
        <v>0</v>
      </c>
      <c r="Y115" s="6"/>
      <c r="Z115" s="6">
        <f ca="1">('TUSD BE'!$AM$20+'TUSD BF_350'!$AM$20+'TUSD CVA'!$AM$20)*1</f>
        <v>310.49</v>
      </c>
      <c r="AA115" s="6">
        <f ca="1">('TE BE'!$AB$11+'TE BF_350'!$AB$11+'TE CVA'!$AB$11)*1</f>
        <v>262.52999999999997</v>
      </c>
      <c r="AB115" s="6">
        <f>$K$115*$V$115</f>
        <v>0</v>
      </c>
      <c r="AC115" s="6">
        <f>$M$115*$W$115</f>
        <v>0</v>
      </c>
      <c r="AD115" s="6">
        <f>$O$115*$X$115</f>
        <v>0</v>
      </c>
      <c r="AE115" s="6">
        <f>$K$115*$Y$115</f>
        <v>0</v>
      </c>
      <c r="AF115" s="6">
        <f ca="1">$M$115*$Z$115</f>
        <v>835.21810000000005</v>
      </c>
      <c r="AG115" s="6">
        <f ca="1">$O$115*$AA$115</f>
        <v>706.20569999999987</v>
      </c>
    </row>
    <row r="116" spans="1:33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44501</v>
      </c>
      <c r="J116" s="6">
        <v>0</v>
      </c>
      <c r="K116" s="6">
        <v>0</v>
      </c>
      <c r="L116" s="6">
        <v>559.34100000000001</v>
      </c>
      <c r="M116" s="6">
        <v>559.34100000000001</v>
      </c>
      <c r="N116" s="6">
        <v>559.34100000000001</v>
      </c>
      <c r="O116" s="6">
        <v>559.34100000000001</v>
      </c>
      <c r="P116" s="6">
        <v>2956</v>
      </c>
      <c r="Q116" s="4" t="s">
        <v>26</v>
      </c>
      <c r="R116" s="4">
        <v>0</v>
      </c>
      <c r="S116" s="6">
        <v>0</v>
      </c>
      <c r="T116" s="6">
        <v>18</v>
      </c>
      <c r="U116" s="6">
        <v>56</v>
      </c>
      <c r="V116" s="6">
        <f>IF(ISERROR(VLOOKUP($S$116,'TAR FIN'!$A$1:$O$88,15,0)),0,VLOOKUP($S$116,'TAR FIN'!$A$1:$O$88,15,0))</f>
        <v>0</v>
      </c>
      <c r="W116" s="6">
        <f>IF(ISERROR(VLOOKUP($T$116,'TAR FIN'!$A$1:$O$88,15,0)),0,VLOOKUP($T$116,'TAR FIN'!$A$1:$O$88,15,0))</f>
        <v>0</v>
      </c>
      <c r="X116" s="6">
        <f>IF(ISERROR(VLOOKUP($U$116,'TAR FIN'!$A$1:$O$88,15,0)),0,VLOOKUP($U$116,'TAR FIN'!$A$1:$O$88,15,0))</f>
        <v>0</v>
      </c>
      <c r="Y116" s="6"/>
      <c r="Z116" s="6">
        <f ca="1">('TUSD BE'!$AM$20+'TUSD BF_350'!$AM$20+'TUSD CVA'!$AM$20)*1</f>
        <v>310.49</v>
      </c>
      <c r="AA116" s="6">
        <f ca="1">('TE BE'!$AB$11+'TE BF_350'!$AB$11+'TE CVA'!$AB$11)*1</f>
        <v>262.52999999999997</v>
      </c>
      <c r="AB116" s="6">
        <f>$K$116*$V$116</f>
        <v>0</v>
      </c>
      <c r="AC116" s="6">
        <f>$M$116*$W$116</f>
        <v>0</v>
      </c>
      <c r="AD116" s="6">
        <f>$O$116*$X$116</f>
        <v>0</v>
      </c>
      <c r="AE116" s="6">
        <f>$K$116*$Y$116</f>
        <v>0</v>
      </c>
      <c r="AF116" s="6">
        <f ca="1">$M$116*$Z$116</f>
        <v>173669.78709</v>
      </c>
      <c r="AG116" s="6">
        <f ca="1">$O$116*$AA$116</f>
        <v>146843.79272999999</v>
      </c>
    </row>
    <row r="117" spans="1:33" ht="11.25" customHeight="1" x14ac:dyDescent="0.25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44501</v>
      </c>
      <c r="J117" s="6">
        <v>0</v>
      </c>
      <c r="K117" s="6">
        <v>0</v>
      </c>
      <c r="L117" s="6">
        <v>2.0569999999999999</v>
      </c>
      <c r="M117" s="6">
        <v>2.0569999999999999</v>
      </c>
      <c r="N117" s="6">
        <v>2.0569999999999999</v>
      </c>
      <c r="O117" s="6">
        <v>2.0569999999999999</v>
      </c>
      <c r="P117" s="6">
        <v>24</v>
      </c>
      <c r="Q117" s="4" t="s">
        <v>26</v>
      </c>
      <c r="R117" s="4">
        <v>0</v>
      </c>
      <c r="S117" s="6">
        <v>0</v>
      </c>
      <c r="T117" s="6">
        <v>18</v>
      </c>
      <c r="U117" s="6">
        <v>56</v>
      </c>
      <c r="V117" s="6">
        <f>IF(ISERROR(VLOOKUP($S$117,'TAR FIN'!$A$1:$O$88,15,0)),0,VLOOKUP($S$117,'TAR FIN'!$A$1:$O$88,15,0))</f>
        <v>0</v>
      </c>
      <c r="W117" s="6">
        <f>IF(ISERROR(VLOOKUP($T$117,'TAR FIN'!$A$1:$O$88,15,0)),0,VLOOKUP($T$117,'TAR FIN'!$A$1:$O$88,15,0))</f>
        <v>0</v>
      </c>
      <c r="X117" s="6">
        <f>IF(ISERROR(VLOOKUP($U$117,'TAR FIN'!$A$1:$O$88,15,0)),0,VLOOKUP($U$117,'TAR FIN'!$A$1:$O$88,15,0))</f>
        <v>0</v>
      </c>
      <c r="Y117" s="6"/>
      <c r="Z117" s="6">
        <f ca="1">('TUSD BE'!$AM$20+'TUSD BF_350'!$AM$20+'TUSD CVA'!$AM$20)*1</f>
        <v>310.49</v>
      </c>
      <c r="AA117" s="6">
        <f ca="1">('TE BE'!$AB$11+'TE BF_350'!$AB$11+'TE CVA'!$AB$11)*1</f>
        <v>262.52999999999997</v>
      </c>
      <c r="AB117" s="6">
        <f>$K$117*$V$117</f>
        <v>0</v>
      </c>
      <c r="AC117" s="6">
        <f>$M$117*$W$117</f>
        <v>0</v>
      </c>
      <c r="AD117" s="6">
        <f>$O$117*$X$117</f>
        <v>0</v>
      </c>
      <c r="AE117" s="6">
        <f>$K$117*$Y$117</f>
        <v>0</v>
      </c>
      <c r="AF117" s="6">
        <f ca="1">$M$117*$Z$117</f>
        <v>638.67792999999995</v>
      </c>
      <c r="AG117" s="6">
        <f ca="1">$O$117*$AA$117</f>
        <v>540.02420999999993</v>
      </c>
    </row>
    <row r="118" spans="1:33" ht="11.25" customHeight="1" x14ac:dyDescent="0.25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44531</v>
      </c>
      <c r="J118" s="6">
        <v>0</v>
      </c>
      <c r="K118" s="6">
        <v>0</v>
      </c>
      <c r="L118" s="6">
        <v>530.17100000000005</v>
      </c>
      <c r="M118" s="6">
        <v>530.17100000000005</v>
      </c>
      <c r="N118" s="6">
        <v>530.17100000000005</v>
      </c>
      <c r="O118" s="6">
        <v>530.17100000000005</v>
      </c>
      <c r="P118" s="6">
        <v>2952</v>
      </c>
      <c r="Q118" s="4" t="s">
        <v>26</v>
      </c>
      <c r="R118" s="4">
        <v>0</v>
      </c>
      <c r="S118" s="6">
        <v>0</v>
      </c>
      <c r="T118" s="6">
        <v>18</v>
      </c>
      <c r="U118" s="6">
        <v>56</v>
      </c>
      <c r="V118" s="6">
        <f>IF(ISERROR(VLOOKUP($S$118,'TAR FIN'!$A$1:$O$88,15,0)),0,VLOOKUP($S$118,'TAR FIN'!$A$1:$O$88,15,0))</f>
        <v>0</v>
      </c>
      <c r="W118" s="6">
        <f>IF(ISERROR(VLOOKUP($T$118,'TAR FIN'!$A$1:$O$88,15,0)),0,VLOOKUP($T$118,'TAR FIN'!$A$1:$O$88,15,0))</f>
        <v>0</v>
      </c>
      <c r="X118" s="6">
        <f>IF(ISERROR(VLOOKUP($U$118,'TAR FIN'!$A$1:$O$88,15,0)),0,VLOOKUP($U$118,'TAR FIN'!$A$1:$O$88,15,0))</f>
        <v>0</v>
      </c>
      <c r="Y118" s="6"/>
      <c r="Z118" s="6">
        <f ca="1">('TUSD BE'!$AM$20+'TUSD BF_350'!$AM$20+'TUSD CVA'!$AM$20)*1</f>
        <v>310.49</v>
      </c>
      <c r="AA118" s="6">
        <f ca="1">('TE BE'!$AB$11+'TE BF_350'!$AB$11+'TE CVA'!$AB$11)*1</f>
        <v>262.52999999999997</v>
      </c>
      <c r="AB118" s="6">
        <f>$K$118*$V$118</f>
        <v>0</v>
      </c>
      <c r="AC118" s="6">
        <f>$M$118*$W$118</f>
        <v>0</v>
      </c>
      <c r="AD118" s="6">
        <f>$O$118*$X$118</f>
        <v>0</v>
      </c>
      <c r="AE118" s="6">
        <f>$K$118*$Y$118</f>
        <v>0</v>
      </c>
      <c r="AF118" s="6">
        <f ca="1">$M$118*$Z$118</f>
        <v>164612.79379000003</v>
      </c>
      <c r="AG118" s="6">
        <f ca="1">$O$118*$AA$118</f>
        <v>139185.79263000001</v>
      </c>
    </row>
    <row r="119" spans="1:33" ht="11.25" customHeight="1" x14ac:dyDescent="0.25">
      <c r="A119" s="4" t="s">
        <v>27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44531</v>
      </c>
      <c r="J119" s="6">
        <v>0</v>
      </c>
      <c r="K119" s="6">
        <v>0</v>
      </c>
      <c r="L119" s="6">
        <v>2.0190000000000001</v>
      </c>
      <c r="M119" s="6">
        <v>2.0190000000000001</v>
      </c>
      <c r="N119" s="6">
        <v>2.0190000000000001</v>
      </c>
      <c r="O119" s="6">
        <v>2.0190000000000001</v>
      </c>
      <c r="P119" s="6">
        <v>27</v>
      </c>
      <c r="Q119" s="4" t="s">
        <v>26</v>
      </c>
      <c r="R119" s="4">
        <v>0</v>
      </c>
      <c r="S119" s="6">
        <v>0</v>
      </c>
      <c r="T119" s="6">
        <v>18</v>
      </c>
      <c r="U119" s="6">
        <v>56</v>
      </c>
      <c r="V119" s="6">
        <f>IF(ISERROR(VLOOKUP($S$119,'TAR FIN'!$A$1:$O$88,15,0)),0,VLOOKUP($S$119,'TAR FIN'!$A$1:$O$88,15,0))</f>
        <v>0</v>
      </c>
      <c r="W119" s="6">
        <f>IF(ISERROR(VLOOKUP($T$119,'TAR FIN'!$A$1:$O$88,15,0)),0,VLOOKUP($T$119,'TAR FIN'!$A$1:$O$88,15,0))</f>
        <v>0</v>
      </c>
      <c r="X119" s="6">
        <f>IF(ISERROR(VLOOKUP($U$119,'TAR FIN'!$A$1:$O$88,15,0)),0,VLOOKUP($U$119,'TAR FIN'!$A$1:$O$88,15,0))</f>
        <v>0</v>
      </c>
      <c r="Y119" s="6"/>
      <c r="Z119" s="6">
        <f ca="1">('TUSD BE'!$AM$20+'TUSD BF_350'!$AM$20+'TUSD CVA'!$AM$20)*1</f>
        <v>310.49</v>
      </c>
      <c r="AA119" s="6">
        <f ca="1">('TE BE'!$AB$11+'TE BF_350'!$AB$11+'TE CVA'!$AB$11)*1</f>
        <v>262.52999999999997</v>
      </c>
      <c r="AB119" s="6">
        <f>$K$119*$V$119</f>
        <v>0</v>
      </c>
      <c r="AC119" s="6">
        <f>$M$119*$W$119</f>
        <v>0</v>
      </c>
      <c r="AD119" s="6">
        <f>$O$119*$X$119</f>
        <v>0</v>
      </c>
      <c r="AE119" s="6">
        <f>$K$119*$Y$119</f>
        <v>0</v>
      </c>
      <c r="AF119" s="6">
        <f ca="1">$M$119*$Z$119</f>
        <v>626.87931000000003</v>
      </c>
      <c r="AG119" s="6">
        <f ca="1">$O$119*$AA$119</f>
        <v>530.04806999999994</v>
      </c>
    </row>
    <row r="120" spans="1:33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510.87900000000002</v>
      </c>
      <c r="M120" s="6">
        <v>510.87900000000002</v>
      </c>
      <c r="N120" s="6">
        <v>510.87900000000002</v>
      </c>
      <c r="O120" s="6">
        <v>510.87900000000002</v>
      </c>
      <c r="P120" s="6">
        <v>2977</v>
      </c>
      <c r="Q120" s="4" t="s">
        <v>26</v>
      </c>
      <c r="R120" s="4">
        <v>0</v>
      </c>
      <c r="S120" s="6">
        <v>0</v>
      </c>
      <c r="T120" s="6">
        <v>18</v>
      </c>
      <c r="U120" s="6">
        <v>56</v>
      </c>
      <c r="V120" s="6">
        <f>IF(ISERROR(VLOOKUP($S$120,'TAR FIN'!$A$1:$O$88,15,0)),0,VLOOKUP($S$120,'TAR FIN'!$A$1:$O$88,15,0))</f>
        <v>0</v>
      </c>
      <c r="W120" s="6">
        <f>IF(ISERROR(VLOOKUP($T$120,'TAR FIN'!$A$1:$O$88,15,0)),0,VLOOKUP($T$120,'TAR FIN'!$A$1:$O$88,15,0))</f>
        <v>0</v>
      </c>
      <c r="X120" s="6">
        <f>IF(ISERROR(VLOOKUP($U$120,'TAR FIN'!$A$1:$O$88,15,0)),0,VLOOKUP($U$120,'TAR FIN'!$A$1:$O$88,15,0))</f>
        <v>0</v>
      </c>
      <c r="Y120" s="6"/>
      <c r="Z120" s="6">
        <f ca="1">('TUSD BE'!$AM$20+'TUSD BF_350'!$AM$20+'TUSD CVA'!$AM$20)*1</f>
        <v>310.49</v>
      </c>
      <c r="AA120" s="6">
        <f ca="1">('TE BE'!$AB$11+'TE BF_350'!$AB$11+'TE CVA'!$AB$11)*1</f>
        <v>262.52999999999997</v>
      </c>
      <c r="AB120" s="6">
        <f>$K$120*$V$120</f>
        <v>0</v>
      </c>
      <c r="AC120" s="6">
        <f>$M$120*$W$120</f>
        <v>0</v>
      </c>
      <c r="AD120" s="6">
        <f>$O$120*$X$120</f>
        <v>0</v>
      </c>
      <c r="AE120" s="6">
        <f>$K$120*$Y$120</f>
        <v>0</v>
      </c>
      <c r="AF120" s="6">
        <f ca="1">$M$120*$Z$120</f>
        <v>158622.82071</v>
      </c>
      <c r="AG120" s="6">
        <f ca="1">$O$120*$AA$120</f>
        <v>134121.06386999998</v>
      </c>
    </row>
    <row r="121" spans="1:33" ht="11.25" customHeight="1" x14ac:dyDescent="0.25">
      <c r="A121" s="4" t="s">
        <v>27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44562</v>
      </c>
      <c r="J121" s="6">
        <v>0</v>
      </c>
      <c r="K121" s="6">
        <v>0</v>
      </c>
      <c r="L121" s="6">
        <v>3.1949999999999998</v>
      </c>
      <c r="M121" s="6">
        <v>3.1949999999999998</v>
      </c>
      <c r="N121" s="6">
        <v>3.1949999999999998</v>
      </c>
      <c r="O121" s="6">
        <v>3.1949999999999998</v>
      </c>
      <c r="P121" s="6">
        <v>38</v>
      </c>
      <c r="Q121" s="4" t="s">
        <v>26</v>
      </c>
      <c r="R121" s="4">
        <v>0</v>
      </c>
      <c r="S121" s="6">
        <v>0</v>
      </c>
      <c r="T121" s="6">
        <v>18</v>
      </c>
      <c r="U121" s="6">
        <v>56</v>
      </c>
      <c r="V121" s="6">
        <f>IF(ISERROR(VLOOKUP($S$121,'TAR FIN'!$A$1:$O$88,15,0)),0,VLOOKUP($S$121,'TAR FIN'!$A$1:$O$88,15,0))</f>
        <v>0</v>
      </c>
      <c r="W121" s="6">
        <f>IF(ISERROR(VLOOKUP($T$121,'TAR FIN'!$A$1:$O$88,15,0)),0,VLOOKUP($T$121,'TAR FIN'!$A$1:$O$88,15,0))</f>
        <v>0</v>
      </c>
      <c r="X121" s="6">
        <f>IF(ISERROR(VLOOKUP($U$121,'TAR FIN'!$A$1:$O$88,15,0)),0,VLOOKUP($U$121,'TAR FIN'!$A$1:$O$88,15,0))</f>
        <v>0</v>
      </c>
      <c r="Y121" s="6"/>
      <c r="Z121" s="6">
        <f ca="1">('TUSD BE'!$AM$20+'TUSD BF_350'!$AM$20+'TUSD CVA'!$AM$20)*1</f>
        <v>310.49</v>
      </c>
      <c r="AA121" s="6">
        <f ca="1">('TE BE'!$AB$11+'TE BF_350'!$AB$11+'TE CVA'!$AB$11)*1</f>
        <v>262.52999999999997</v>
      </c>
      <c r="AB121" s="6">
        <f>$K$121*$V$121</f>
        <v>0</v>
      </c>
      <c r="AC121" s="6">
        <f>$M$121*$W$121</f>
        <v>0</v>
      </c>
      <c r="AD121" s="6">
        <f>$O$121*$X$121</f>
        <v>0</v>
      </c>
      <c r="AE121" s="6">
        <f>$K$121*$Y$121</f>
        <v>0</v>
      </c>
      <c r="AF121" s="6">
        <f ca="1">$M$121*$Z$121</f>
        <v>992.01554999999996</v>
      </c>
      <c r="AG121" s="6">
        <f ca="1">$O$121*$AA$121</f>
        <v>838.78334999999993</v>
      </c>
    </row>
    <row r="122" spans="1:33" ht="11.25" customHeight="1" x14ac:dyDescent="0.25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44593</v>
      </c>
      <c r="J122" s="6">
        <v>0</v>
      </c>
      <c r="K122" s="6">
        <v>0</v>
      </c>
      <c r="L122" s="6">
        <v>683.03399999999999</v>
      </c>
      <c r="M122" s="6">
        <v>683.03399999999999</v>
      </c>
      <c r="N122" s="6">
        <v>683.03399999999999</v>
      </c>
      <c r="O122" s="6">
        <v>683.03399999999999</v>
      </c>
      <c r="P122" s="6">
        <v>2972</v>
      </c>
      <c r="Q122" s="4" t="s">
        <v>26</v>
      </c>
      <c r="R122" s="4">
        <v>0</v>
      </c>
      <c r="S122" s="6">
        <v>0</v>
      </c>
      <c r="T122" s="6">
        <v>18</v>
      </c>
      <c r="U122" s="6">
        <v>56</v>
      </c>
      <c r="V122" s="6">
        <f>IF(ISERROR(VLOOKUP($S$122,'TAR FIN'!$A$1:$O$88,15,0)),0,VLOOKUP($S$122,'TAR FIN'!$A$1:$O$88,15,0))</f>
        <v>0</v>
      </c>
      <c r="W122" s="6">
        <f>IF(ISERROR(VLOOKUP($T$122,'TAR FIN'!$A$1:$O$88,15,0)),0,VLOOKUP($T$122,'TAR FIN'!$A$1:$O$88,15,0))</f>
        <v>0</v>
      </c>
      <c r="X122" s="6">
        <f>IF(ISERROR(VLOOKUP($U$122,'TAR FIN'!$A$1:$O$88,15,0)),0,VLOOKUP($U$122,'TAR FIN'!$A$1:$O$88,15,0))</f>
        <v>0</v>
      </c>
      <c r="Y122" s="6"/>
      <c r="Z122" s="6">
        <f ca="1">('TUSD BE'!$AM$20+'TUSD BF_350'!$AM$20+'TUSD CVA'!$AM$20)*1</f>
        <v>310.49</v>
      </c>
      <c r="AA122" s="6">
        <f ca="1">('TE BE'!$AB$11+'TE BF_350'!$AB$11+'TE CVA'!$AB$11)*1</f>
        <v>262.52999999999997</v>
      </c>
      <c r="AB122" s="6">
        <f>$K$122*$V$122</f>
        <v>0</v>
      </c>
      <c r="AC122" s="6">
        <f>$M$122*$W$122</f>
        <v>0</v>
      </c>
      <c r="AD122" s="6">
        <f>$O$122*$X$122</f>
        <v>0</v>
      </c>
      <c r="AE122" s="6">
        <f>$K$122*$Y$122</f>
        <v>0</v>
      </c>
      <c r="AF122" s="6">
        <f ca="1">$M$122*$Z$122</f>
        <v>212075.22666000001</v>
      </c>
      <c r="AG122" s="6">
        <f ca="1">$O$122*$AA$122</f>
        <v>179316.91601999998</v>
      </c>
    </row>
    <row r="123" spans="1:33" ht="11.25" customHeight="1" x14ac:dyDescent="0.25">
      <c r="A123" s="4" t="s">
        <v>27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44593</v>
      </c>
      <c r="J123" s="6">
        <v>0</v>
      </c>
      <c r="K123" s="6">
        <v>0</v>
      </c>
      <c r="L123" s="6">
        <v>4.5869999999999997</v>
      </c>
      <c r="M123" s="6">
        <v>4.5869999999999997</v>
      </c>
      <c r="N123" s="6">
        <v>4.5869999999999997</v>
      </c>
      <c r="O123" s="6">
        <v>4.5869999999999997</v>
      </c>
      <c r="P123" s="6">
        <v>44</v>
      </c>
      <c r="Q123" s="4" t="s">
        <v>26</v>
      </c>
      <c r="R123" s="4">
        <v>0</v>
      </c>
      <c r="S123" s="6">
        <v>0</v>
      </c>
      <c r="T123" s="6">
        <v>18</v>
      </c>
      <c r="U123" s="6">
        <v>56</v>
      </c>
      <c r="V123" s="6">
        <f>IF(ISERROR(VLOOKUP($S$123,'TAR FIN'!$A$1:$O$88,15,0)),0,VLOOKUP($S$123,'TAR FIN'!$A$1:$O$88,15,0))</f>
        <v>0</v>
      </c>
      <c r="W123" s="6">
        <f>IF(ISERROR(VLOOKUP($T$123,'TAR FIN'!$A$1:$O$88,15,0)),0,VLOOKUP($T$123,'TAR FIN'!$A$1:$O$88,15,0))</f>
        <v>0</v>
      </c>
      <c r="X123" s="6">
        <f>IF(ISERROR(VLOOKUP($U$123,'TAR FIN'!$A$1:$O$88,15,0)),0,VLOOKUP($U$123,'TAR FIN'!$A$1:$O$88,15,0))</f>
        <v>0</v>
      </c>
      <c r="Y123" s="6"/>
      <c r="Z123" s="6">
        <f ca="1">('TUSD BE'!$AM$20+'TUSD BF_350'!$AM$20+'TUSD CVA'!$AM$20)*1</f>
        <v>310.49</v>
      </c>
      <c r="AA123" s="6">
        <f ca="1">('TE BE'!$AB$11+'TE BF_350'!$AB$11+'TE CVA'!$AB$11)*1</f>
        <v>262.52999999999997</v>
      </c>
      <c r="AB123" s="6">
        <f>$K$123*$V$123</f>
        <v>0</v>
      </c>
      <c r="AC123" s="6">
        <f>$M$123*$W$123</f>
        <v>0</v>
      </c>
      <c r="AD123" s="6">
        <f>$O$123*$X$123</f>
        <v>0</v>
      </c>
      <c r="AE123" s="6">
        <f>$K$123*$Y$123</f>
        <v>0</v>
      </c>
      <c r="AF123" s="6">
        <f ca="1">$M$123*$Z$123</f>
        <v>1424.2176299999999</v>
      </c>
      <c r="AG123" s="6">
        <f ca="1">$O$123*$AA$123</f>
        <v>1204.2251099999999</v>
      </c>
    </row>
    <row r="124" spans="1:33" ht="11.25" customHeight="1" x14ac:dyDescent="0.25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44621</v>
      </c>
      <c r="J124" s="6">
        <v>0</v>
      </c>
      <c r="K124" s="6">
        <v>0</v>
      </c>
      <c r="L124" s="6">
        <v>543.96900000000005</v>
      </c>
      <c r="M124" s="6">
        <v>543.96900000000005</v>
      </c>
      <c r="N124" s="6">
        <v>543.96900000000005</v>
      </c>
      <c r="O124" s="6">
        <v>543.96900000000005</v>
      </c>
      <c r="P124" s="6">
        <v>2975</v>
      </c>
      <c r="Q124" s="4" t="s">
        <v>26</v>
      </c>
      <c r="R124" s="4">
        <v>0</v>
      </c>
      <c r="S124" s="6">
        <v>0</v>
      </c>
      <c r="T124" s="6">
        <v>18</v>
      </c>
      <c r="U124" s="6">
        <v>56</v>
      </c>
      <c r="V124" s="6">
        <f>IF(ISERROR(VLOOKUP($S$124,'TAR FIN'!$A$1:$O$88,15,0)),0,VLOOKUP($S$124,'TAR FIN'!$A$1:$O$88,15,0))</f>
        <v>0</v>
      </c>
      <c r="W124" s="6">
        <f>IF(ISERROR(VLOOKUP($T$124,'TAR FIN'!$A$1:$O$88,15,0)),0,VLOOKUP($T$124,'TAR FIN'!$A$1:$O$88,15,0))</f>
        <v>0</v>
      </c>
      <c r="X124" s="6">
        <f>IF(ISERROR(VLOOKUP($U$124,'TAR FIN'!$A$1:$O$88,15,0)),0,VLOOKUP($U$124,'TAR FIN'!$A$1:$O$88,15,0))</f>
        <v>0</v>
      </c>
      <c r="Y124" s="6"/>
      <c r="Z124" s="6">
        <f ca="1">('TUSD BE'!$AM$20+'TUSD BF_350'!$AM$20+'TUSD CVA'!$AM$20)*1</f>
        <v>310.49</v>
      </c>
      <c r="AA124" s="6">
        <f ca="1">('TE BE'!$AB$11+'TE BF_350'!$AB$11+'TE CVA'!$AB$11)*1</f>
        <v>262.52999999999997</v>
      </c>
      <c r="AB124" s="6">
        <f>$K$124*$V$124</f>
        <v>0</v>
      </c>
      <c r="AC124" s="6">
        <f>$M$124*$W$124</f>
        <v>0</v>
      </c>
      <c r="AD124" s="6">
        <f>$O$124*$X$124</f>
        <v>0</v>
      </c>
      <c r="AE124" s="6">
        <f>$K$124*$Y$124</f>
        <v>0</v>
      </c>
      <c r="AF124" s="6">
        <f ca="1">$M$124*$Z$124</f>
        <v>168896.93481000004</v>
      </c>
      <c r="AG124" s="6">
        <f ca="1">$O$124*$AA$124</f>
        <v>142808.18156999999</v>
      </c>
    </row>
    <row r="125" spans="1:33" ht="11.25" customHeight="1" x14ac:dyDescent="0.25">
      <c r="A125" s="4" t="s">
        <v>27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44621</v>
      </c>
      <c r="J125" s="6">
        <v>0</v>
      </c>
      <c r="K125" s="6">
        <v>0</v>
      </c>
      <c r="L125" s="6">
        <v>3.645</v>
      </c>
      <c r="M125" s="6">
        <v>3.645</v>
      </c>
      <c r="N125" s="6">
        <v>3.645</v>
      </c>
      <c r="O125" s="6">
        <v>3.645</v>
      </c>
      <c r="P125" s="6">
        <v>48</v>
      </c>
      <c r="Q125" s="4" t="s">
        <v>26</v>
      </c>
      <c r="R125" s="4">
        <v>0</v>
      </c>
      <c r="S125" s="6">
        <v>0</v>
      </c>
      <c r="T125" s="6">
        <v>18</v>
      </c>
      <c r="U125" s="6">
        <v>56</v>
      </c>
      <c r="V125" s="6">
        <f>IF(ISERROR(VLOOKUP($S$125,'TAR FIN'!$A$1:$O$88,15,0)),0,VLOOKUP($S$125,'TAR FIN'!$A$1:$O$88,15,0))</f>
        <v>0</v>
      </c>
      <c r="W125" s="6">
        <f>IF(ISERROR(VLOOKUP($T$125,'TAR FIN'!$A$1:$O$88,15,0)),0,VLOOKUP($T$125,'TAR FIN'!$A$1:$O$88,15,0))</f>
        <v>0</v>
      </c>
      <c r="X125" s="6">
        <f>IF(ISERROR(VLOOKUP($U$125,'TAR FIN'!$A$1:$O$88,15,0)),0,VLOOKUP($U$125,'TAR FIN'!$A$1:$O$88,15,0))</f>
        <v>0</v>
      </c>
      <c r="Y125" s="6"/>
      <c r="Z125" s="6">
        <f ca="1">('TUSD BE'!$AM$20+'TUSD BF_350'!$AM$20+'TUSD CVA'!$AM$20)*1</f>
        <v>310.49</v>
      </c>
      <c r="AA125" s="6">
        <f ca="1">('TE BE'!$AB$11+'TE BF_350'!$AB$11+'TE CVA'!$AB$11)*1</f>
        <v>262.52999999999997</v>
      </c>
      <c r="AB125" s="6">
        <f>$K$125*$V$125</f>
        <v>0</v>
      </c>
      <c r="AC125" s="6">
        <f>$M$125*$W$125</f>
        <v>0</v>
      </c>
      <c r="AD125" s="6">
        <f>$O$125*$X$125</f>
        <v>0</v>
      </c>
      <c r="AE125" s="6">
        <f>$K$125*$Y$125</f>
        <v>0</v>
      </c>
      <c r="AF125" s="6">
        <f ca="1">$M$125*$Z$125</f>
        <v>1131.73605</v>
      </c>
      <c r="AG125" s="6">
        <f ca="1">$O$125*$AA$125</f>
        <v>956.92184999999995</v>
      </c>
    </row>
    <row r="126" spans="1:33" ht="11.25" customHeight="1" x14ac:dyDescent="0.25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25</v>
      </c>
      <c r="I126" s="5">
        <v>44652</v>
      </c>
      <c r="J126" s="6">
        <v>0</v>
      </c>
      <c r="K126" s="6">
        <v>0</v>
      </c>
      <c r="L126" s="6">
        <v>587.64499999999998</v>
      </c>
      <c r="M126" s="6">
        <v>587.64499999999998</v>
      </c>
      <c r="N126" s="6">
        <v>587.64499999999998</v>
      </c>
      <c r="O126" s="6">
        <v>587.64499999999998</v>
      </c>
      <c r="P126" s="6">
        <v>2968</v>
      </c>
      <c r="Q126" s="4" t="s">
        <v>26</v>
      </c>
      <c r="R126" s="4">
        <v>0</v>
      </c>
      <c r="S126" s="6">
        <v>0</v>
      </c>
      <c r="T126" s="6">
        <v>18</v>
      </c>
      <c r="U126" s="6">
        <v>56</v>
      </c>
      <c r="V126" s="6">
        <f>IF(ISERROR(VLOOKUP($S$126,'TAR FIN'!$A$1:$O$88,15,0)),0,VLOOKUP($S$126,'TAR FIN'!$A$1:$O$88,15,0))</f>
        <v>0</v>
      </c>
      <c r="W126" s="6">
        <f>IF(ISERROR(VLOOKUP($T$126,'TAR FIN'!$A$1:$O$88,15,0)),0,VLOOKUP($T$126,'TAR FIN'!$A$1:$O$88,15,0))</f>
        <v>0</v>
      </c>
      <c r="X126" s="6">
        <f>IF(ISERROR(VLOOKUP($U$126,'TAR FIN'!$A$1:$O$88,15,0)),0,VLOOKUP($U$126,'TAR FIN'!$A$1:$O$88,15,0))</f>
        <v>0</v>
      </c>
      <c r="Y126" s="6"/>
      <c r="Z126" s="6">
        <f ca="1">('TUSD BE'!$AM$20+'TUSD BF_350'!$AM$20+'TUSD CVA'!$AM$20)*1</f>
        <v>310.49</v>
      </c>
      <c r="AA126" s="6">
        <f ca="1">('TE BE'!$AB$11+'TE BF_350'!$AB$11+'TE CVA'!$AB$11)*1</f>
        <v>262.52999999999997</v>
      </c>
      <c r="AB126" s="6">
        <f>$K$126*$V$126</f>
        <v>0</v>
      </c>
      <c r="AC126" s="6">
        <f>$M$126*$W$126</f>
        <v>0</v>
      </c>
      <c r="AD126" s="6">
        <f>$O$126*$X$126</f>
        <v>0</v>
      </c>
      <c r="AE126" s="6">
        <f>$K$126*$Y$126</f>
        <v>0</v>
      </c>
      <c r="AF126" s="6">
        <f ca="1">$M$126*$Z$126</f>
        <v>182457.89605000001</v>
      </c>
      <c r="AG126" s="6">
        <f ca="1">$O$126*$AA$126</f>
        <v>154274.44184999997</v>
      </c>
    </row>
    <row r="127" spans="1:33" ht="11.25" customHeight="1" x14ac:dyDescent="0.25">
      <c r="A127" s="4" t="s">
        <v>27</v>
      </c>
      <c r="B127" s="4" t="s">
        <v>22</v>
      </c>
      <c r="C127" s="4" t="s">
        <v>23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25</v>
      </c>
      <c r="I127" s="5">
        <v>44652</v>
      </c>
      <c r="J127" s="6">
        <v>0</v>
      </c>
      <c r="K127" s="6">
        <v>0</v>
      </c>
      <c r="L127" s="6">
        <v>6.05</v>
      </c>
      <c r="M127" s="6">
        <v>6.05</v>
      </c>
      <c r="N127" s="6">
        <v>6.05</v>
      </c>
      <c r="O127" s="6">
        <v>6.05</v>
      </c>
      <c r="P127" s="6">
        <v>56</v>
      </c>
      <c r="Q127" s="4" t="s">
        <v>26</v>
      </c>
      <c r="R127" s="4">
        <v>0</v>
      </c>
      <c r="S127" s="6">
        <v>0</v>
      </c>
      <c r="T127" s="6">
        <v>18</v>
      </c>
      <c r="U127" s="6">
        <v>56</v>
      </c>
      <c r="V127" s="6">
        <f>IF(ISERROR(VLOOKUP($S$127,'TAR FIN'!$A$1:$O$88,15,0)),0,VLOOKUP($S$127,'TAR FIN'!$A$1:$O$88,15,0))</f>
        <v>0</v>
      </c>
      <c r="W127" s="6">
        <f>IF(ISERROR(VLOOKUP($T$127,'TAR FIN'!$A$1:$O$88,15,0)),0,VLOOKUP($T$127,'TAR FIN'!$A$1:$O$88,15,0))</f>
        <v>0</v>
      </c>
      <c r="X127" s="6">
        <f>IF(ISERROR(VLOOKUP($U$127,'TAR FIN'!$A$1:$O$88,15,0)),0,VLOOKUP($U$127,'TAR FIN'!$A$1:$O$88,15,0))</f>
        <v>0</v>
      </c>
      <c r="Y127" s="6"/>
      <c r="Z127" s="6">
        <f ca="1">('TUSD BE'!$AM$20+'TUSD BF_350'!$AM$20+'TUSD CVA'!$AM$20)*1</f>
        <v>310.49</v>
      </c>
      <c r="AA127" s="6">
        <f ca="1">('TE BE'!$AB$11+'TE BF_350'!$AB$11+'TE CVA'!$AB$11)*1</f>
        <v>262.52999999999997</v>
      </c>
      <c r="AB127" s="6">
        <f>$K$127*$V$127</f>
        <v>0</v>
      </c>
      <c r="AC127" s="6">
        <f>$M$127*$W$127</f>
        <v>0</v>
      </c>
      <c r="AD127" s="6">
        <f>$O$127*$X$127</f>
        <v>0</v>
      </c>
      <c r="AE127" s="6">
        <f>$K$127*$Y$127</f>
        <v>0</v>
      </c>
      <c r="AF127" s="6">
        <f ca="1">$M$127*$Z$127</f>
        <v>1878.4645</v>
      </c>
      <c r="AG127" s="6">
        <f ca="1">$O$127*$AA$127</f>
        <v>1588.3064999999997</v>
      </c>
    </row>
    <row r="128" spans="1:33" ht="11.25" customHeight="1" x14ac:dyDescent="0.25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25</v>
      </c>
      <c r="I128" s="5">
        <v>44682</v>
      </c>
      <c r="J128" s="6">
        <v>0</v>
      </c>
      <c r="K128" s="6">
        <v>0</v>
      </c>
      <c r="L128" s="6">
        <v>522.48199999999997</v>
      </c>
      <c r="M128" s="6">
        <v>522.48199999999997</v>
      </c>
      <c r="N128" s="6">
        <v>522.48199999999997</v>
      </c>
      <c r="O128" s="6">
        <v>522.48199999999997</v>
      </c>
      <c r="P128" s="6">
        <v>2948</v>
      </c>
      <c r="Q128" s="4" t="s">
        <v>26</v>
      </c>
      <c r="R128" s="4">
        <v>0</v>
      </c>
      <c r="S128" s="6">
        <v>0</v>
      </c>
      <c r="T128" s="6">
        <v>18</v>
      </c>
      <c r="U128" s="6">
        <v>56</v>
      </c>
      <c r="V128" s="6">
        <f>IF(ISERROR(VLOOKUP($S$128,'TAR FIN'!$A$1:$O$88,15,0)),0,VLOOKUP($S$128,'TAR FIN'!$A$1:$O$88,15,0))</f>
        <v>0</v>
      </c>
      <c r="W128" s="6">
        <f>IF(ISERROR(VLOOKUP($T$128,'TAR FIN'!$A$1:$O$88,15,0)),0,VLOOKUP($T$128,'TAR FIN'!$A$1:$O$88,15,0))</f>
        <v>0</v>
      </c>
      <c r="X128" s="6">
        <f>IF(ISERROR(VLOOKUP($U$128,'TAR FIN'!$A$1:$O$88,15,0)),0,VLOOKUP($U$128,'TAR FIN'!$A$1:$O$88,15,0))</f>
        <v>0</v>
      </c>
      <c r="Y128" s="6"/>
      <c r="Z128" s="6">
        <f ca="1">('TUSD BE'!$AM$20+'TUSD BF_350'!$AM$20+'TUSD CVA'!$AM$20)*1</f>
        <v>310.49</v>
      </c>
      <c r="AA128" s="6">
        <f ca="1">('TE BE'!$AB$11+'TE BF_350'!$AB$11+'TE CVA'!$AB$11)*1</f>
        <v>262.52999999999997</v>
      </c>
      <c r="AB128" s="6">
        <f>$K$128*$V$128</f>
        <v>0</v>
      </c>
      <c r="AC128" s="6">
        <f>$M$128*$W$128</f>
        <v>0</v>
      </c>
      <c r="AD128" s="6">
        <f>$O$128*$X$128</f>
        <v>0</v>
      </c>
      <c r="AE128" s="6">
        <f>$K$128*$Y$128</f>
        <v>0</v>
      </c>
      <c r="AF128" s="6">
        <f ca="1">$M$128*$Z$128</f>
        <v>162225.43617999999</v>
      </c>
      <c r="AG128" s="6">
        <f ca="1">$O$128*$AA$128</f>
        <v>137167.19945999997</v>
      </c>
    </row>
    <row r="129" spans="1:33" ht="11.25" customHeight="1" x14ac:dyDescent="0.25">
      <c r="A129" s="4" t="s">
        <v>27</v>
      </c>
      <c r="B129" s="4" t="s">
        <v>22</v>
      </c>
      <c r="C129" s="4" t="s">
        <v>23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25</v>
      </c>
      <c r="I129" s="5">
        <v>44682</v>
      </c>
      <c r="J129" s="6">
        <v>0</v>
      </c>
      <c r="K129" s="6">
        <v>0</v>
      </c>
      <c r="L129" s="6">
        <v>5.3959999999999999</v>
      </c>
      <c r="M129" s="6">
        <v>5.3959999999999999</v>
      </c>
      <c r="N129" s="6">
        <v>5.3959999999999999</v>
      </c>
      <c r="O129" s="6">
        <v>5.3959999999999999</v>
      </c>
      <c r="P129" s="6">
        <v>58</v>
      </c>
      <c r="Q129" s="4" t="s">
        <v>26</v>
      </c>
      <c r="R129" s="4">
        <v>0</v>
      </c>
      <c r="S129" s="6">
        <v>0</v>
      </c>
      <c r="T129" s="6">
        <v>18</v>
      </c>
      <c r="U129" s="6">
        <v>56</v>
      </c>
      <c r="V129" s="6">
        <f>IF(ISERROR(VLOOKUP($S$129,'TAR FIN'!$A$1:$O$88,15,0)),0,VLOOKUP($S$129,'TAR FIN'!$A$1:$O$88,15,0))</f>
        <v>0</v>
      </c>
      <c r="W129" s="6">
        <f>IF(ISERROR(VLOOKUP($T$129,'TAR FIN'!$A$1:$O$88,15,0)),0,VLOOKUP($T$129,'TAR FIN'!$A$1:$O$88,15,0))</f>
        <v>0</v>
      </c>
      <c r="X129" s="6">
        <f>IF(ISERROR(VLOOKUP($U$129,'TAR FIN'!$A$1:$O$88,15,0)),0,VLOOKUP($U$129,'TAR FIN'!$A$1:$O$88,15,0))</f>
        <v>0</v>
      </c>
      <c r="Y129" s="6"/>
      <c r="Z129" s="6">
        <f ca="1">('TUSD BE'!$AM$20+'TUSD BF_350'!$AM$20+'TUSD CVA'!$AM$20)*1</f>
        <v>310.49</v>
      </c>
      <c r="AA129" s="6">
        <f ca="1">('TE BE'!$AB$11+'TE BF_350'!$AB$11+'TE CVA'!$AB$11)*1</f>
        <v>262.52999999999997</v>
      </c>
      <c r="AB129" s="6">
        <f>$K$129*$V$129</f>
        <v>0</v>
      </c>
      <c r="AC129" s="6">
        <f>$M$129*$W$129</f>
        <v>0</v>
      </c>
      <c r="AD129" s="6">
        <f>$O$129*$X$129</f>
        <v>0</v>
      </c>
      <c r="AE129" s="6">
        <f>$K$129*$Y$129</f>
        <v>0</v>
      </c>
      <c r="AF129" s="6">
        <f ca="1">$M$129*$Z$129</f>
        <v>1675.4040400000001</v>
      </c>
      <c r="AG129" s="6">
        <f ca="1">$O$129*$AA$129</f>
        <v>1416.6118799999999</v>
      </c>
    </row>
    <row r="130" spans="1:33" ht="11.25" customHeight="1" x14ac:dyDescent="0.25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25</v>
      </c>
      <c r="I130" s="5">
        <v>44713</v>
      </c>
      <c r="J130" s="6">
        <v>0</v>
      </c>
      <c r="K130" s="6">
        <v>0</v>
      </c>
      <c r="L130" s="6">
        <v>504.49299999999999</v>
      </c>
      <c r="M130" s="6">
        <v>504.49299999999999</v>
      </c>
      <c r="N130" s="6">
        <v>504.49299999999999</v>
      </c>
      <c r="O130" s="6">
        <v>504.49299999999999</v>
      </c>
      <c r="P130" s="6">
        <v>2998</v>
      </c>
      <c r="Q130" s="4" t="s">
        <v>26</v>
      </c>
      <c r="R130" s="4">
        <v>0</v>
      </c>
      <c r="S130" s="6">
        <v>0</v>
      </c>
      <c r="T130" s="6">
        <v>18</v>
      </c>
      <c r="U130" s="6">
        <v>56</v>
      </c>
      <c r="V130" s="6">
        <f>IF(ISERROR(VLOOKUP($S$130,'TAR FIN'!$A$1:$O$88,15,0)),0,VLOOKUP($S$130,'TAR FIN'!$A$1:$O$88,15,0))</f>
        <v>0</v>
      </c>
      <c r="W130" s="6">
        <f>IF(ISERROR(VLOOKUP($T$130,'TAR FIN'!$A$1:$O$88,15,0)),0,VLOOKUP($T$130,'TAR FIN'!$A$1:$O$88,15,0))</f>
        <v>0</v>
      </c>
      <c r="X130" s="6">
        <f>IF(ISERROR(VLOOKUP($U$130,'TAR FIN'!$A$1:$O$88,15,0)),0,VLOOKUP($U$130,'TAR FIN'!$A$1:$O$88,15,0))</f>
        <v>0</v>
      </c>
      <c r="Y130" s="6"/>
      <c r="Z130" s="6">
        <f ca="1">('TUSD BE'!$AM$20+'TUSD BF_350'!$AM$20+'TUSD CVA'!$AM$20)*1</f>
        <v>310.49</v>
      </c>
      <c r="AA130" s="6">
        <f ca="1">('TE BE'!$AB$11+'TE BF_350'!$AB$11+'TE CVA'!$AB$11)*1</f>
        <v>262.52999999999997</v>
      </c>
      <c r="AB130" s="6">
        <f>$K$130*$V$130</f>
        <v>0</v>
      </c>
      <c r="AC130" s="6">
        <f>$M$130*$W$130</f>
        <v>0</v>
      </c>
      <c r="AD130" s="6">
        <f>$O$130*$X$130</f>
        <v>0</v>
      </c>
      <c r="AE130" s="6">
        <f>$K$130*$Y$130</f>
        <v>0</v>
      </c>
      <c r="AF130" s="6">
        <f ca="1">$M$130*$Z$130</f>
        <v>156640.03156999999</v>
      </c>
      <c r="AG130" s="6">
        <f ca="1">$O$130*$AA$130</f>
        <v>132444.54728999999</v>
      </c>
    </row>
    <row r="131" spans="1:33" ht="11.25" customHeight="1" x14ac:dyDescent="0.25">
      <c r="A131" s="4" t="s">
        <v>27</v>
      </c>
      <c r="B131" s="4" t="s">
        <v>22</v>
      </c>
      <c r="C131" s="4" t="s">
        <v>23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25</v>
      </c>
      <c r="I131" s="5">
        <v>44713</v>
      </c>
      <c r="J131" s="6">
        <v>0</v>
      </c>
      <c r="K131" s="6">
        <v>0</v>
      </c>
      <c r="L131" s="6">
        <v>4.7649999999999997</v>
      </c>
      <c r="M131" s="6">
        <v>4.7649999999999997</v>
      </c>
      <c r="N131" s="6">
        <v>4.7649999999999997</v>
      </c>
      <c r="O131" s="6">
        <v>4.7649999999999997</v>
      </c>
      <c r="P131" s="6">
        <v>58</v>
      </c>
      <c r="Q131" s="4" t="s">
        <v>26</v>
      </c>
      <c r="R131" s="4">
        <v>0</v>
      </c>
      <c r="S131" s="6">
        <v>0</v>
      </c>
      <c r="T131" s="6">
        <v>18</v>
      </c>
      <c r="U131" s="6">
        <v>56</v>
      </c>
      <c r="V131" s="6">
        <f>IF(ISERROR(VLOOKUP($S$131,'TAR FIN'!$A$1:$O$88,15,0)),0,VLOOKUP($S$131,'TAR FIN'!$A$1:$O$88,15,0))</f>
        <v>0</v>
      </c>
      <c r="W131" s="6">
        <f>IF(ISERROR(VLOOKUP($T$131,'TAR FIN'!$A$1:$O$88,15,0)),0,VLOOKUP($T$131,'TAR FIN'!$A$1:$O$88,15,0))</f>
        <v>0</v>
      </c>
      <c r="X131" s="6">
        <f>IF(ISERROR(VLOOKUP($U$131,'TAR FIN'!$A$1:$O$88,15,0)),0,VLOOKUP($U$131,'TAR FIN'!$A$1:$O$88,15,0))</f>
        <v>0</v>
      </c>
      <c r="Y131" s="6"/>
      <c r="Z131" s="6">
        <f ca="1">('TUSD BE'!$AM$20+'TUSD BF_350'!$AM$20+'TUSD CVA'!$AM$20)*1</f>
        <v>310.49</v>
      </c>
      <c r="AA131" s="6">
        <f ca="1">('TE BE'!$AB$11+'TE BF_350'!$AB$11+'TE CVA'!$AB$11)*1</f>
        <v>262.52999999999997</v>
      </c>
      <c r="AB131" s="6">
        <f>$K$131*$V$131</f>
        <v>0</v>
      </c>
      <c r="AC131" s="6">
        <f>$M$131*$W$131</f>
        <v>0</v>
      </c>
      <c r="AD131" s="6">
        <f>$O$131*$X$131</f>
        <v>0</v>
      </c>
      <c r="AE131" s="6">
        <f>$K$131*$Y$131</f>
        <v>0</v>
      </c>
      <c r="AF131" s="6">
        <f ca="1">$M$131*$Z$131</f>
        <v>1479.4848500000001</v>
      </c>
      <c r="AG131" s="6">
        <f ca="1">$O$131*$AA$131</f>
        <v>1250.9554499999997</v>
      </c>
    </row>
    <row r="132" spans="1:33" ht="11.25" customHeight="1" x14ac:dyDescent="0.25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25</v>
      </c>
      <c r="I132" s="5">
        <v>44743</v>
      </c>
      <c r="J132" s="6">
        <v>0</v>
      </c>
      <c r="K132" s="6">
        <v>0</v>
      </c>
      <c r="L132" s="6">
        <v>570.91700000000003</v>
      </c>
      <c r="M132" s="6">
        <v>570.91700000000003</v>
      </c>
      <c r="N132" s="6">
        <v>570.91700000000003</v>
      </c>
      <c r="O132" s="6">
        <v>570.91700000000003</v>
      </c>
      <c r="P132" s="6">
        <v>3004</v>
      </c>
      <c r="Q132" s="4" t="s">
        <v>26</v>
      </c>
      <c r="R132" s="4">
        <v>0</v>
      </c>
      <c r="S132" s="6">
        <v>0</v>
      </c>
      <c r="T132" s="6">
        <v>18</v>
      </c>
      <c r="U132" s="6">
        <v>56</v>
      </c>
      <c r="V132" s="6">
        <f>IF(ISERROR(VLOOKUP($S$132,'TAR FIN'!$A$1:$O$88,15,0)),0,VLOOKUP($S$132,'TAR FIN'!$A$1:$O$88,15,0))</f>
        <v>0</v>
      </c>
      <c r="W132" s="6">
        <f>IF(ISERROR(VLOOKUP($T$132,'TAR FIN'!$A$1:$O$88,15,0)),0,VLOOKUP($T$132,'TAR FIN'!$A$1:$O$88,15,0))</f>
        <v>0</v>
      </c>
      <c r="X132" s="6">
        <f>IF(ISERROR(VLOOKUP($U$132,'TAR FIN'!$A$1:$O$88,15,0)),0,VLOOKUP($U$132,'TAR FIN'!$A$1:$O$88,15,0))</f>
        <v>0</v>
      </c>
      <c r="Y132" s="6"/>
      <c r="Z132" s="6">
        <f ca="1">('TUSD BE'!$AM$20+'TUSD BF_350'!$AM$20+'TUSD CVA'!$AM$20)*1</f>
        <v>310.49</v>
      </c>
      <c r="AA132" s="6">
        <f ca="1">('TE BE'!$AB$11+'TE BF_350'!$AB$11+'TE CVA'!$AB$11)*1</f>
        <v>262.52999999999997</v>
      </c>
      <c r="AB132" s="6">
        <f>$K$132*$V$132</f>
        <v>0</v>
      </c>
      <c r="AC132" s="6">
        <f>$M$132*$W$132</f>
        <v>0</v>
      </c>
      <c r="AD132" s="6">
        <f>$O$132*$X$132</f>
        <v>0</v>
      </c>
      <c r="AE132" s="6">
        <f>$K$132*$Y$132</f>
        <v>0</v>
      </c>
      <c r="AF132" s="6">
        <f ca="1">$M$132*$Z$132</f>
        <v>177264.01933000001</v>
      </c>
      <c r="AG132" s="6">
        <f ca="1">$O$132*$AA$132</f>
        <v>149882.84000999999</v>
      </c>
    </row>
    <row r="133" spans="1:33" ht="11.25" customHeight="1" x14ac:dyDescent="0.25">
      <c r="A133" s="4" t="s">
        <v>27</v>
      </c>
      <c r="B133" s="4" t="s">
        <v>22</v>
      </c>
      <c r="C133" s="4" t="s">
        <v>23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25</v>
      </c>
      <c r="I133" s="5">
        <v>44743</v>
      </c>
      <c r="J133" s="6">
        <v>0</v>
      </c>
      <c r="K133" s="6">
        <v>0</v>
      </c>
      <c r="L133" s="6">
        <v>9.89</v>
      </c>
      <c r="M133" s="6">
        <v>9.89</v>
      </c>
      <c r="N133" s="6">
        <v>9.89</v>
      </c>
      <c r="O133" s="6">
        <v>9.89</v>
      </c>
      <c r="P133" s="6">
        <v>62</v>
      </c>
      <c r="Q133" s="4" t="s">
        <v>26</v>
      </c>
      <c r="R133" s="4">
        <v>0</v>
      </c>
      <c r="S133" s="6">
        <v>0</v>
      </c>
      <c r="T133" s="6">
        <v>18</v>
      </c>
      <c r="U133" s="6">
        <v>56</v>
      </c>
      <c r="V133" s="6">
        <f>IF(ISERROR(VLOOKUP($S$133,'TAR FIN'!$A$1:$O$88,15,0)),0,VLOOKUP($S$133,'TAR FIN'!$A$1:$O$88,15,0))</f>
        <v>0</v>
      </c>
      <c r="W133" s="6">
        <f>IF(ISERROR(VLOOKUP($T$133,'TAR FIN'!$A$1:$O$88,15,0)),0,VLOOKUP($T$133,'TAR FIN'!$A$1:$O$88,15,0))</f>
        <v>0</v>
      </c>
      <c r="X133" s="6">
        <f>IF(ISERROR(VLOOKUP($U$133,'TAR FIN'!$A$1:$O$88,15,0)),0,VLOOKUP($U$133,'TAR FIN'!$A$1:$O$88,15,0))</f>
        <v>0</v>
      </c>
      <c r="Y133" s="6"/>
      <c r="Z133" s="6">
        <f ca="1">('TUSD BE'!$AM$20+'TUSD BF_350'!$AM$20+'TUSD CVA'!$AM$20)*1</f>
        <v>310.49</v>
      </c>
      <c r="AA133" s="6">
        <f ca="1">('TE BE'!$AB$11+'TE BF_350'!$AB$11+'TE CVA'!$AB$11)*1</f>
        <v>262.52999999999997</v>
      </c>
      <c r="AB133" s="6">
        <f>$K$133*$V$133</f>
        <v>0</v>
      </c>
      <c r="AC133" s="6">
        <f>$M$133*$W$133</f>
        <v>0</v>
      </c>
      <c r="AD133" s="6">
        <f>$O$133*$X$133</f>
        <v>0</v>
      </c>
      <c r="AE133" s="6">
        <f>$K$133*$Y$133</f>
        <v>0</v>
      </c>
      <c r="AF133" s="6">
        <f ca="1">$M$133*$Z$133</f>
        <v>3070.7461000000003</v>
      </c>
      <c r="AG133" s="6">
        <f ca="1">$O$133*$AA$133</f>
        <v>2596.4216999999999</v>
      </c>
    </row>
    <row r="134" spans="1:33" ht="11.25" customHeight="1" x14ac:dyDescent="0.25">
      <c r="A134" s="4" t="s">
        <v>21</v>
      </c>
      <c r="B134" s="4" t="s">
        <v>22</v>
      </c>
      <c r="C134" s="4" t="s">
        <v>23</v>
      </c>
      <c r="D134" s="4" t="s">
        <v>24</v>
      </c>
      <c r="E134" s="4" t="s">
        <v>28</v>
      </c>
      <c r="F134" s="4" t="s">
        <v>25</v>
      </c>
      <c r="G134" s="4" t="s">
        <v>25</v>
      </c>
      <c r="H134" s="4" t="s">
        <v>25</v>
      </c>
      <c r="I134" s="5">
        <v>44409</v>
      </c>
      <c r="J134" s="6">
        <v>0</v>
      </c>
      <c r="K134" s="6">
        <v>0</v>
      </c>
      <c r="L134" s="6">
        <v>10.5</v>
      </c>
      <c r="M134" s="6">
        <v>10.5</v>
      </c>
      <c r="N134" s="6">
        <v>10.5</v>
      </c>
      <c r="O134" s="6">
        <v>10.5</v>
      </c>
      <c r="P134" s="6">
        <v>12</v>
      </c>
      <c r="Q134" s="4" t="s">
        <v>26</v>
      </c>
      <c r="R134" s="4">
        <v>0</v>
      </c>
      <c r="S134" s="6">
        <v>0</v>
      </c>
      <c r="T134" s="6">
        <v>19</v>
      </c>
      <c r="U134" s="6">
        <v>57</v>
      </c>
      <c r="V134" s="6">
        <f>IF(ISERROR(VLOOKUP($S$134,'TAR FIN'!$A$1:$O$88,15,0)),0,VLOOKUP($S$134,'TAR FIN'!$A$1:$O$88,15,0))</f>
        <v>0</v>
      </c>
      <c r="W134" s="6">
        <f>IF(ISERROR(VLOOKUP($T$134,'TAR FIN'!$A$1:$O$88,15,0)),0,VLOOKUP($T$134,'TAR FIN'!$A$1:$O$88,15,0))</f>
        <v>0</v>
      </c>
      <c r="X134" s="6">
        <f>IF(ISERROR(VLOOKUP($U$134,'TAR FIN'!$A$1:$O$88,15,0)),0,VLOOKUP($U$134,'TAR FIN'!$A$1:$O$88,15,0))</f>
        <v>0</v>
      </c>
      <c r="Y134" s="6"/>
      <c r="Z134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34" s="6">
        <f ca="1">('TE BE'!$AB$12+'TE BF_350'!$AB$12+'TE CVA'!$AB$12)*(1-CUSTOS!$M$34)</f>
        <v>91.885499999999979</v>
      </c>
      <c r="AB134" s="6">
        <f>$K$134*$V$134</f>
        <v>0</v>
      </c>
      <c r="AC134" s="6">
        <f>$M$134*$W$134</f>
        <v>0</v>
      </c>
      <c r="AD134" s="6">
        <f>$O$134*$X$134</f>
        <v>0</v>
      </c>
      <c r="AE134" s="6">
        <f>$K$134*$Y$134</f>
        <v>0</v>
      </c>
      <c r="AF134" s="6">
        <f ca="1">$M$134*$Z$134</f>
        <v>690.0915</v>
      </c>
      <c r="AG134" s="6">
        <f ca="1">$O$134*$AA$134</f>
        <v>964.79774999999972</v>
      </c>
    </row>
    <row r="135" spans="1:33" ht="11.25" customHeight="1" x14ac:dyDescent="0.25">
      <c r="A135" s="4" t="s">
        <v>21</v>
      </c>
      <c r="B135" s="4" t="s">
        <v>22</v>
      </c>
      <c r="C135" s="4" t="s">
        <v>23</v>
      </c>
      <c r="D135" s="4" t="s">
        <v>24</v>
      </c>
      <c r="E135" s="4" t="s">
        <v>28</v>
      </c>
      <c r="F135" s="4" t="s">
        <v>25</v>
      </c>
      <c r="G135" s="4" t="s">
        <v>25</v>
      </c>
      <c r="H135" s="4" t="s">
        <v>25</v>
      </c>
      <c r="I135" s="5">
        <v>44440</v>
      </c>
      <c r="J135" s="6">
        <v>0</v>
      </c>
      <c r="K135" s="6">
        <v>0</v>
      </c>
      <c r="L135" s="6">
        <v>10.35</v>
      </c>
      <c r="M135" s="6">
        <v>10.35</v>
      </c>
      <c r="N135" s="6">
        <v>10.35</v>
      </c>
      <c r="O135" s="6">
        <v>10.35</v>
      </c>
      <c r="P135" s="6">
        <v>12</v>
      </c>
      <c r="Q135" s="4" t="s">
        <v>26</v>
      </c>
      <c r="R135" s="4">
        <v>0</v>
      </c>
      <c r="S135" s="6">
        <v>0</v>
      </c>
      <c r="T135" s="6">
        <v>19</v>
      </c>
      <c r="U135" s="6">
        <v>57</v>
      </c>
      <c r="V135" s="6">
        <f>IF(ISERROR(VLOOKUP($S$135,'TAR FIN'!$A$1:$O$88,15,0)),0,VLOOKUP($S$135,'TAR FIN'!$A$1:$O$88,15,0))</f>
        <v>0</v>
      </c>
      <c r="W135" s="6">
        <f>IF(ISERROR(VLOOKUP($T$135,'TAR FIN'!$A$1:$O$88,15,0)),0,VLOOKUP($T$135,'TAR FIN'!$A$1:$O$88,15,0))</f>
        <v>0</v>
      </c>
      <c r="X135" s="6">
        <f>IF(ISERROR(VLOOKUP($U$135,'TAR FIN'!$A$1:$O$88,15,0)),0,VLOOKUP($U$135,'TAR FIN'!$A$1:$O$88,15,0))</f>
        <v>0</v>
      </c>
      <c r="Y135" s="6"/>
      <c r="Z135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35" s="6">
        <f ca="1">('TE BE'!$AB$12+'TE BF_350'!$AB$12+'TE CVA'!$AB$12)*(1-CUSTOS!$M$34)</f>
        <v>91.885499999999979</v>
      </c>
      <c r="AB135" s="6">
        <f>$K$135*$V$135</f>
        <v>0</v>
      </c>
      <c r="AC135" s="6">
        <f>$M$135*$W$135</f>
        <v>0</v>
      </c>
      <c r="AD135" s="6">
        <f>$O$135*$X$135</f>
        <v>0</v>
      </c>
      <c r="AE135" s="6">
        <f>$K$135*$Y$135</f>
        <v>0</v>
      </c>
      <c r="AF135" s="6">
        <f ca="1">$M$135*$Z$135</f>
        <v>680.23304999999993</v>
      </c>
      <c r="AG135" s="6">
        <f ca="1">$O$135*$AA$135</f>
        <v>951.01492499999972</v>
      </c>
    </row>
    <row r="136" spans="1:33" ht="11.25" customHeight="1" x14ac:dyDescent="0.25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28</v>
      </c>
      <c r="F136" s="4" t="s">
        <v>25</v>
      </c>
      <c r="G136" s="4" t="s">
        <v>25</v>
      </c>
      <c r="H136" s="4" t="s">
        <v>25</v>
      </c>
      <c r="I136" s="5">
        <v>44470</v>
      </c>
      <c r="J136" s="6">
        <v>0</v>
      </c>
      <c r="K136" s="6">
        <v>0</v>
      </c>
      <c r="L136" s="6">
        <v>10.38</v>
      </c>
      <c r="M136" s="6">
        <v>10.38</v>
      </c>
      <c r="N136" s="6">
        <v>10.38</v>
      </c>
      <c r="O136" s="6">
        <v>10.38</v>
      </c>
      <c r="P136" s="6">
        <v>10</v>
      </c>
      <c r="Q136" s="4" t="s">
        <v>26</v>
      </c>
      <c r="R136" s="4">
        <v>0</v>
      </c>
      <c r="S136" s="6">
        <v>0</v>
      </c>
      <c r="T136" s="6">
        <v>19</v>
      </c>
      <c r="U136" s="6">
        <v>57</v>
      </c>
      <c r="V136" s="6">
        <f>IF(ISERROR(VLOOKUP($S$136,'TAR FIN'!$A$1:$O$88,15,0)),0,VLOOKUP($S$136,'TAR FIN'!$A$1:$O$88,15,0))</f>
        <v>0</v>
      </c>
      <c r="W136" s="6">
        <f>IF(ISERROR(VLOOKUP($T$136,'TAR FIN'!$A$1:$O$88,15,0)),0,VLOOKUP($T$136,'TAR FIN'!$A$1:$O$88,15,0))</f>
        <v>0</v>
      </c>
      <c r="X136" s="6">
        <f>IF(ISERROR(VLOOKUP($U$136,'TAR FIN'!$A$1:$O$88,15,0)),0,VLOOKUP($U$136,'TAR FIN'!$A$1:$O$88,15,0))</f>
        <v>0</v>
      </c>
      <c r="Y136" s="6"/>
      <c r="Z136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36" s="6">
        <f ca="1">('TE BE'!$AB$12+'TE BF_350'!$AB$12+'TE CVA'!$AB$12)*(1-CUSTOS!$M$34)</f>
        <v>91.885499999999979</v>
      </c>
      <c r="AB136" s="6">
        <f>$K$136*$V$136</f>
        <v>0</v>
      </c>
      <c r="AC136" s="6">
        <f>$M$136*$W$136</f>
        <v>0</v>
      </c>
      <c r="AD136" s="6">
        <f>$O$136*$X$136</f>
        <v>0</v>
      </c>
      <c r="AE136" s="6">
        <f>$K$136*$Y$136</f>
        <v>0</v>
      </c>
      <c r="AF136" s="6">
        <f ca="1">$M$136*$Z$136</f>
        <v>682.20474000000002</v>
      </c>
      <c r="AG136" s="6">
        <f ca="1">$O$136*$AA$136</f>
        <v>953.77148999999986</v>
      </c>
    </row>
    <row r="137" spans="1:33" ht="11.25" customHeight="1" x14ac:dyDescent="0.25">
      <c r="A137" s="4" t="s">
        <v>21</v>
      </c>
      <c r="B137" s="4" t="s">
        <v>22</v>
      </c>
      <c r="C137" s="4" t="s">
        <v>23</v>
      </c>
      <c r="D137" s="4" t="s">
        <v>24</v>
      </c>
      <c r="E137" s="4" t="s">
        <v>28</v>
      </c>
      <c r="F137" s="4" t="s">
        <v>25</v>
      </c>
      <c r="G137" s="4" t="s">
        <v>25</v>
      </c>
      <c r="H137" s="4" t="s">
        <v>25</v>
      </c>
      <c r="I137" s="5">
        <v>44501</v>
      </c>
      <c r="J137" s="6">
        <v>0</v>
      </c>
      <c r="K137" s="6">
        <v>0</v>
      </c>
      <c r="L137" s="6">
        <v>10.59</v>
      </c>
      <c r="M137" s="6">
        <v>10.59</v>
      </c>
      <c r="N137" s="6">
        <v>10.59</v>
      </c>
      <c r="O137" s="6">
        <v>10.59</v>
      </c>
      <c r="P137" s="6">
        <v>10</v>
      </c>
      <c r="Q137" s="4" t="s">
        <v>26</v>
      </c>
      <c r="R137" s="4">
        <v>0</v>
      </c>
      <c r="S137" s="6">
        <v>0</v>
      </c>
      <c r="T137" s="6">
        <v>19</v>
      </c>
      <c r="U137" s="6">
        <v>57</v>
      </c>
      <c r="V137" s="6">
        <f>IF(ISERROR(VLOOKUP($S$137,'TAR FIN'!$A$1:$O$88,15,0)),0,VLOOKUP($S$137,'TAR FIN'!$A$1:$O$88,15,0))</f>
        <v>0</v>
      </c>
      <c r="W137" s="6">
        <f>IF(ISERROR(VLOOKUP($T$137,'TAR FIN'!$A$1:$O$88,15,0)),0,VLOOKUP($T$137,'TAR FIN'!$A$1:$O$88,15,0))</f>
        <v>0</v>
      </c>
      <c r="X137" s="6">
        <f>IF(ISERROR(VLOOKUP($U$137,'TAR FIN'!$A$1:$O$88,15,0)),0,VLOOKUP($U$137,'TAR FIN'!$A$1:$O$88,15,0))</f>
        <v>0</v>
      </c>
      <c r="Y137" s="6"/>
      <c r="Z137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37" s="6">
        <f ca="1">('TE BE'!$AB$12+'TE BF_350'!$AB$12+'TE CVA'!$AB$12)*(1-CUSTOS!$M$34)</f>
        <v>91.885499999999979</v>
      </c>
      <c r="AB137" s="6">
        <f>$K$137*$V$137</f>
        <v>0</v>
      </c>
      <c r="AC137" s="6">
        <f>$M$137*$W$137</f>
        <v>0</v>
      </c>
      <c r="AD137" s="6">
        <f>$O$137*$X$137</f>
        <v>0</v>
      </c>
      <c r="AE137" s="6">
        <f>$K$137*$Y$137</f>
        <v>0</v>
      </c>
      <c r="AF137" s="6">
        <f ca="1">$M$137*$Z$137</f>
        <v>696.00657000000001</v>
      </c>
      <c r="AG137" s="6">
        <f ca="1">$O$137*$AA$137</f>
        <v>973.06744499999979</v>
      </c>
    </row>
    <row r="138" spans="1:33" ht="11.25" customHeight="1" x14ac:dyDescent="0.25">
      <c r="A138" s="4" t="s">
        <v>21</v>
      </c>
      <c r="B138" s="4" t="s">
        <v>22</v>
      </c>
      <c r="C138" s="4" t="s">
        <v>23</v>
      </c>
      <c r="D138" s="4" t="s">
        <v>24</v>
      </c>
      <c r="E138" s="4" t="s">
        <v>28</v>
      </c>
      <c r="F138" s="4" t="s">
        <v>25</v>
      </c>
      <c r="G138" s="4" t="s">
        <v>25</v>
      </c>
      <c r="H138" s="4" t="s">
        <v>25</v>
      </c>
      <c r="I138" s="5">
        <v>44531</v>
      </c>
      <c r="J138" s="6">
        <v>0</v>
      </c>
      <c r="K138" s="6">
        <v>0</v>
      </c>
      <c r="L138" s="6">
        <v>10.74</v>
      </c>
      <c r="M138" s="6">
        <v>10.74</v>
      </c>
      <c r="N138" s="6">
        <v>10.74</v>
      </c>
      <c r="O138" s="6">
        <v>10.74</v>
      </c>
      <c r="P138" s="6">
        <v>6</v>
      </c>
      <c r="Q138" s="4" t="s">
        <v>26</v>
      </c>
      <c r="R138" s="4">
        <v>0</v>
      </c>
      <c r="S138" s="6">
        <v>0</v>
      </c>
      <c r="T138" s="6">
        <v>19</v>
      </c>
      <c r="U138" s="6">
        <v>57</v>
      </c>
      <c r="V138" s="6">
        <f>IF(ISERROR(VLOOKUP($S$138,'TAR FIN'!$A$1:$O$88,15,0)),0,VLOOKUP($S$138,'TAR FIN'!$A$1:$O$88,15,0))</f>
        <v>0</v>
      </c>
      <c r="W138" s="6">
        <f>IF(ISERROR(VLOOKUP($T$138,'TAR FIN'!$A$1:$O$88,15,0)),0,VLOOKUP($T$138,'TAR FIN'!$A$1:$O$88,15,0))</f>
        <v>0</v>
      </c>
      <c r="X138" s="6">
        <f>IF(ISERROR(VLOOKUP($U$138,'TAR FIN'!$A$1:$O$88,15,0)),0,VLOOKUP($U$138,'TAR FIN'!$A$1:$O$88,15,0))</f>
        <v>0</v>
      </c>
      <c r="Y138" s="6"/>
      <c r="Z138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38" s="6">
        <f ca="1">('TE BE'!$AB$12+'TE BF_350'!$AB$12+'TE CVA'!$AB$12)*(1-CUSTOS!$M$34)</f>
        <v>91.885499999999979</v>
      </c>
      <c r="AB138" s="6">
        <f>$K$138*$V$138</f>
        <v>0</v>
      </c>
      <c r="AC138" s="6">
        <f>$M$138*$W$138</f>
        <v>0</v>
      </c>
      <c r="AD138" s="6">
        <f>$O$138*$X$138</f>
        <v>0</v>
      </c>
      <c r="AE138" s="6">
        <f>$K$138*$Y$138</f>
        <v>0</v>
      </c>
      <c r="AF138" s="6">
        <f ca="1">$M$138*$Z$138</f>
        <v>705.86501999999996</v>
      </c>
      <c r="AG138" s="6">
        <f ca="1">$O$138*$AA$138</f>
        <v>986.8502699999998</v>
      </c>
    </row>
    <row r="139" spans="1:33" ht="11.25" customHeight="1" x14ac:dyDescent="0.25">
      <c r="A139" s="4" t="s">
        <v>21</v>
      </c>
      <c r="B139" s="4" t="s">
        <v>22</v>
      </c>
      <c r="C139" s="4" t="s">
        <v>23</v>
      </c>
      <c r="D139" s="4" t="s">
        <v>24</v>
      </c>
      <c r="E139" s="4" t="s">
        <v>28</v>
      </c>
      <c r="F139" s="4" t="s">
        <v>25</v>
      </c>
      <c r="G139" s="4" t="s">
        <v>25</v>
      </c>
      <c r="H139" s="4" t="s">
        <v>25</v>
      </c>
      <c r="I139" s="5">
        <v>44562</v>
      </c>
      <c r="J139" s="6">
        <v>0</v>
      </c>
      <c r="K139" s="6">
        <v>0</v>
      </c>
      <c r="L139" s="6">
        <v>10.8</v>
      </c>
      <c r="M139" s="6">
        <v>10.8</v>
      </c>
      <c r="N139" s="6">
        <v>10.8</v>
      </c>
      <c r="O139" s="6">
        <v>10.8</v>
      </c>
      <c r="P139" s="6">
        <v>9</v>
      </c>
      <c r="Q139" s="4" t="s">
        <v>26</v>
      </c>
      <c r="R139" s="4">
        <v>0</v>
      </c>
      <c r="S139" s="6">
        <v>0</v>
      </c>
      <c r="T139" s="6">
        <v>19</v>
      </c>
      <c r="U139" s="6">
        <v>57</v>
      </c>
      <c r="V139" s="6">
        <f>IF(ISERROR(VLOOKUP($S$139,'TAR FIN'!$A$1:$O$88,15,0)),0,VLOOKUP($S$139,'TAR FIN'!$A$1:$O$88,15,0))</f>
        <v>0</v>
      </c>
      <c r="W139" s="6">
        <f>IF(ISERROR(VLOOKUP($T$139,'TAR FIN'!$A$1:$O$88,15,0)),0,VLOOKUP($T$139,'TAR FIN'!$A$1:$O$88,15,0))</f>
        <v>0</v>
      </c>
      <c r="X139" s="6">
        <f>IF(ISERROR(VLOOKUP($U$139,'TAR FIN'!$A$1:$O$88,15,0)),0,VLOOKUP($U$139,'TAR FIN'!$A$1:$O$88,15,0))</f>
        <v>0</v>
      </c>
      <c r="Y139" s="6"/>
      <c r="Z139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39" s="6">
        <f ca="1">('TE BE'!$AB$12+'TE BF_350'!$AB$12+'TE CVA'!$AB$12)*(1-CUSTOS!$M$34)</f>
        <v>91.885499999999979</v>
      </c>
      <c r="AB139" s="6">
        <f>$K$139*$V$139</f>
        <v>0</v>
      </c>
      <c r="AC139" s="6">
        <f>$M$139*$W$139</f>
        <v>0</v>
      </c>
      <c r="AD139" s="6">
        <f>$O$139*$X$139</f>
        <v>0</v>
      </c>
      <c r="AE139" s="6">
        <f>$K$139*$Y$139</f>
        <v>0</v>
      </c>
      <c r="AF139" s="6">
        <f ca="1">$M$139*$Z$139</f>
        <v>709.80840000000001</v>
      </c>
      <c r="AG139" s="6">
        <f ca="1">$O$139*$AA$139</f>
        <v>992.36339999999984</v>
      </c>
    </row>
    <row r="140" spans="1:33" ht="11.25" customHeight="1" x14ac:dyDescent="0.25">
      <c r="A140" s="4" t="s">
        <v>21</v>
      </c>
      <c r="B140" s="4" t="s">
        <v>22</v>
      </c>
      <c r="C140" s="4" t="s">
        <v>23</v>
      </c>
      <c r="D140" s="4" t="s">
        <v>24</v>
      </c>
      <c r="E140" s="4" t="s">
        <v>28</v>
      </c>
      <c r="F140" s="4" t="s">
        <v>25</v>
      </c>
      <c r="G140" s="4" t="s">
        <v>25</v>
      </c>
      <c r="H140" s="4" t="s">
        <v>25</v>
      </c>
      <c r="I140" s="5">
        <v>44593</v>
      </c>
      <c r="J140" s="6">
        <v>0</v>
      </c>
      <c r="K140" s="6">
        <v>0</v>
      </c>
      <c r="L140" s="6">
        <v>10.8</v>
      </c>
      <c r="M140" s="6">
        <v>10.8</v>
      </c>
      <c r="N140" s="6">
        <v>10.8</v>
      </c>
      <c r="O140" s="6">
        <v>10.8</v>
      </c>
      <c r="P140" s="6">
        <v>7</v>
      </c>
      <c r="Q140" s="4" t="s">
        <v>26</v>
      </c>
      <c r="R140" s="4">
        <v>0</v>
      </c>
      <c r="S140" s="6">
        <v>0</v>
      </c>
      <c r="T140" s="6">
        <v>19</v>
      </c>
      <c r="U140" s="6">
        <v>57</v>
      </c>
      <c r="V140" s="6">
        <f>IF(ISERROR(VLOOKUP($S$140,'TAR FIN'!$A$1:$O$88,15,0)),0,VLOOKUP($S$140,'TAR FIN'!$A$1:$O$88,15,0))</f>
        <v>0</v>
      </c>
      <c r="W140" s="6">
        <f>IF(ISERROR(VLOOKUP($T$140,'TAR FIN'!$A$1:$O$88,15,0)),0,VLOOKUP($T$140,'TAR FIN'!$A$1:$O$88,15,0))</f>
        <v>0</v>
      </c>
      <c r="X140" s="6">
        <f>IF(ISERROR(VLOOKUP($U$140,'TAR FIN'!$A$1:$O$88,15,0)),0,VLOOKUP($U$140,'TAR FIN'!$A$1:$O$88,15,0))</f>
        <v>0</v>
      </c>
      <c r="Y140" s="6"/>
      <c r="Z140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40" s="6">
        <f ca="1">('TE BE'!$AB$12+'TE BF_350'!$AB$12+'TE CVA'!$AB$12)*(1-CUSTOS!$M$34)</f>
        <v>91.885499999999979</v>
      </c>
      <c r="AB140" s="6">
        <f>$K$140*$V$140</f>
        <v>0</v>
      </c>
      <c r="AC140" s="6">
        <f>$M$140*$W$140</f>
        <v>0</v>
      </c>
      <c r="AD140" s="6">
        <f>$O$140*$X$140</f>
        <v>0</v>
      </c>
      <c r="AE140" s="6">
        <f>$K$140*$Y$140</f>
        <v>0</v>
      </c>
      <c r="AF140" s="6">
        <f ca="1">$M$140*$Z$140</f>
        <v>709.80840000000001</v>
      </c>
      <c r="AG140" s="6">
        <f ca="1">$O$140*$AA$140</f>
        <v>992.36339999999984</v>
      </c>
    </row>
    <row r="141" spans="1:33" ht="11.25" customHeight="1" x14ac:dyDescent="0.25">
      <c r="A141" s="4" t="s">
        <v>21</v>
      </c>
      <c r="B141" s="4" t="s">
        <v>22</v>
      </c>
      <c r="C141" s="4" t="s">
        <v>23</v>
      </c>
      <c r="D141" s="4" t="s">
        <v>24</v>
      </c>
      <c r="E141" s="4" t="s">
        <v>28</v>
      </c>
      <c r="F141" s="4" t="s">
        <v>25</v>
      </c>
      <c r="G141" s="4" t="s">
        <v>25</v>
      </c>
      <c r="H141" s="4" t="s">
        <v>25</v>
      </c>
      <c r="I141" s="5">
        <v>44621</v>
      </c>
      <c r="J141" s="6">
        <v>0</v>
      </c>
      <c r="K141" s="6">
        <v>0</v>
      </c>
      <c r="L141" s="6">
        <v>10.92</v>
      </c>
      <c r="M141" s="6">
        <v>10.92</v>
      </c>
      <c r="N141" s="6">
        <v>10.92</v>
      </c>
      <c r="O141" s="6">
        <v>10.92</v>
      </c>
      <c r="P141" s="6">
        <v>8</v>
      </c>
      <c r="Q141" s="4" t="s">
        <v>26</v>
      </c>
      <c r="R141" s="4">
        <v>0</v>
      </c>
      <c r="S141" s="6">
        <v>0</v>
      </c>
      <c r="T141" s="6">
        <v>19</v>
      </c>
      <c r="U141" s="6">
        <v>57</v>
      </c>
      <c r="V141" s="6">
        <f>IF(ISERROR(VLOOKUP($S$141,'TAR FIN'!$A$1:$O$88,15,0)),0,VLOOKUP($S$141,'TAR FIN'!$A$1:$O$88,15,0))</f>
        <v>0</v>
      </c>
      <c r="W141" s="6">
        <f>IF(ISERROR(VLOOKUP($T$141,'TAR FIN'!$A$1:$O$88,15,0)),0,VLOOKUP($T$141,'TAR FIN'!$A$1:$O$88,15,0))</f>
        <v>0</v>
      </c>
      <c r="X141" s="6">
        <f>IF(ISERROR(VLOOKUP($U$141,'TAR FIN'!$A$1:$O$88,15,0)),0,VLOOKUP($U$141,'TAR FIN'!$A$1:$O$88,15,0))</f>
        <v>0</v>
      </c>
      <c r="Y141" s="6"/>
      <c r="Z141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41" s="6">
        <f ca="1">('TE BE'!$AB$12+'TE BF_350'!$AB$12+'TE CVA'!$AB$12)*(1-CUSTOS!$M$34)</f>
        <v>91.885499999999979</v>
      </c>
      <c r="AB141" s="6">
        <f>$K$141*$V$141</f>
        <v>0</v>
      </c>
      <c r="AC141" s="6">
        <f>$M$141*$W$141</f>
        <v>0</v>
      </c>
      <c r="AD141" s="6">
        <f>$O$141*$X$141</f>
        <v>0</v>
      </c>
      <c r="AE141" s="6">
        <f>$K$141*$Y$141</f>
        <v>0</v>
      </c>
      <c r="AF141" s="6">
        <f ca="1">$M$141*$Z$141</f>
        <v>717.69515999999999</v>
      </c>
      <c r="AG141" s="6">
        <f ca="1">$O$141*$AA$141</f>
        <v>1003.3896599999998</v>
      </c>
    </row>
    <row r="142" spans="1:33" ht="11.25" customHeight="1" x14ac:dyDescent="0.25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28</v>
      </c>
      <c r="F142" s="4" t="s">
        <v>25</v>
      </c>
      <c r="G142" s="4" t="s">
        <v>25</v>
      </c>
      <c r="H142" s="4" t="s">
        <v>25</v>
      </c>
      <c r="I142" s="5">
        <v>44652</v>
      </c>
      <c r="J142" s="6">
        <v>0</v>
      </c>
      <c r="K142" s="6">
        <v>0</v>
      </c>
      <c r="L142" s="6">
        <v>11.13</v>
      </c>
      <c r="M142" s="6">
        <v>11.13</v>
      </c>
      <c r="N142" s="6">
        <v>11.13</v>
      </c>
      <c r="O142" s="6">
        <v>11.13</v>
      </c>
      <c r="P142" s="6">
        <v>9</v>
      </c>
      <c r="Q142" s="4" t="s">
        <v>26</v>
      </c>
      <c r="R142" s="4">
        <v>0</v>
      </c>
      <c r="S142" s="6">
        <v>0</v>
      </c>
      <c r="T142" s="6">
        <v>19</v>
      </c>
      <c r="U142" s="6">
        <v>57</v>
      </c>
      <c r="V142" s="6">
        <f>IF(ISERROR(VLOOKUP($S$142,'TAR FIN'!$A$1:$O$88,15,0)),0,VLOOKUP($S$142,'TAR FIN'!$A$1:$O$88,15,0))</f>
        <v>0</v>
      </c>
      <c r="W142" s="6">
        <f>IF(ISERROR(VLOOKUP($T$142,'TAR FIN'!$A$1:$O$88,15,0)),0,VLOOKUP($T$142,'TAR FIN'!$A$1:$O$88,15,0))</f>
        <v>0</v>
      </c>
      <c r="X142" s="6">
        <f>IF(ISERROR(VLOOKUP($U$142,'TAR FIN'!$A$1:$O$88,15,0)),0,VLOOKUP($U$142,'TAR FIN'!$A$1:$O$88,15,0))</f>
        <v>0</v>
      </c>
      <c r="Y142" s="6"/>
      <c r="Z142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42" s="6">
        <f ca="1">('TE BE'!$AB$12+'TE BF_350'!$AB$12+'TE CVA'!$AB$12)*(1-CUSTOS!$M$34)</f>
        <v>91.885499999999979</v>
      </c>
      <c r="AB142" s="6">
        <f>$K$142*$V$142</f>
        <v>0</v>
      </c>
      <c r="AC142" s="6">
        <f>$M$142*$W$142</f>
        <v>0</v>
      </c>
      <c r="AD142" s="6">
        <f>$O$142*$X$142</f>
        <v>0</v>
      </c>
      <c r="AE142" s="6">
        <f>$K$142*$Y$142</f>
        <v>0</v>
      </c>
      <c r="AF142" s="6">
        <f ca="1">$M$142*$Z$142</f>
        <v>731.4969900000001</v>
      </c>
      <c r="AG142" s="6">
        <f ca="1">$O$142*$AA$142</f>
        <v>1022.6856149999999</v>
      </c>
    </row>
    <row r="143" spans="1:33" ht="11.25" customHeight="1" x14ac:dyDescent="0.25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28</v>
      </c>
      <c r="F143" s="4" t="s">
        <v>25</v>
      </c>
      <c r="G143" s="4" t="s">
        <v>25</v>
      </c>
      <c r="H143" s="4" t="s">
        <v>25</v>
      </c>
      <c r="I143" s="5">
        <v>44682</v>
      </c>
      <c r="J143" s="6">
        <v>0</v>
      </c>
      <c r="K143" s="6">
        <v>0</v>
      </c>
      <c r="L143" s="6">
        <v>11.34</v>
      </c>
      <c r="M143" s="6">
        <v>11.34</v>
      </c>
      <c r="N143" s="6">
        <v>11.34</v>
      </c>
      <c r="O143" s="6">
        <v>11.34</v>
      </c>
      <c r="P143" s="6">
        <v>10</v>
      </c>
      <c r="Q143" s="4" t="s">
        <v>26</v>
      </c>
      <c r="R143" s="4">
        <v>0</v>
      </c>
      <c r="S143" s="6">
        <v>0</v>
      </c>
      <c r="T143" s="6">
        <v>19</v>
      </c>
      <c r="U143" s="6">
        <v>57</v>
      </c>
      <c r="V143" s="6">
        <f>IF(ISERROR(VLOOKUP($S$143,'TAR FIN'!$A$1:$O$88,15,0)),0,VLOOKUP($S$143,'TAR FIN'!$A$1:$O$88,15,0))</f>
        <v>0</v>
      </c>
      <c r="W143" s="6">
        <f>IF(ISERROR(VLOOKUP($T$143,'TAR FIN'!$A$1:$O$88,15,0)),0,VLOOKUP($T$143,'TAR FIN'!$A$1:$O$88,15,0))</f>
        <v>0</v>
      </c>
      <c r="X143" s="6">
        <f>IF(ISERROR(VLOOKUP($U$143,'TAR FIN'!$A$1:$O$88,15,0)),0,VLOOKUP($U$143,'TAR FIN'!$A$1:$O$88,15,0))</f>
        <v>0</v>
      </c>
      <c r="Y143" s="6"/>
      <c r="Z143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43" s="6">
        <f ca="1">('TE BE'!$AB$12+'TE BF_350'!$AB$12+'TE CVA'!$AB$12)*(1-CUSTOS!$M$34)</f>
        <v>91.885499999999979</v>
      </c>
      <c r="AB143" s="6">
        <f>$K$143*$V$143</f>
        <v>0</v>
      </c>
      <c r="AC143" s="6">
        <f>$M$143*$W$143</f>
        <v>0</v>
      </c>
      <c r="AD143" s="6">
        <f>$O$143*$X$143</f>
        <v>0</v>
      </c>
      <c r="AE143" s="6">
        <f>$K$143*$Y$143</f>
        <v>0</v>
      </c>
      <c r="AF143" s="6">
        <f ca="1">$M$143*$Z$143</f>
        <v>745.29881999999998</v>
      </c>
      <c r="AG143" s="6">
        <f ca="1">$O$143*$AA$143</f>
        <v>1041.9815699999997</v>
      </c>
    </row>
    <row r="144" spans="1:33" ht="11.25" customHeight="1" x14ac:dyDescent="0.25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28</v>
      </c>
      <c r="F144" s="4" t="s">
        <v>25</v>
      </c>
      <c r="G144" s="4" t="s">
        <v>25</v>
      </c>
      <c r="H144" s="4" t="s">
        <v>25</v>
      </c>
      <c r="I144" s="5">
        <v>44713</v>
      </c>
      <c r="J144" s="6">
        <v>0</v>
      </c>
      <c r="K144" s="6">
        <v>0</v>
      </c>
      <c r="L144" s="6">
        <v>9.99</v>
      </c>
      <c r="M144" s="6">
        <v>9.99</v>
      </c>
      <c r="N144" s="6">
        <v>9.99</v>
      </c>
      <c r="O144" s="6">
        <v>9.99</v>
      </c>
      <c r="P144" s="6">
        <v>5</v>
      </c>
      <c r="Q144" s="4" t="s">
        <v>26</v>
      </c>
      <c r="R144" s="4">
        <v>0</v>
      </c>
      <c r="S144" s="6">
        <v>0</v>
      </c>
      <c r="T144" s="6">
        <v>19</v>
      </c>
      <c r="U144" s="6">
        <v>57</v>
      </c>
      <c r="V144" s="6">
        <f>IF(ISERROR(VLOOKUP($S$144,'TAR FIN'!$A$1:$O$88,15,0)),0,VLOOKUP($S$144,'TAR FIN'!$A$1:$O$88,15,0))</f>
        <v>0</v>
      </c>
      <c r="W144" s="6">
        <f>IF(ISERROR(VLOOKUP($T$144,'TAR FIN'!$A$1:$O$88,15,0)),0,VLOOKUP($T$144,'TAR FIN'!$A$1:$O$88,15,0))</f>
        <v>0</v>
      </c>
      <c r="X144" s="6">
        <f>IF(ISERROR(VLOOKUP($U$144,'TAR FIN'!$A$1:$O$88,15,0)),0,VLOOKUP($U$144,'TAR FIN'!$A$1:$O$88,15,0))</f>
        <v>0</v>
      </c>
      <c r="Y144" s="6"/>
      <c r="Z144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44" s="6">
        <f ca="1">('TE BE'!$AB$12+'TE BF_350'!$AB$12+'TE CVA'!$AB$12)*(1-CUSTOS!$M$34)</f>
        <v>91.885499999999979</v>
      </c>
      <c r="AB144" s="6">
        <f>$K$144*$V$144</f>
        <v>0</v>
      </c>
      <c r="AC144" s="6">
        <f>$M$144*$W$144</f>
        <v>0</v>
      </c>
      <c r="AD144" s="6">
        <f>$O$144*$X$144</f>
        <v>0</v>
      </c>
      <c r="AE144" s="6">
        <f>$K$144*$Y$144</f>
        <v>0</v>
      </c>
      <c r="AF144" s="6">
        <f ca="1">$M$144*$Z$144</f>
        <v>656.57276999999999</v>
      </c>
      <c r="AG144" s="6">
        <f ca="1">$O$144*$AA$144</f>
        <v>917.93614499999978</v>
      </c>
    </row>
    <row r="145" spans="1:33" ht="11.25" customHeight="1" x14ac:dyDescent="0.25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28</v>
      </c>
      <c r="F145" s="4" t="s">
        <v>25</v>
      </c>
      <c r="G145" s="4" t="s">
        <v>25</v>
      </c>
      <c r="H145" s="4" t="s">
        <v>25</v>
      </c>
      <c r="I145" s="5">
        <v>44743</v>
      </c>
      <c r="J145" s="6">
        <v>0</v>
      </c>
      <c r="K145" s="6">
        <v>0</v>
      </c>
      <c r="L145" s="6">
        <v>9.8699999999999992</v>
      </c>
      <c r="M145" s="6">
        <v>9.8699999999999992</v>
      </c>
      <c r="N145" s="6">
        <v>9.8699999999999992</v>
      </c>
      <c r="O145" s="6">
        <v>9.8699999999999992</v>
      </c>
      <c r="P145" s="6">
        <v>7</v>
      </c>
      <c r="Q145" s="4" t="s">
        <v>26</v>
      </c>
      <c r="R145" s="4">
        <v>0</v>
      </c>
      <c r="S145" s="6">
        <v>0</v>
      </c>
      <c r="T145" s="6">
        <v>19</v>
      </c>
      <c r="U145" s="6">
        <v>57</v>
      </c>
      <c r="V145" s="6">
        <f>IF(ISERROR(VLOOKUP($S$145,'TAR FIN'!$A$1:$O$88,15,0)),0,VLOOKUP($S$145,'TAR FIN'!$A$1:$O$88,15,0))</f>
        <v>0</v>
      </c>
      <c r="W145" s="6">
        <f>IF(ISERROR(VLOOKUP($T$145,'TAR FIN'!$A$1:$O$88,15,0)),0,VLOOKUP($T$145,'TAR FIN'!$A$1:$O$88,15,0))</f>
        <v>0</v>
      </c>
      <c r="X145" s="6">
        <f>IF(ISERROR(VLOOKUP($U$145,'TAR FIN'!$A$1:$O$88,15,0)),0,VLOOKUP($U$145,'TAR FIN'!$A$1:$O$88,15,0))</f>
        <v>0</v>
      </c>
      <c r="Y145" s="6"/>
      <c r="Z145" s="6">
        <f ca="1">('TUSD BE'!$AM$21+'TUSD BF_350'!$AM$21+'TUSD CVA'!$AM$21-('TUSD BE'!$P$21+'TUSD BF_350'!$P$21+'TUSD CVA'!$P$21)-('TUSD BE'!$Q$21+'TUSD BF_350'!$Q$21+'TUSD CVA'!$Q$21)-('TUSD BE'!$R$21+'TUSD BF_350'!$R$21+'TUSD CVA'!$R$21))*(1-CUSTOS!$M$34)</f>
        <v>65.722999999999999</v>
      </c>
      <c r="AA145" s="6">
        <f ca="1">('TE BE'!$AB$12+'TE BF_350'!$AB$12+'TE CVA'!$AB$12)*(1-CUSTOS!$M$34)</f>
        <v>91.885499999999979</v>
      </c>
      <c r="AB145" s="6">
        <f>$K$145*$V$145</f>
        <v>0</v>
      </c>
      <c r="AC145" s="6">
        <f>$M$145*$W$145</f>
        <v>0</v>
      </c>
      <c r="AD145" s="6">
        <f>$O$145*$X$145</f>
        <v>0</v>
      </c>
      <c r="AE145" s="6">
        <f>$K$145*$Y$145</f>
        <v>0</v>
      </c>
      <c r="AF145" s="6">
        <f ca="1">$M$145*$Z$145</f>
        <v>648.6860099999999</v>
      </c>
      <c r="AG145" s="6">
        <f ca="1">$O$145*$AA$145</f>
        <v>906.90988499999969</v>
      </c>
    </row>
    <row r="146" spans="1:33" ht="11.25" customHeight="1" x14ac:dyDescent="0.25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29</v>
      </c>
      <c r="F146" s="4" t="s">
        <v>25</v>
      </c>
      <c r="G146" s="4" t="s">
        <v>25</v>
      </c>
      <c r="H146" s="4" t="s">
        <v>25</v>
      </c>
      <c r="I146" s="5">
        <v>44409</v>
      </c>
      <c r="J146" s="6">
        <v>0</v>
      </c>
      <c r="K146" s="6">
        <v>0</v>
      </c>
      <c r="L146" s="6">
        <v>21.623999999999999</v>
      </c>
      <c r="M146" s="6">
        <v>21.623999999999999</v>
      </c>
      <c r="N146" s="6">
        <v>21.623999999999999</v>
      </c>
      <c r="O146" s="6">
        <v>21.623999999999999</v>
      </c>
      <c r="P146" s="6">
        <v>60</v>
      </c>
      <c r="Q146" s="4" t="s">
        <v>26</v>
      </c>
      <c r="R146" s="4">
        <v>0</v>
      </c>
      <c r="S146" s="6">
        <v>0</v>
      </c>
      <c r="T146" s="6">
        <v>20</v>
      </c>
      <c r="U146" s="6">
        <v>58</v>
      </c>
      <c r="V146" s="6">
        <f>IF(ISERROR(VLOOKUP($S$146,'TAR FIN'!$A$1:$O$88,15,0)),0,VLOOKUP($S$146,'TAR FIN'!$A$1:$O$88,15,0))</f>
        <v>0</v>
      </c>
      <c r="W146" s="6">
        <f>IF(ISERROR(VLOOKUP($T$146,'TAR FIN'!$A$1:$O$88,15,0)),0,VLOOKUP($T$146,'TAR FIN'!$A$1:$O$88,15,0))</f>
        <v>0</v>
      </c>
      <c r="X146" s="6">
        <f>IF(ISERROR(VLOOKUP($U$146,'TAR FIN'!$A$1:$O$88,15,0)),0,VLOOKUP($U$146,'TAR FIN'!$A$1:$O$88,15,0))</f>
        <v>0</v>
      </c>
      <c r="Y146" s="6"/>
      <c r="Z146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46" s="6">
        <f ca="1">('TE BE'!$AB$13+'TE BF_350'!$AB$13+'TE CVA'!$AB$13)*(1-CUSTOS!$M$35)</f>
        <v>157.51799999999997</v>
      </c>
      <c r="AB146" s="6">
        <f>$K$146*$V$146</f>
        <v>0</v>
      </c>
      <c r="AC146" s="6">
        <f>$M$146*$W$146</f>
        <v>0</v>
      </c>
      <c r="AD146" s="6">
        <f>$O$146*$X$146</f>
        <v>0</v>
      </c>
      <c r="AE146" s="6">
        <f>$K$146*$Y$146</f>
        <v>0</v>
      </c>
      <c r="AF146" s="6">
        <f ca="1">$M$146*$Z$146</f>
        <v>2436.3328319999996</v>
      </c>
      <c r="AG146" s="6">
        <f ca="1">$O$146*$AA$146</f>
        <v>3406.1692319999993</v>
      </c>
    </row>
    <row r="147" spans="1:33" ht="11.25" customHeight="1" x14ac:dyDescent="0.25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29</v>
      </c>
      <c r="F147" s="4" t="s">
        <v>25</v>
      </c>
      <c r="G147" s="4" t="s">
        <v>25</v>
      </c>
      <c r="H147" s="4" t="s">
        <v>25</v>
      </c>
      <c r="I147" s="5">
        <v>44440</v>
      </c>
      <c r="J147" s="6">
        <v>0</v>
      </c>
      <c r="K147" s="6">
        <v>0</v>
      </c>
      <c r="L147" s="6">
        <v>21.747</v>
      </c>
      <c r="M147" s="6">
        <v>21.747</v>
      </c>
      <c r="N147" s="6">
        <v>21.747</v>
      </c>
      <c r="O147" s="6">
        <v>21.747</v>
      </c>
      <c r="P147" s="6">
        <v>56</v>
      </c>
      <c r="Q147" s="4" t="s">
        <v>26</v>
      </c>
      <c r="R147" s="4">
        <v>0</v>
      </c>
      <c r="S147" s="6">
        <v>0</v>
      </c>
      <c r="T147" s="6">
        <v>20</v>
      </c>
      <c r="U147" s="6">
        <v>58</v>
      </c>
      <c r="V147" s="6">
        <f>IF(ISERROR(VLOOKUP($S$147,'TAR FIN'!$A$1:$O$88,15,0)),0,VLOOKUP($S$147,'TAR FIN'!$A$1:$O$88,15,0))</f>
        <v>0</v>
      </c>
      <c r="W147" s="6">
        <f>IF(ISERROR(VLOOKUP($T$147,'TAR FIN'!$A$1:$O$88,15,0)),0,VLOOKUP($T$147,'TAR FIN'!$A$1:$O$88,15,0))</f>
        <v>0</v>
      </c>
      <c r="X147" s="6">
        <f>IF(ISERROR(VLOOKUP($U$147,'TAR FIN'!$A$1:$O$88,15,0)),0,VLOOKUP($U$147,'TAR FIN'!$A$1:$O$88,15,0))</f>
        <v>0</v>
      </c>
      <c r="Y147" s="6"/>
      <c r="Z147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47" s="6">
        <f ca="1">('TE BE'!$AB$13+'TE BF_350'!$AB$13+'TE CVA'!$AB$13)*(1-CUSTOS!$M$35)</f>
        <v>157.51799999999997</v>
      </c>
      <c r="AB147" s="6">
        <f>$K$147*$V$147</f>
        <v>0</v>
      </c>
      <c r="AC147" s="6">
        <f>$M$147*$W$147</f>
        <v>0</v>
      </c>
      <c r="AD147" s="6">
        <f>$O$147*$X$147</f>
        <v>0</v>
      </c>
      <c r="AE147" s="6">
        <f>$K$147*$Y$147</f>
        <v>0</v>
      </c>
      <c r="AF147" s="6">
        <f ca="1">$M$147*$Z$147</f>
        <v>2450.1909959999998</v>
      </c>
      <c r="AG147" s="6">
        <f ca="1">$O$147*$AA$147</f>
        <v>3425.5439459999993</v>
      </c>
    </row>
    <row r="148" spans="1:33" ht="11.25" customHeight="1" x14ac:dyDescent="0.25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29</v>
      </c>
      <c r="F148" s="4" t="s">
        <v>25</v>
      </c>
      <c r="G148" s="4" t="s">
        <v>25</v>
      </c>
      <c r="H148" s="4" t="s">
        <v>25</v>
      </c>
      <c r="I148" s="5">
        <v>44470</v>
      </c>
      <c r="J148" s="6">
        <v>0</v>
      </c>
      <c r="K148" s="6">
        <v>0</v>
      </c>
      <c r="L148" s="6">
        <v>22.292000000000002</v>
      </c>
      <c r="M148" s="6">
        <v>22.292000000000002</v>
      </c>
      <c r="N148" s="6">
        <v>22.292000000000002</v>
      </c>
      <c r="O148" s="6">
        <v>22.292000000000002</v>
      </c>
      <c r="P148" s="6">
        <v>46</v>
      </c>
      <c r="Q148" s="4" t="s">
        <v>26</v>
      </c>
      <c r="R148" s="4">
        <v>0</v>
      </c>
      <c r="S148" s="6">
        <v>0</v>
      </c>
      <c r="T148" s="6">
        <v>20</v>
      </c>
      <c r="U148" s="6">
        <v>58</v>
      </c>
      <c r="V148" s="6">
        <f>IF(ISERROR(VLOOKUP($S$148,'TAR FIN'!$A$1:$O$88,15,0)),0,VLOOKUP($S$148,'TAR FIN'!$A$1:$O$88,15,0))</f>
        <v>0</v>
      </c>
      <c r="W148" s="6">
        <f>IF(ISERROR(VLOOKUP($T$148,'TAR FIN'!$A$1:$O$88,15,0)),0,VLOOKUP($T$148,'TAR FIN'!$A$1:$O$88,15,0))</f>
        <v>0</v>
      </c>
      <c r="X148" s="6">
        <f>IF(ISERROR(VLOOKUP($U$148,'TAR FIN'!$A$1:$O$88,15,0)),0,VLOOKUP($U$148,'TAR FIN'!$A$1:$O$88,15,0))</f>
        <v>0</v>
      </c>
      <c r="Y148" s="6"/>
      <c r="Z148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48" s="6">
        <f ca="1">('TE BE'!$AB$13+'TE BF_350'!$AB$13+'TE CVA'!$AB$13)*(1-CUSTOS!$M$35)</f>
        <v>157.51799999999997</v>
      </c>
      <c r="AB148" s="6">
        <f>$K$148*$V$148</f>
        <v>0</v>
      </c>
      <c r="AC148" s="6">
        <f>$M$148*$W$148</f>
        <v>0</v>
      </c>
      <c r="AD148" s="6">
        <f>$O$148*$X$148</f>
        <v>0</v>
      </c>
      <c r="AE148" s="6">
        <f>$K$148*$Y$148</f>
        <v>0</v>
      </c>
      <c r="AF148" s="6">
        <f ca="1">$M$148*$Z$148</f>
        <v>2511.5950560000001</v>
      </c>
      <c r="AG148" s="6">
        <f ca="1">$O$148*$AA$148</f>
        <v>3511.3912559999994</v>
      </c>
    </row>
    <row r="149" spans="1:33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29</v>
      </c>
      <c r="F149" s="4" t="s">
        <v>25</v>
      </c>
      <c r="G149" s="4" t="s">
        <v>25</v>
      </c>
      <c r="H149" s="4" t="s">
        <v>25</v>
      </c>
      <c r="I149" s="5">
        <v>44501</v>
      </c>
      <c r="J149" s="6">
        <v>0</v>
      </c>
      <c r="K149" s="6">
        <v>0</v>
      </c>
      <c r="L149" s="6">
        <v>22.673999999999999</v>
      </c>
      <c r="M149" s="6">
        <v>22.673999999999999</v>
      </c>
      <c r="N149" s="6">
        <v>22.673999999999999</v>
      </c>
      <c r="O149" s="6">
        <v>22.673999999999999</v>
      </c>
      <c r="P149" s="6">
        <v>52</v>
      </c>
      <c r="Q149" s="4" t="s">
        <v>26</v>
      </c>
      <c r="R149" s="4">
        <v>0</v>
      </c>
      <c r="S149" s="6">
        <v>0</v>
      </c>
      <c r="T149" s="6">
        <v>20</v>
      </c>
      <c r="U149" s="6">
        <v>58</v>
      </c>
      <c r="V149" s="6">
        <f>IF(ISERROR(VLOOKUP($S$149,'TAR FIN'!$A$1:$O$88,15,0)),0,VLOOKUP($S$149,'TAR FIN'!$A$1:$O$88,15,0))</f>
        <v>0</v>
      </c>
      <c r="W149" s="6">
        <f>IF(ISERROR(VLOOKUP($T$149,'TAR FIN'!$A$1:$O$88,15,0)),0,VLOOKUP($T$149,'TAR FIN'!$A$1:$O$88,15,0))</f>
        <v>0</v>
      </c>
      <c r="X149" s="6">
        <f>IF(ISERROR(VLOOKUP($U$149,'TAR FIN'!$A$1:$O$88,15,0)),0,VLOOKUP($U$149,'TAR FIN'!$A$1:$O$88,15,0))</f>
        <v>0</v>
      </c>
      <c r="Y149" s="6"/>
      <c r="Z149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49" s="6">
        <f ca="1">('TE BE'!$AB$13+'TE BF_350'!$AB$13+'TE CVA'!$AB$13)*(1-CUSTOS!$M$35)</f>
        <v>157.51799999999997</v>
      </c>
      <c r="AB149" s="6">
        <f>$K$149*$V$149</f>
        <v>0</v>
      </c>
      <c r="AC149" s="6">
        <f>$M$149*$W$149</f>
        <v>0</v>
      </c>
      <c r="AD149" s="6">
        <f>$O$149*$X$149</f>
        <v>0</v>
      </c>
      <c r="AE149" s="6">
        <f>$K$149*$Y$149</f>
        <v>0</v>
      </c>
      <c r="AF149" s="6">
        <f ca="1">$M$149*$Z$149</f>
        <v>2554.6342319999999</v>
      </c>
      <c r="AG149" s="6">
        <f ca="1">$O$149*$AA$149</f>
        <v>3571.5631319999993</v>
      </c>
    </row>
    <row r="150" spans="1:33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29</v>
      </c>
      <c r="F150" s="4" t="s">
        <v>25</v>
      </c>
      <c r="G150" s="4" t="s">
        <v>25</v>
      </c>
      <c r="H150" s="4" t="s">
        <v>25</v>
      </c>
      <c r="I150" s="5">
        <v>44531</v>
      </c>
      <c r="J150" s="6">
        <v>0</v>
      </c>
      <c r="K150" s="6">
        <v>0</v>
      </c>
      <c r="L150" s="6">
        <v>23.405999999999999</v>
      </c>
      <c r="M150" s="6">
        <v>23.405999999999999</v>
      </c>
      <c r="N150" s="6">
        <v>23.405999999999999</v>
      </c>
      <c r="O150" s="6">
        <v>23.405999999999999</v>
      </c>
      <c r="P150" s="6">
        <v>44</v>
      </c>
      <c r="Q150" s="4" t="s">
        <v>26</v>
      </c>
      <c r="R150" s="4">
        <v>0</v>
      </c>
      <c r="S150" s="6">
        <v>0</v>
      </c>
      <c r="T150" s="6">
        <v>20</v>
      </c>
      <c r="U150" s="6">
        <v>58</v>
      </c>
      <c r="V150" s="6">
        <f>IF(ISERROR(VLOOKUP($S$150,'TAR FIN'!$A$1:$O$88,15,0)),0,VLOOKUP($S$150,'TAR FIN'!$A$1:$O$88,15,0))</f>
        <v>0</v>
      </c>
      <c r="W150" s="6">
        <f>IF(ISERROR(VLOOKUP($T$150,'TAR FIN'!$A$1:$O$88,15,0)),0,VLOOKUP($T$150,'TAR FIN'!$A$1:$O$88,15,0))</f>
        <v>0</v>
      </c>
      <c r="X150" s="6">
        <f>IF(ISERROR(VLOOKUP($U$150,'TAR FIN'!$A$1:$O$88,15,0)),0,VLOOKUP($U$150,'TAR FIN'!$A$1:$O$88,15,0))</f>
        <v>0</v>
      </c>
      <c r="Y150" s="6"/>
      <c r="Z150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0" s="6">
        <f ca="1">('TE BE'!$AB$13+'TE BF_350'!$AB$13+'TE CVA'!$AB$13)*(1-CUSTOS!$M$35)</f>
        <v>157.51799999999997</v>
      </c>
      <c r="AB150" s="6">
        <f>$K$150*$V$150</f>
        <v>0</v>
      </c>
      <c r="AC150" s="6">
        <f>$M$150*$W$150</f>
        <v>0</v>
      </c>
      <c r="AD150" s="6">
        <f>$O$150*$X$150</f>
        <v>0</v>
      </c>
      <c r="AE150" s="6">
        <f>$K$150*$Y$150</f>
        <v>0</v>
      </c>
      <c r="AF150" s="6">
        <f ca="1">$M$150*$Z$150</f>
        <v>2637.1072079999999</v>
      </c>
      <c r="AG150" s="6">
        <f ca="1">$O$150*$AA$150</f>
        <v>3686.8663079999992</v>
      </c>
    </row>
    <row r="151" spans="1:33" ht="11.25" customHeight="1" x14ac:dyDescent="0.25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29</v>
      </c>
      <c r="F151" s="4" t="s">
        <v>25</v>
      </c>
      <c r="G151" s="4" t="s">
        <v>25</v>
      </c>
      <c r="H151" s="4" t="s">
        <v>25</v>
      </c>
      <c r="I151" s="5">
        <v>44562</v>
      </c>
      <c r="J151" s="6">
        <v>0</v>
      </c>
      <c r="K151" s="6">
        <v>0</v>
      </c>
      <c r="L151" s="6">
        <v>23.407</v>
      </c>
      <c r="M151" s="6">
        <v>23.407</v>
      </c>
      <c r="N151" s="6">
        <v>23.407</v>
      </c>
      <c r="O151" s="6">
        <v>23.407</v>
      </c>
      <c r="P151" s="6">
        <v>45</v>
      </c>
      <c r="Q151" s="4" t="s">
        <v>26</v>
      </c>
      <c r="R151" s="4">
        <v>0</v>
      </c>
      <c r="S151" s="6">
        <v>0</v>
      </c>
      <c r="T151" s="6">
        <v>20</v>
      </c>
      <c r="U151" s="6">
        <v>58</v>
      </c>
      <c r="V151" s="6">
        <f>IF(ISERROR(VLOOKUP($S$151,'TAR FIN'!$A$1:$O$88,15,0)),0,VLOOKUP($S$151,'TAR FIN'!$A$1:$O$88,15,0))</f>
        <v>0</v>
      </c>
      <c r="W151" s="6">
        <f>IF(ISERROR(VLOOKUP($T$151,'TAR FIN'!$A$1:$O$88,15,0)),0,VLOOKUP($T$151,'TAR FIN'!$A$1:$O$88,15,0))</f>
        <v>0</v>
      </c>
      <c r="X151" s="6">
        <f>IF(ISERROR(VLOOKUP($U$151,'TAR FIN'!$A$1:$O$88,15,0)),0,VLOOKUP($U$151,'TAR FIN'!$A$1:$O$88,15,0))</f>
        <v>0</v>
      </c>
      <c r="Y151" s="6"/>
      <c r="Z151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1" s="6">
        <f ca="1">('TE BE'!$AB$13+'TE BF_350'!$AB$13+'TE CVA'!$AB$13)*(1-CUSTOS!$M$35)</f>
        <v>157.51799999999997</v>
      </c>
      <c r="AB151" s="6">
        <f>$K$151*$V$151</f>
        <v>0</v>
      </c>
      <c r="AC151" s="6">
        <f>$M$151*$W$151</f>
        <v>0</v>
      </c>
      <c r="AD151" s="6">
        <f>$O$151*$X$151</f>
        <v>0</v>
      </c>
      <c r="AE151" s="6">
        <f>$K$151*$Y$151</f>
        <v>0</v>
      </c>
      <c r="AF151" s="6">
        <f ca="1">$M$151*$Z$151</f>
        <v>2637.2198759999997</v>
      </c>
      <c r="AG151" s="6">
        <f ca="1">$O$151*$AA$151</f>
        <v>3687.0238259999992</v>
      </c>
    </row>
    <row r="152" spans="1:33" ht="11.25" customHeight="1" x14ac:dyDescent="0.25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29</v>
      </c>
      <c r="F152" s="4" t="s">
        <v>25</v>
      </c>
      <c r="G152" s="4" t="s">
        <v>25</v>
      </c>
      <c r="H152" s="4" t="s">
        <v>25</v>
      </c>
      <c r="I152" s="5">
        <v>44593</v>
      </c>
      <c r="J152" s="6">
        <v>0</v>
      </c>
      <c r="K152" s="6">
        <v>0</v>
      </c>
      <c r="L152" s="6">
        <v>24.22</v>
      </c>
      <c r="M152" s="6">
        <v>24.22</v>
      </c>
      <c r="N152" s="6">
        <v>24.22</v>
      </c>
      <c r="O152" s="6">
        <v>24.22</v>
      </c>
      <c r="P152" s="6">
        <v>21</v>
      </c>
      <c r="Q152" s="4" t="s">
        <v>26</v>
      </c>
      <c r="R152" s="4">
        <v>0</v>
      </c>
      <c r="S152" s="6">
        <v>0</v>
      </c>
      <c r="T152" s="6">
        <v>20</v>
      </c>
      <c r="U152" s="6">
        <v>58</v>
      </c>
      <c r="V152" s="6">
        <f>IF(ISERROR(VLOOKUP($S$152,'TAR FIN'!$A$1:$O$88,15,0)),0,VLOOKUP($S$152,'TAR FIN'!$A$1:$O$88,15,0))</f>
        <v>0</v>
      </c>
      <c r="W152" s="6">
        <f>IF(ISERROR(VLOOKUP($T$152,'TAR FIN'!$A$1:$O$88,15,0)),0,VLOOKUP($T$152,'TAR FIN'!$A$1:$O$88,15,0))</f>
        <v>0</v>
      </c>
      <c r="X152" s="6">
        <f>IF(ISERROR(VLOOKUP($U$152,'TAR FIN'!$A$1:$O$88,15,0)),0,VLOOKUP($U$152,'TAR FIN'!$A$1:$O$88,15,0))</f>
        <v>0</v>
      </c>
      <c r="Y152" s="6"/>
      <c r="Z152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2" s="6">
        <f ca="1">('TE BE'!$AB$13+'TE BF_350'!$AB$13+'TE CVA'!$AB$13)*(1-CUSTOS!$M$35)</f>
        <v>157.51799999999997</v>
      </c>
      <c r="AB152" s="6">
        <f>$K$152*$V$152</f>
        <v>0</v>
      </c>
      <c r="AC152" s="6">
        <f>$M$152*$W$152</f>
        <v>0</v>
      </c>
      <c r="AD152" s="6">
        <f>$O$152*$X$152</f>
        <v>0</v>
      </c>
      <c r="AE152" s="6">
        <f>$K$152*$Y$152</f>
        <v>0</v>
      </c>
      <c r="AF152" s="6">
        <f ca="1">$M$152*$Z$152</f>
        <v>2728.8189599999996</v>
      </c>
      <c r="AG152" s="6">
        <f ca="1">$O$152*$AA$152</f>
        <v>3815.085959999999</v>
      </c>
    </row>
    <row r="153" spans="1:33" ht="11.25" customHeight="1" x14ac:dyDescent="0.25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29</v>
      </c>
      <c r="F153" s="4" t="s">
        <v>25</v>
      </c>
      <c r="G153" s="4" t="s">
        <v>25</v>
      </c>
      <c r="H153" s="4" t="s">
        <v>25</v>
      </c>
      <c r="I153" s="5">
        <v>44621</v>
      </c>
      <c r="J153" s="6">
        <v>0</v>
      </c>
      <c r="K153" s="6">
        <v>0</v>
      </c>
      <c r="L153" s="6">
        <v>24.114000000000001</v>
      </c>
      <c r="M153" s="6">
        <v>24.114000000000001</v>
      </c>
      <c r="N153" s="6">
        <v>24.114000000000001</v>
      </c>
      <c r="O153" s="6">
        <v>24.114000000000001</v>
      </c>
      <c r="P153" s="6">
        <v>43</v>
      </c>
      <c r="Q153" s="4" t="s">
        <v>26</v>
      </c>
      <c r="R153" s="4">
        <v>0</v>
      </c>
      <c r="S153" s="6">
        <v>0</v>
      </c>
      <c r="T153" s="6">
        <v>20</v>
      </c>
      <c r="U153" s="6">
        <v>58</v>
      </c>
      <c r="V153" s="6">
        <f>IF(ISERROR(VLOOKUP($S$153,'TAR FIN'!$A$1:$O$88,15,0)),0,VLOOKUP($S$153,'TAR FIN'!$A$1:$O$88,15,0))</f>
        <v>0</v>
      </c>
      <c r="W153" s="6">
        <f>IF(ISERROR(VLOOKUP($T$153,'TAR FIN'!$A$1:$O$88,15,0)),0,VLOOKUP($T$153,'TAR FIN'!$A$1:$O$88,15,0))</f>
        <v>0</v>
      </c>
      <c r="X153" s="6">
        <f>IF(ISERROR(VLOOKUP($U$153,'TAR FIN'!$A$1:$O$88,15,0)),0,VLOOKUP($U$153,'TAR FIN'!$A$1:$O$88,15,0))</f>
        <v>0</v>
      </c>
      <c r="Y153" s="6"/>
      <c r="Z153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3" s="6">
        <f ca="1">('TE BE'!$AB$13+'TE BF_350'!$AB$13+'TE CVA'!$AB$13)*(1-CUSTOS!$M$35)</f>
        <v>157.51799999999997</v>
      </c>
      <c r="AB153" s="6">
        <f>$K$153*$V$153</f>
        <v>0</v>
      </c>
      <c r="AC153" s="6">
        <f>$M$153*$W$153</f>
        <v>0</v>
      </c>
      <c r="AD153" s="6">
        <f>$O$153*$X$153</f>
        <v>0</v>
      </c>
      <c r="AE153" s="6">
        <f>$K$153*$Y$153</f>
        <v>0</v>
      </c>
      <c r="AF153" s="6">
        <f ca="1">$M$153*$Z$153</f>
        <v>2716.8761519999998</v>
      </c>
      <c r="AG153" s="6">
        <f ca="1">$O$153*$AA$153</f>
        <v>3798.3890519999995</v>
      </c>
    </row>
    <row r="154" spans="1:33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44652</v>
      </c>
      <c r="J154" s="6">
        <v>0</v>
      </c>
      <c r="K154" s="6">
        <v>0</v>
      </c>
      <c r="L154" s="6">
        <v>24.617999999999999</v>
      </c>
      <c r="M154" s="6">
        <v>24.617999999999999</v>
      </c>
      <c r="N154" s="6">
        <v>24.617999999999999</v>
      </c>
      <c r="O154" s="6">
        <v>24.617999999999999</v>
      </c>
      <c r="P154" s="6">
        <v>35</v>
      </c>
      <c r="Q154" s="4" t="s">
        <v>26</v>
      </c>
      <c r="R154" s="4">
        <v>0</v>
      </c>
      <c r="S154" s="6">
        <v>0</v>
      </c>
      <c r="T154" s="6">
        <v>20</v>
      </c>
      <c r="U154" s="6">
        <v>58</v>
      </c>
      <c r="V154" s="6">
        <f>IF(ISERROR(VLOOKUP($S$154,'TAR FIN'!$A$1:$O$88,15,0)),0,VLOOKUP($S$154,'TAR FIN'!$A$1:$O$88,15,0))</f>
        <v>0</v>
      </c>
      <c r="W154" s="6">
        <f>IF(ISERROR(VLOOKUP($T$154,'TAR FIN'!$A$1:$O$88,15,0)),0,VLOOKUP($T$154,'TAR FIN'!$A$1:$O$88,15,0))</f>
        <v>0</v>
      </c>
      <c r="X154" s="6">
        <f>IF(ISERROR(VLOOKUP($U$154,'TAR FIN'!$A$1:$O$88,15,0)),0,VLOOKUP($U$154,'TAR FIN'!$A$1:$O$88,15,0))</f>
        <v>0</v>
      </c>
      <c r="Y154" s="6"/>
      <c r="Z154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4" s="6">
        <f ca="1">('TE BE'!$AB$13+'TE BF_350'!$AB$13+'TE CVA'!$AB$13)*(1-CUSTOS!$M$35)</f>
        <v>157.51799999999997</v>
      </c>
      <c r="AB154" s="6">
        <f>$K$154*$V$154</f>
        <v>0</v>
      </c>
      <c r="AC154" s="6">
        <f>$M$154*$W$154</f>
        <v>0</v>
      </c>
      <c r="AD154" s="6">
        <f>$O$154*$X$154</f>
        <v>0</v>
      </c>
      <c r="AE154" s="6">
        <f>$K$154*$Y$154</f>
        <v>0</v>
      </c>
      <c r="AF154" s="6">
        <f ca="1">$M$154*$Z$154</f>
        <v>2773.6608239999996</v>
      </c>
      <c r="AG154" s="6">
        <f ca="1">$O$154*$AA$154</f>
        <v>3877.778123999999</v>
      </c>
    </row>
    <row r="155" spans="1:33" ht="11.25" customHeight="1" x14ac:dyDescent="0.25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29</v>
      </c>
      <c r="F155" s="4" t="s">
        <v>25</v>
      </c>
      <c r="G155" s="4" t="s">
        <v>25</v>
      </c>
      <c r="H155" s="4" t="s">
        <v>25</v>
      </c>
      <c r="I155" s="5">
        <v>44682</v>
      </c>
      <c r="J155" s="6">
        <v>0</v>
      </c>
      <c r="K155" s="6">
        <v>0</v>
      </c>
      <c r="L155" s="6">
        <v>24.742000000000001</v>
      </c>
      <c r="M155" s="6">
        <v>24.742000000000001</v>
      </c>
      <c r="N155" s="6">
        <v>24.742000000000001</v>
      </c>
      <c r="O155" s="6">
        <v>24.742000000000001</v>
      </c>
      <c r="P155" s="6">
        <v>45</v>
      </c>
      <c r="Q155" s="4" t="s">
        <v>26</v>
      </c>
      <c r="R155" s="4">
        <v>0</v>
      </c>
      <c r="S155" s="6">
        <v>0</v>
      </c>
      <c r="T155" s="6">
        <v>20</v>
      </c>
      <c r="U155" s="6">
        <v>58</v>
      </c>
      <c r="V155" s="6">
        <f>IF(ISERROR(VLOOKUP($S$155,'TAR FIN'!$A$1:$O$88,15,0)),0,VLOOKUP($S$155,'TAR FIN'!$A$1:$O$88,15,0))</f>
        <v>0</v>
      </c>
      <c r="W155" s="6">
        <f>IF(ISERROR(VLOOKUP($T$155,'TAR FIN'!$A$1:$O$88,15,0)),0,VLOOKUP($T$155,'TAR FIN'!$A$1:$O$88,15,0))</f>
        <v>0</v>
      </c>
      <c r="X155" s="6">
        <f>IF(ISERROR(VLOOKUP($U$155,'TAR FIN'!$A$1:$O$88,15,0)),0,VLOOKUP($U$155,'TAR FIN'!$A$1:$O$88,15,0))</f>
        <v>0</v>
      </c>
      <c r="Y155" s="6"/>
      <c r="Z155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5" s="6">
        <f ca="1">('TE BE'!$AB$13+'TE BF_350'!$AB$13+'TE CVA'!$AB$13)*(1-CUSTOS!$M$35)</f>
        <v>157.51799999999997</v>
      </c>
      <c r="AB155" s="6">
        <f>$K$155*$V$155</f>
        <v>0</v>
      </c>
      <c r="AC155" s="6">
        <f>$M$155*$W$155</f>
        <v>0</v>
      </c>
      <c r="AD155" s="6">
        <f>$O$155*$X$155</f>
        <v>0</v>
      </c>
      <c r="AE155" s="6">
        <f>$K$155*$Y$155</f>
        <v>0</v>
      </c>
      <c r="AF155" s="6">
        <f ca="1">$M$155*$Z$155</f>
        <v>2787.631656</v>
      </c>
      <c r="AG155" s="6">
        <f ca="1">$O$155*$AA$155</f>
        <v>3897.3103559999995</v>
      </c>
    </row>
    <row r="156" spans="1:33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29</v>
      </c>
      <c r="F156" s="4" t="s">
        <v>25</v>
      </c>
      <c r="G156" s="4" t="s">
        <v>25</v>
      </c>
      <c r="H156" s="4" t="s">
        <v>25</v>
      </c>
      <c r="I156" s="5">
        <v>44713</v>
      </c>
      <c r="J156" s="6">
        <v>0</v>
      </c>
      <c r="K156" s="6">
        <v>0</v>
      </c>
      <c r="L156" s="6">
        <v>21.544</v>
      </c>
      <c r="M156" s="6">
        <v>21.544</v>
      </c>
      <c r="N156" s="6">
        <v>21.544</v>
      </c>
      <c r="O156" s="6">
        <v>21.544</v>
      </c>
      <c r="P156" s="6">
        <v>54</v>
      </c>
      <c r="Q156" s="4" t="s">
        <v>26</v>
      </c>
      <c r="R156" s="4">
        <v>0</v>
      </c>
      <c r="S156" s="6">
        <v>0</v>
      </c>
      <c r="T156" s="6">
        <v>20</v>
      </c>
      <c r="U156" s="6">
        <v>58</v>
      </c>
      <c r="V156" s="6">
        <f>IF(ISERROR(VLOOKUP($S$156,'TAR FIN'!$A$1:$O$88,15,0)),0,VLOOKUP($S$156,'TAR FIN'!$A$1:$O$88,15,0))</f>
        <v>0</v>
      </c>
      <c r="W156" s="6">
        <f>IF(ISERROR(VLOOKUP($T$156,'TAR FIN'!$A$1:$O$88,15,0)),0,VLOOKUP($T$156,'TAR FIN'!$A$1:$O$88,15,0))</f>
        <v>0</v>
      </c>
      <c r="X156" s="6">
        <f>IF(ISERROR(VLOOKUP($U$156,'TAR FIN'!$A$1:$O$88,15,0)),0,VLOOKUP($U$156,'TAR FIN'!$A$1:$O$88,15,0))</f>
        <v>0</v>
      </c>
      <c r="Y156" s="6"/>
      <c r="Z156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6" s="6">
        <f ca="1">('TE BE'!$AB$13+'TE BF_350'!$AB$13+'TE CVA'!$AB$13)*(1-CUSTOS!$M$35)</f>
        <v>157.51799999999997</v>
      </c>
      <c r="AB156" s="6">
        <f>$K$156*$V$156</f>
        <v>0</v>
      </c>
      <c r="AC156" s="6">
        <f>$M$156*$W$156</f>
        <v>0</v>
      </c>
      <c r="AD156" s="6">
        <f>$O$156*$X$156</f>
        <v>0</v>
      </c>
      <c r="AE156" s="6">
        <f>$K$156*$Y$156</f>
        <v>0</v>
      </c>
      <c r="AF156" s="6">
        <f ca="1">$M$156*$Z$156</f>
        <v>2427.3193919999999</v>
      </c>
      <c r="AG156" s="6">
        <f ca="1">$O$156*$AA$156</f>
        <v>3393.5677919999994</v>
      </c>
    </row>
    <row r="157" spans="1:33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29</v>
      </c>
      <c r="F157" s="4" t="s">
        <v>25</v>
      </c>
      <c r="G157" s="4" t="s">
        <v>25</v>
      </c>
      <c r="H157" s="4" t="s">
        <v>25</v>
      </c>
      <c r="I157" s="5">
        <v>44743</v>
      </c>
      <c r="J157" s="6">
        <v>0</v>
      </c>
      <c r="K157" s="6">
        <v>0</v>
      </c>
      <c r="L157" s="6">
        <v>21.042999999999999</v>
      </c>
      <c r="M157" s="6">
        <v>21.042999999999999</v>
      </c>
      <c r="N157" s="6">
        <v>21.042999999999999</v>
      </c>
      <c r="O157" s="6">
        <v>21.042999999999999</v>
      </c>
      <c r="P157" s="6">
        <v>57</v>
      </c>
      <c r="Q157" s="4" t="s">
        <v>26</v>
      </c>
      <c r="R157" s="4">
        <v>0</v>
      </c>
      <c r="S157" s="6">
        <v>0</v>
      </c>
      <c r="T157" s="6">
        <v>20</v>
      </c>
      <c r="U157" s="6">
        <v>58</v>
      </c>
      <c r="V157" s="6">
        <f>IF(ISERROR(VLOOKUP($S$157,'TAR FIN'!$A$1:$O$88,15,0)),0,VLOOKUP($S$157,'TAR FIN'!$A$1:$O$88,15,0))</f>
        <v>0</v>
      </c>
      <c r="W157" s="6">
        <f>IF(ISERROR(VLOOKUP($T$157,'TAR FIN'!$A$1:$O$88,15,0)),0,VLOOKUP($T$157,'TAR FIN'!$A$1:$O$88,15,0))</f>
        <v>0</v>
      </c>
      <c r="X157" s="6">
        <f>IF(ISERROR(VLOOKUP($U$157,'TAR FIN'!$A$1:$O$88,15,0)),0,VLOOKUP($U$157,'TAR FIN'!$A$1:$O$88,15,0))</f>
        <v>0</v>
      </c>
      <c r="Y157" s="6"/>
      <c r="Z157" s="6">
        <f ca="1">('TUSD BE'!$AM$22+'TUSD BF_350'!$AM$22+'TUSD CVA'!$AM$22-('TUSD BE'!$P$22+'TUSD BF_350'!$P$22+'TUSD CVA'!$P$22)-('TUSD BE'!$Q$22+'TUSD BF_350'!$Q$22+'TUSD CVA'!$Q$22)-('TUSD BE'!$R$22+'TUSD BF_350'!$R$22+'TUSD CVA'!$R$22))*(1-CUSTOS!$M$35)</f>
        <v>112.66799999999999</v>
      </c>
      <c r="AA157" s="6">
        <f ca="1">('TE BE'!$AB$13+'TE BF_350'!$AB$13+'TE CVA'!$AB$13)*(1-CUSTOS!$M$35)</f>
        <v>157.51799999999997</v>
      </c>
      <c r="AB157" s="6">
        <f>$K$157*$V$157</f>
        <v>0</v>
      </c>
      <c r="AC157" s="6">
        <f>$M$157*$W$157</f>
        <v>0</v>
      </c>
      <c r="AD157" s="6">
        <f>$O$157*$X$157</f>
        <v>0</v>
      </c>
      <c r="AE157" s="6">
        <f>$K$157*$Y$157</f>
        <v>0</v>
      </c>
      <c r="AF157" s="6">
        <f ca="1">$M$157*$Z$157</f>
        <v>2370.8727239999998</v>
      </c>
      <c r="AG157" s="6">
        <f ca="1">$O$157*$AA$157</f>
        <v>3314.6512739999994</v>
      </c>
    </row>
    <row r="158" spans="1:33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30</v>
      </c>
      <c r="F158" s="4" t="s">
        <v>25</v>
      </c>
      <c r="G158" s="4" t="s">
        <v>25</v>
      </c>
      <c r="H158" s="4" t="s">
        <v>25</v>
      </c>
      <c r="I158" s="5">
        <v>44409</v>
      </c>
      <c r="J158" s="6">
        <v>0</v>
      </c>
      <c r="K158" s="6">
        <v>0</v>
      </c>
      <c r="L158" s="6">
        <v>23.725999999999999</v>
      </c>
      <c r="M158" s="6">
        <v>23.725999999999999</v>
      </c>
      <c r="N158" s="6">
        <v>23.725999999999999</v>
      </c>
      <c r="O158" s="6">
        <v>23.725999999999999</v>
      </c>
      <c r="P158" s="6">
        <v>169</v>
      </c>
      <c r="Q158" s="4" t="s">
        <v>26</v>
      </c>
      <c r="R158" s="4">
        <v>0</v>
      </c>
      <c r="S158" s="6">
        <v>0</v>
      </c>
      <c r="T158" s="6">
        <v>21</v>
      </c>
      <c r="U158" s="6">
        <v>59</v>
      </c>
      <c r="V158" s="6">
        <f>IF(ISERROR(VLOOKUP($S$158,'TAR FIN'!$A$1:$O$88,15,0)),0,VLOOKUP($S$158,'TAR FIN'!$A$1:$O$88,15,0))</f>
        <v>0</v>
      </c>
      <c r="W158" s="6">
        <f>IF(ISERROR(VLOOKUP($T$158,'TAR FIN'!$A$1:$O$88,15,0)),0,VLOOKUP($T$158,'TAR FIN'!$A$1:$O$88,15,0))</f>
        <v>0</v>
      </c>
      <c r="X158" s="6">
        <f>IF(ISERROR(VLOOKUP($U$158,'TAR FIN'!$A$1:$O$88,15,0)),0,VLOOKUP($U$158,'TAR FIN'!$A$1:$O$88,15,0))</f>
        <v>0</v>
      </c>
      <c r="Y158" s="6"/>
      <c r="Z158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58" s="6">
        <f ca="1">('TE BE'!$AB$14+'TE BF_350'!$AB$14+'TE CVA'!$AB$14)*(1-CUSTOS!$M$36)</f>
        <v>236.27699999999999</v>
      </c>
      <c r="AB158" s="6">
        <f>$K$158*$V$158</f>
        <v>0</v>
      </c>
      <c r="AC158" s="6">
        <f>$M$158*$W$158</f>
        <v>0</v>
      </c>
      <c r="AD158" s="6">
        <f>$O$158*$X$158</f>
        <v>0</v>
      </c>
      <c r="AE158" s="6">
        <f>$K$158*$Y$158</f>
        <v>0</v>
      </c>
      <c r="AF158" s="6">
        <f ca="1">$M$158*$Z$158</f>
        <v>4009.7414520000002</v>
      </c>
      <c r="AG158" s="6">
        <f ca="1">$O$158*$AA$158</f>
        <v>5605.9081019999994</v>
      </c>
    </row>
    <row r="159" spans="1:33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30</v>
      </c>
      <c r="F159" s="4" t="s">
        <v>25</v>
      </c>
      <c r="G159" s="4" t="s">
        <v>25</v>
      </c>
      <c r="H159" s="4" t="s">
        <v>25</v>
      </c>
      <c r="I159" s="5">
        <v>44440</v>
      </c>
      <c r="J159" s="6">
        <v>0</v>
      </c>
      <c r="K159" s="6">
        <v>0</v>
      </c>
      <c r="L159" s="6">
        <v>21.268999999999998</v>
      </c>
      <c r="M159" s="6">
        <v>21.268999999999998</v>
      </c>
      <c r="N159" s="6">
        <v>21.268999999999998</v>
      </c>
      <c r="O159" s="6">
        <v>21.268999999999998</v>
      </c>
      <c r="P159" s="6">
        <v>196</v>
      </c>
      <c r="Q159" s="4" t="s">
        <v>26</v>
      </c>
      <c r="R159" s="4">
        <v>0</v>
      </c>
      <c r="S159" s="6">
        <v>0</v>
      </c>
      <c r="T159" s="6">
        <v>21</v>
      </c>
      <c r="U159" s="6">
        <v>59</v>
      </c>
      <c r="V159" s="6">
        <f>IF(ISERROR(VLOOKUP($S$159,'TAR FIN'!$A$1:$O$88,15,0)),0,VLOOKUP($S$159,'TAR FIN'!$A$1:$O$88,15,0))</f>
        <v>0</v>
      </c>
      <c r="W159" s="6">
        <f>IF(ISERROR(VLOOKUP($T$159,'TAR FIN'!$A$1:$O$88,15,0)),0,VLOOKUP($T$159,'TAR FIN'!$A$1:$O$88,15,0))</f>
        <v>0</v>
      </c>
      <c r="X159" s="6">
        <f>IF(ISERROR(VLOOKUP($U$159,'TAR FIN'!$A$1:$O$88,15,0)),0,VLOOKUP($U$159,'TAR FIN'!$A$1:$O$88,15,0))</f>
        <v>0</v>
      </c>
      <c r="Y159" s="6"/>
      <c r="Z159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59" s="6">
        <f ca="1">('TE BE'!$AB$14+'TE BF_350'!$AB$14+'TE CVA'!$AB$14)*(1-CUSTOS!$M$36)</f>
        <v>236.27699999999999</v>
      </c>
      <c r="AB159" s="6">
        <f>$K$159*$V$159</f>
        <v>0</v>
      </c>
      <c r="AC159" s="6">
        <f>$M$159*$W$159</f>
        <v>0</v>
      </c>
      <c r="AD159" s="6">
        <f>$O$159*$X$159</f>
        <v>0</v>
      </c>
      <c r="AE159" s="6">
        <f>$K$159*$Y$159</f>
        <v>0</v>
      </c>
      <c r="AF159" s="6">
        <f ca="1">$M$159*$Z$159</f>
        <v>3594.5035379999999</v>
      </c>
      <c r="AG159" s="6">
        <f ca="1">$O$159*$AA$159</f>
        <v>5025.375512999999</v>
      </c>
    </row>
    <row r="160" spans="1:33" ht="11.25" customHeight="1" x14ac:dyDescent="0.25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30</v>
      </c>
      <c r="F160" s="4" t="s">
        <v>25</v>
      </c>
      <c r="G160" s="4" t="s">
        <v>25</v>
      </c>
      <c r="H160" s="4" t="s">
        <v>25</v>
      </c>
      <c r="I160" s="5">
        <v>44470</v>
      </c>
      <c r="J160" s="6">
        <v>0</v>
      </c>
      <c r="K160" s="6">
        <v>0</v>
      </c>
      <c r="L160" s="6">
        <v>26.408000000000001</v>
      </c>
      <c r="M160" s="6">
        <v>26.408000000000001</v>
      </c>
      <c r="N160" s="6">
        <v>26.408000000000001</v>
      </c>
      <c r="O160" s="6">
        <v>26.408000000000001</v>
      </c>
      <c r="P160" s="6">
        <v>164</v>
      </c>
      <c r="Q160" s="4" t="s">
        <v>26</v>
      </c>
      <c r="R160" s="4">
        <v>0</v>
      </c>
      <c r="S160" s="6">
        <v>0</v>
      </c>
      <c r="T160" s="6">
        <v>21</v>
      </c>
      <c r="U160" s="6">
        <v>59</v>
      </c>
      <c r="V160" s="6">
        <f>IF(ISERROR(VLOOKUP($S$160,'TAR FIN'!$A$1:$O$88,15,0)),0,VLOOKUP($S$160,'TAR FIN'!$A$1:$O$88,15,0))</f>
        <v>0</v>
      </c>
      <c r="W160" s="6">
        <f>IF(ISERROR(VLOOKUP($T$160,'TAR FIN'!$A$1:$O$88,15,0)),0,VLOOKUP($T$160,'TAR FIN'!$A$1:$O$88,15,0))</f>
        <v>0</v>
      </c>
      <c r="X160" s="6">
        <f>IF(ISERROR(VLOOKUP($U$160,'TAR FIN'!$A$1:$O$88,15,0)),0,VLOOKUP($U$160,'TAR FIN'!$A$1:$O$88,15,0))</f>
        <v>0</v>
      </c>
      <c r="Y160" s="6"/>
      <c r="Z160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0" s="6">
        <f ca="1">('TE BE'!$AB$14+'TE BF_350'!$AB$14+'TE CVA'!$AB$14)*(1-CUSTOS!$M$36)</f>
        <v>236.27699999999999</v>
      </c>
      <c r="AB160" s="6">
        <f>$K$160*$V$160</f>
        <v>0</v>
      </c>
      <c r="AC160" s="6">
        <f>$M$160*$W$160</f>
        <v>0</v>
      </c>
      <c r="AD160" s="6">
        <f>$O$160*$X$160</f>
        <v>0</v>
      </c>
      <c r="AE160" s="6">
        <f>$K$160*$Y$160</f>
        <v>0</v>
      </c>
      <c r="AF160" s="6">
        <f ca="1">$M$160*$Z$160</f>
        <v>4463.0048160000006</v>
      </c>
      <c r="AG160" s="6">
        <f ca="1">$O$160*$AA$160</f>
        <v>6239.603016</v>
      </c>
    </row>
    <row r="161" spans="1:33" ht="11.25" customHeight="1" x14ac:dyDescent="0.25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30</v>
      </c>
      <c r="F161" s="4" t="s">
        <v>25</v>
      </c>
      <c r="G161" s="4" t="s">
        <v>25</v>
      </c>
      <c r="H161" s="4" t="s">
        <v>25</v>
      </c>
      <c r="I161" s="5">
        <v>44501</v>
      </c>
      <c r="J161" s="6">
        <v>0</v>
      </c>
      <c r="K161" s="6">
        <v>0</v>
      </c>
      <c r="L161" s="6">
        <v>22.603999999999999</v>
      </c>
      <c r="M161" s="6">
        <v>22.603999999999999</v>
      </c>
      <c r="N161" s="6">
        <v>22.603999999999999</v>
      </c>
      <c r="O161" s="6">
        <v>22.603999999999999</v>
      </c>
      <c r="P161" s="6">
        <v>207</v>
      </c>
      <c r="Q161" s="4" t="s">
        <v>26</v>
      </c>
      <c r="R161" s="4">
        <v>0</v>
      </c>
      <c r="S161" s="6">
        <v>0</v>
      </c>
      <c r="T161" s="6">
        <v>21</v>
      </c>
      <c r="U161" s="6">
        <v>59</v>
      </c>
      <c r="V161" s="6">
        <f>IF(ISERROR(VLOOKUP($S$161,'TAR FIN'!$A$1:$O$88,15,0)),0,VLOOKUP($S$161,'TAR FIN'!$A$1:$O$88,15,0))</f>
        <v>0</v>
      </c>
      <c r="W161" s="6">
        <f>IF(ISERROR(VLOOKUP($T$161,'TAR FIN'!$A$1:$O$88,15,0)),0,VLOOKUP($T$161,'TAR FIN'!$A$1:$O$88,15,0))</f>
        <v>0</v>
      </c>
      <c r="X161" s="6">
        <f>IF(ISERROR(VLOOKUP($U$161,'TAR FIN'!$A$1:$O$88,15,0)),0,VLOOKUP($U$161,'TAR FIN'!$A$1:$O$88,15,0))</f>
        <v>0</v>
      </c>
      <c r="Y161" s="6"/>
      <c r="Z161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1" s="6">
        <f ca="1">('TE BE'!$AB$14+'TE BF_350'!$AB$14+'TE CVA'!$AB$14)*(1-CUSTOS!$M$36)</f>
        <v>236.27699999999999</v>
      </c>
      <c r="AB161" s="6">
        <f>$K$161*$V$161</f>
        <v>0</v>
      </c>
      <c r="AC161" s="6">
        <f>$M$161*$W$161</f>
        <v>0</v>
      </c>
      <c r="AD161" s="6">
        <f>$O$161*$X$161</f>
        <v>0</v>
      </c>
      <c r="AE161" s="6">
        <f>$K$161*$Y$161</f>
        <v>0</v>
      </c>
      <c r="AF161" s="6">
        <f ca="1">$M$161*$Z$161</f>
        <v>3820.121208</v>
      </c>
      <c r="AG161" s="6">
        <f ca="1">$O$161*$AA$161</f>
        <v>5340.805308</v>
      </c>
    </row>
    <row r="162" spans="1:33" ht="11.25" customHeight="1" x14ac:dyDescent="0.25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30</v>
      </c>
      <c r="F162" s="4" t="s">
        <v>25</v>
      </c>
      <c r="G162" s="4" t="s">
        <v>25</v>
      </c>
      <c r="H162" s="4" t="s">
        <v>25</v>
      </c>
      <c r="I162" s="5">
        <v>44531</v>
      </c>
      <c r="J162" s="6">
        <v>0</v>
      </c>
      <c r="K162" s="6">
        <v>0</v>
      </c>
      <c r="L162" s="6">
        <v>25.882999999999999</v>
      </c>
      <c r="M162" s="6">
        <v>25.882999999999999</v>
      </c>
      <c r="N162" s="6">
        <v>25.882999999999999</v>
      </c>
      <c r="O162" s="6">
        <v>25.882999999999999</v>
      </c>
      <c r="P162" s="6">
        <v>196</v>
      </c>
      <c r="Q162" s="4" t="s">
        <v>26</v>
      </c>
      <c r="R162" s="4">
        <v>0</v>
      </c>
      <c r="S162" s="6">
        <v>0</v>
      </c>
      <c r="T162" s="6">
        <v>21</v>
      </c>
      <c r="U162" s="6">
        <v>59</v>
      </c>
      <c r="V162" s="6">
        <f>IF(ISERROR(VLOOKUP($S$162,'TAR FIN'!$A$1:$O$88,15,0)),0,VLOOKUP($S$162,'TAR FIN'!$A$1:$O$88,15,0))</f>
        <v>0</v>
      </c>
      <c r="W162" s="6">
        <f>IF(ISERROR(VLOOKUP($T$162,'TAR FIN'!$A$1:$O$88,15,0)),0,VLOOKUP($T$162,'TAR FIN'!$A$1:$O$88,15,0))</f>
        <v>0</v>
      </c>
      <c r="X162" s="6">
        <f>IF(ISERROR(VLOOKUP($U$162,'TAR FIN'!$A$1:$O$88,15,0)),0,VLOOKUP($U$162,'TAR FIN'!$A$1:$O$88,15,0))</f>
        <v>0</v>
      </c>
      <c r="Y162" s="6"/>
      <c r="Z162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2" s="6">
        <f ca="1">('TE BE'!$AB$14+'TE BF_350'!$AB$14+'TE CVA'!$AB$14)*(1-CUSTOS!$M$36)</f>
        <v>236.27699999999999</v>
      </c>
      <c r="AB162" s="6">
        <f>$K$162*$V$162</f>
        <v>0</v>
      </c>
      <c r="AC162" s="6">
        <f>$M$162*$W$162</f>
        <v>0</v>
      </c>
      <c r="AD162" s="6">
        <f>$O$162*$X$162</f>
        <v>0</v>
      </c>
      <c r="AE162" s="6">
        <f>$K$162*$Y$162</f>
        <v>0</v>
      </c>
      <c r="AF162" s="6">
        <f ca="1">$M$162*$Z$162</f>
        <v>4374.2787660000004</v>
      </c>
      <c r="AG162" s="6">
        <f ca="1">$O$162*$AA$162</f>
        <v>6115.5575909999998</v>
      </c>
    </row>
    <row r="163" spans="1:33" ht="11.25" customHeight="1" x14ac:dyDescent="0.25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30</v>
      </c>
      <c r="F163" s="4" t="s">
        <v>25</v>
      </c>
      <c r="G163" s="4" t="s">
        <v>25</v>
      </c>
      <c r="H163" s="4" t="s">
        <v>25</v>
      </c>
      <c r="I163" s="5">
        <v>44562</v>
      </c>
      <c r="J163" s="6">
        <v>0</v>
      </c>
      <c r="K163" s="6">
        <v>0</v>
      </c>
      <c r="L163" s="6">
        <v>24.427</v>
      </c>
      <c r="M163" s="6">
        <v>24.427</v>
      </c>
      <c r="N163" s="6">
        <v>24.427</v>
      </c>
      <c r="O163" s="6">
        <v>24.427</v>
      </c>
      <c r="P163" s="6">
        <v>208</v>
      </c>
      <c r="Q163" s="4" t="s">
        <v>26</v>
      </c>
      <c r="R163" s="4">
        <v>0</v>
      </c>
      <c r="S163" s="6">
        <v>0</v>
      </c>
      <c r="T163" s="6">
        <v>21</v>
      </c>
      <c r="U163" s="6">
        <v>59</v>
      </c>
      <c r="V163" s="6">
        <f>IF(ISERROR(VLOOKUP($S$163,'TAR FIN'!$A$1:$O$88,15,0)),0,VLOOKUP($S$163,'TAR FIN'!$A$1:$O$88,15,0))</f>
        <v>0</v>
      </c>
      <c r="W163" s="6">
        <f>IF(ISERROR(VLOOKUP($T$163,'TAR FIN'!$A$1:$O$88,15,0)),0,VLOOKUP($T$163,'TAR FIN'!$A$1:$O$88,15,0))</f>
        <v>0</v>
      </c>
      <c r="X163" s="6">
        <f>IF(ISERROR(VLOOKUP($U$163,'TAR FIN'!$A$1:$O$88,15,0)),0,VLOOKUP($U$163,'TAR FIN'!$A$1:$O$88,15,0))</f>
        <v>0</v>
      </c>
      <c r="Y163" s="6"/>
      <c r="Z163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3" s="6">
        <f ca="1">('TE BE'!$AB$14+'TE BF_350'!$AB$14+'TE CVA'!$AB$14)*(1-CUSTOS!$M$36)</f>
        <v>236.27699999999999</v>
      </c>
      <c r="AB163" s="6">
        <f>$K$163*$V$163</f>
        <v>0</v>
      </c>
      <c r="AC163" s="6">
        <f>$M$163*$W$163</f>
        <v>0</v>
      </c>
      <c r="AD163" s="6">
        <f>$O$163*$X$163</f>
        <v>0</v>
      </c>
      <c r="AE163" s="6">
        <f>$K$163*$Y$163</f>
        <v>0</v>
      </c>
      <c r="AF163" s="6">
        <f ca="1">$M$163*$Z$163</f>
        <v>4128.2118540000001</v>
      </c>
      <c r="AG163" s="6">
        <f ca="1">$O$163*$AA$163</f>
        <v>5771.5382789999994</v>
      </c>
    </row>
    <row r="164" spans="1:33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30</v>
      </c>
      <c r="F164" s="4" t="s">
        <v>25</v>
      </c>
      <c r="G164" s="4" t="s">
        <v>25</v>
      </c>
      <c r="H164" s="4" t="s">
        <v>25</v>
      </c>
      <c r="I164" s="5">
        <v>44593</v>
      </c>
      <c r="J164" s="6">
        <v>0</v>
      </c>
      <c r="K164" s="6">
        <v>0</v>
      </c>
      <c r="L164" s="6">
        <v>31.364000000000001</v>
      </c>
      <c r="M164" s="6">
        <v>31.364000000000001</v>
      </c>
      <c r="N164" s="6">
        <v>31.364000000000001</v>
      </c>
      <c r="O164" s="6">
        <v>31.364000000000001</v>
      </c>
      <c r="P164" s="6">
        <v>152</v>
      </c>
      <c r="Q164" s="4" t="s">
        <v>26</v>
      </c>
      <c r="R164" s="4">
        <v>0</v>
      </c>
      <c r="S164" s="6">
        <v>0</v>
      </c>
      <c r="T164" s="6">
        <v>21</v>
      </c>
      <c r="U164" s="6">
        <v>59</v>
      </c>
      <c r="V164" s="6">
        <f>IF(ISERROR(VLOOKUP($S$164,'TAR FIN'!$A$1:$O$88,15,0)),0,VLOOKUP($S$164,'TAR FIN'!$A$1:$O$88,15,0))</f>
        <v>0</v>
      </c>
      <c r="W164" s="6">
        <f>IF(ISERROR(VLOOKUP($T$164,'TAR FIN'!$A$1:$O$88,15,0)),0,VLOOKUP($T$164,'TAR FIN'!$A$1:$O$88,15,0))</f>
        <v>0</v>
      </c>
      <c r="X164" s="6">
        <f>IF(ISERROR(VLOOKUP($U$164,'TAR FIN'!$A$1:$O$88,15,0)),0,VLOOKUP($U$164,'TAR FIN'!$A$1:$O$88,15,0))</f>
        <v>0</v>
      </c>
      <c r="Y164" s="6"/>
      <c r="Z164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4" s="6">
        <f ca="1">('TE BE'!$AB$14+'TE BF_350'!$AB$14+'TE CVA'!$AB$14)*(1-CUSTOS!$M$36)</f>
        <v>236.27699999999999</v>
      </c>
      <c r="AB164" s="6">
        <f>$K$164*$V$164</f>
        <v>0</v>
      </c>
      <c r="AC164" s="6">
        <f>$M$164*$W$164</f>
        <v>0</v>
      </c>
      <c r="AD164" s="6">
        <f>$O$164*$X$164</f>
        <v>0</v>
      </c>
      <c r="AE164" s="6">
        <f>$K$164*$Y$164</f>
        <v>0</v>
      </c>
      <c r="AF164" s="6">
        <f ca="1">$M$164*$Z$164</f>
        <v>5300.5787280000004</v>
      </c>
      <c r="AG164" s="6">
        <f ca="1">$O$164*$AA$164</f>
        <v>7410.5918279999996</v>
      </c>
    </row>
    <row r="165" spans="1:33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30</v>
      </c>
      <c r="F165" s="4" t="s">
        <v>25</v>
      </c>
      <c r="G165" s="4" t="s">
        <v>25</v>
      </c>
      <c r="H165" s="4" t="s">
        <v>25</v>
      </c>
      <c r="I165" s="5">
        <v>44621</v>
      </c>
      <c r="J165" s="6">
        <v>0</v>
      </c>
      <c r="K165" s="6">
        <v>0</v>
      </c>
      <c r="L165" s="6">
        <v>26.513999999999999</v>
      </c>
      <c r="M165" s="6">
        <v>26.513999999999999</v>
      </c>
      <c r="N165" s="6">
        <v>26.513999999999999</v>
      </c>
      <c r="O165" s="6">
        <v>26.513999999999999</v>
      </c>
      <c r="P165" s="6">
        <v>192</v>
      </c>
      <c r="Q165" s="4" t="s">
        <v>26</v>
      </c>
      <c r="R165" s="4">
        <v>0</v>
      </c>
      <c r="S165" s="6">
        <v>0</v>
      </c>
      <c r="T165" s="6">
        <v>21</v>
      </c>
      <c r="U165" s="6">
        <v>59</v>
      </c>
      <c r="V165" s="6">
        <f>IF(ISERROR(VLOOKUP($S$165,'TAR FIN'!$A$1:$O$88,15,0)),0,VLOOKUP($S$165,'TAR FIN'!$A$1:$O$88,15,0))</f>
        <v>0</v>
      </c>
      <c r="W165" s="6">
        <f>IF(ISERROR(VLOOKUP($T$165,'TAR FIN'!$A$1:$O$88,15,0)),0,VLOOKUP($T$165,'TAR FIN'!$A$1:$O$88,15,0))</f>
        <v>0</v>
      </c>
      <c r="X165" s="6">
        <f>IF(ISERROR(VLOOKUP($U$165,'TAR FIN'!$A$1:$O$88,15,0)),0,VLOOKUP($U$165,'TAR FIN'!$A$1:$O$88,15,0))</f>
        <v>0</v>
      </c>
      <c r="Y165" s="6"/>
      <c r="Z165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5" s="6">
        <f ca="1">('TE BE'!$AB$14+'TE BF_350'!$AB$14+'TE CVA'!$AB$14)*(1-CUSTOS!$M$36)</f>
        <v>236.27699999999999</v>
      </c>
      <c r="AB165" s="6">
        <f>$K$165*$V$165</f>
        <v>0</v>
      </c>
      <c r="AC165" s="6">
        <f>$M$165*$W$165</f>
        <v>0</v>
      </c>
      <c r="AD165" s="6">
        <f>$O$165*$X$165</f>
        <v>0</v>
      </c>
      <c r="AE165" s="6">
        <f>$K$165*$Y$165</f>
        <v>0</v>
      </c>
      <c r="AF165" s="6">
        <f ca="1">$M$165*$Z$165</f>
        <v>4480.9190280000003</v>
      </c>
      <c r="AG165" s="6">
        <f ca="1">$O$165*$AA$165</f>
        <v>6264.6483779999999</v>
      </c>
    </row>
    <row r="166" spans="1:33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30</v>
      </c>
      <c r="F166" s="4" t="s">
        <v>25</v>
      </c>
      <c r="G166" s="4" t="s">
        <v>25</v>
      </c>
      <c r="H166" s="4" t="s">
        <v>25</v>
      </c>
      <c r="I166" s="5">
        <v>44652</v>
      </c>
      <c r="J166" s="6">
        <v>0</v>
      </c>
      <c r="K166" s="6">
        <v>0</v>
      </c>
      <c r="L166" s="6">
        <v>29.779</v>
      </c>
      <c r="M166" s="6">
        <v>29.779</v>
      </c>
      <c r="N166" s="6">
        <v>29.779</v>
      </c>
      <c r="O166" s="6">
        <v>29.779</v>
      </c>
      <c r="P166" s="6">
        <v>175</v>
      </c>
      <c r="Q166" s="4" t="s">
        <v>26</v>
      </c>
      <c r="R166" s="4">
        <v>0</v>
      </c>
      <c r="S166" s="6">
        <v>0</v>
      </c>
      <c r="T166" s="6">
        <v>21</v>
      </c>
      <c r="U166" s="6">
        <v>59</v>
      </c>
      <c r="V166" s="6">
        <f>IF(ISERROR(VLOOKUP($S$166,'TAR FIN'!$A$1:$O$88,15,0)),0,VLOOKUP($S$166,'TAR FIN'!$A$1:$O$88,15,0))</f>
        <v>0</v>
      </c>
      <c r="W166" s="6">
        <f>IF(ISERROR(VLOOKUP($T$166,'TAR FIN'!$A$1:$O$88,15,0)),0,VLOOKUP($T$166,'TAR FIN'!$A$1:$O$88,15,0))</f>
        <v>0</v>
      </c>
      <c r="X166" s="6">
        <f>IF(ISERROR(VLOOKUP($U$166,'TAR FIN'!$A$1:$O$88,15,0)),0,VLOOKUP($U$166,'TAR FIN'!$A$1:$O$88,15,0))</f>
        <v>0</v>
      </c>
      <c r="Y166" s="6"/>
      <c r="Z166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6" s="6">
        <f ca="1">('TE BE'!$AB$14+'TE BF_350'!$AB$14+'TE CVA'!$AB$14)*(1-CUSTOS!$M$36)</f>
        <v>236.27699999999999</v>
      </c>
      <c r="AB166" s="6">
        <f>$K$166*$V$166</f>
        <v>0</v>
      </c>
      <c r="AC166" s="6">
        <f>$M$166*$W$166</f>
        <v>0</v>
      </c>
      <c r="AD166" s="6">
        <f>$O$166*$X$166</f>
        <v>0</v>
      </c>
      <c r="AE166" s="6">
        <f>$K$166*$Y$166</f>
        <v>0</v>
      </c>
      <c r="AF166" s="6">
        <f ca="1">$M$166*$Z$166</f>
        <v>5032.7105580000007</v>
      </c>
      <c r="AG166" s="6">
        <f ca="1">$O$166*$AA$166</f>
        <v>7036.0927829999991</v>
      </c>
    </row>
    <row r="167" spans="1:33" ht="11.25" customHeight="1" x14ac:dyDescent="0.25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30</v>
      </c>
      <c r="F167" s="4" t="s">
        <v>25</v>
      </c>
      <c r="G167" s="4" t="s">
        <v>25</v>
      </c>
      <c r="H167" s="4" t="s">
        <v>25</v>
      </c>
      <c r="I167" s="5">
        <v>44682</v>
      </c>
      <c r="J167" s="6">
        <v>0</v>
      </c>
      <c r="K167" s="6">
        <v>0</v>
      </c>
      <c r="L167" s="6">
        <v>28.013000000000002</v>
      </c>
      <c r="M167" s="6">
        <v>28.013000000000002</v>
      </c>
      <c r="N167" s="6">
        <v>28.013000000000002</v>
      </c>
      <c r="O167" s="6">
        <v>28.013000000000002</v>
      </c>
      <c r="P167" s="6">
        <v>201</v>
      </c>
      <c r="Q167" s="4" t="s">
        <v>26</v>
      </c>
      <c r="R167" s="4">
        <v>0</v>
      </c>
      <c r="S167" s="6">
        <v>0</v>
      </c>
      <c r="T167" s="6">
        <v>21</v>
      </c>
      <c r="U167" s="6">
        <v>59</v>
      </c>
      <c r="V167" s="6">
        <f>IF(ISERROR(VLOOKUP($S$167,'TAR FIN'!$A$1:$O$88,15,0)),0,VLOOKUP($S$167,'TAR FIN'!$A$1:$O$88,15,0))</f>
        <v>0</v>
      </c>
      <c r="W167" s="6">
        <f>IF(ISERROR(VLOOKUP($T$167,'TAR FIN'!$A$1:$O$88,15,0)),0,VLOOKUP($T$167,'TAR FIN'!$A$1:$O$88,15,0))</f>
        <v>0</v>
      </c>
      <c r="X167" s="6">
        <f>IF(ISERROR(VLOOKUP($U$167,'TAR FIN'!$A$1:$O$88,15,0)),0,VLOOKUP($U$167,'TAR FIN'!$A$1:$O$88,15,0))</f>
        <v>0</v>
      </c>
      <c r="Y167" s="6"/>
      <c r="Z167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7" s="6">
        <f ca="1">('TE BE'!$AB$14+'TE BF_350'!$AB$14+'TE CVA'!$AB$14)*(1-CUSTOS!$M$36)</f>
        <v>236.27699999999999</v>
      </c>
      <c r="AB167" s="6">
        <f>$K$167*$V$167</f>
        <v>0</v>
      </c>
      <c r="AC167" s="6">
        <f>$M$167*$W$167</f>
        <v>0</v>
      </c>
      <c r="AD167" s="6">
        <f>$O$167*$X$167</f>
        <v>0</v>
      </c>
      <c r="AE167" s="6">
        <f>$K$167*$Y$167</f>
        <v>0</v>
      </c>
      <c r="AF167" s="6">
        <f ca="1">$M$167*$Z$167</f>
        <v>4734.2530260000003</v>
      </c>
      <c r="AG167" s="6">
        <f ca="1">$O$167*$AA$167</f>
        <v>6618.827601</v>
      </c>
    </row>
    <row r="168" spans="1:33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30</v>
      </c>
      <c r="F168" s="4" t="s">
        <v>25</v>
      </c>
      <c r="G168" s="4" t="s">
        <v>25</v>
      </c>
      <c r="H168" s="4" t="s">
        <v>25</v>
      </c>
      <c r="I168" s="5">
        <v>44713</v>
      </c>
      <c r="J168" s="6">
        <v>0</v>
      </c>
      <c r="K168" s="6">
        <v>0</v>
      </c>
      <c r="L168" s="6">
        <v>22.375</v>
      </c>
      <c r="M168" s="6">
        <v>22.375</v>
      </c>
      <c r="N168" s="6">
        <v>22.375</v>
      </c>
      <c r="O168" s="6">
        <v>22.375</v>
      </c>
      <c r="P168" s="6">
        <v>181</v>
      </c>
      <c r="Q168" s="4" t="s">
        <v>26</v>
      </c>
      <c r="R168" s="4">
        <v>0</v>
      </c>
      <c r="S168" s="6">
        <v>0</v>
      </c>
      <c r="T168" s="6">
        <v>21</v>
      </c>
      <c r="U168" s="6">
        <v>59</v>
      </c>
      <c r="V168" s="6">
        <f>IF(ISERROR(VLOOKUP($S$168,'TAR FIN'!$A$1:$O$88,15,0)),0,VLOOKUP($S$168,'TAR FIN'!$A$1:$O$88,15,0))</f>
        <v>0</v>
      </c>
      <c r="W168" s="6">
        <f>IF(ISERROR(VLOOKUP($T$168,'TAR FIN'!$A$1:$O$88,15,0)),0,VLOOKUP($T$168,'TAR FIN'!$A$1:$O$88,15,0))</f>
        <v>0</v>
      </c>
      <c r="X168" s="6">
        <f>IF(ISERROR(VLOOKUP($U$168,'TAR FIN'!$A$1:$O$88,15,0)),0,VLOOKUP($U$168,'TAR FIN'!$A$1:$O$88,15,0))</f>
        <v>0</v>
      </c>
      <c r="Y168" s="6"/>
      <c r="Z168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8" s="6">
        <f ca="1">('TE BE'!$AB$14+'TE BF_350'!$AB$14+'TE CVA'!$AB$14)*(1-CUSTOS!$M$36)</f>
        <v>236.27699999999999</v>
      </c>
      <c r="AB168" s="6">
        <f>$K$168*$V$168</f>
        <v>0</v>
      </c>
      <c r="AC168" s="6">
        <f>$M$168*$W$168</f>
        <v>0</v>
      </c>
      <c r="AD168" s="6">
        <f>$O$168*$X$168</f>
        <v>0</v>
      </c>
      <c r="AE168" s="6">
        <f>$K$168*$Y$168</f>
        <v>0</v>
      </c>
      <c r="AF168" s="6">
        <f ca="1">$M$168*$Z$168</f>
        <v>3781.41975</v>
      </c>
      <c r="AG168" s="6">
        <f ca="1">$O$168*$AA$168</f>
        <v>5286.6978749999998</v>
      </c>
    </row>
    <row r="169" spans="1:33" ht="11.25" customHeight="1" x14ac:dyDescent="0.25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30</v>
      </c>
      <c r="F169" s="4" t="s">
        <v>25</v>
      </c>
      <c r="G169" s="4" t="s">
        <v>25</v>
      </c>
      <c r="H169" s="4" t="s">
        <v>25</v>
      </c>
      <c r="I169" s="5">
        <v>44743</v>
      </c>
      <c r="J169" s="6">
        <v>0</v>
      </c>
      <c r="K169" s="6">
        <v>0</v>
      </c>
      <c r="L169" s="6">
        <v>22.675000000000001</v>
      </c>
      <c r="M169" s="6">
        <v>22.675000000000001</v>
      </c>
      <c r="N169" s="6">
        <v>22.675000000000001</v>
      </c>
      <c r="O169" s="6">
        <v>22.675000000000001</v>
      </c>
      <c r="P169" s="6">
        <v>157</v>
      </c>
      <c r="Q169" s="4" t="s">
        <v>26</v>
      </c>
      <c r="R169" s="4">
        <v>0</v>
      </c>
      <c r="S169" s="6">
        <v>0</v>
      </c>
      <c r="T169" s="6">
        <v>21</v>
      </c>
      <c r="U169" s="6">
        <v>59</v>
      </c>
      <c r="V169" s="6">
        <f>IF(ISERROR(VLOOKUP($S$169,'TAR FIN'!$A$1:$O$88,15,0)),0,VLOOKUP($S$169,'TAR FIN'!$A$1:$O$88,15,0))</f>
        <v>0</v>
      </c>
      <c r="W169" s="6">
        <f>IF(ISERROR(VLOOKUP($T$169,'TAR FIN'!$A$1:$O$88,15,0)),0,VLOOKUP($T$169,'TAR FIN'!$A$1:$O$88,15,0))</f>
        <v>0</v>
      </c>
      <c r="X169" s="6">
        <f>IF(ISERROR(VLOOKUP($U$169,'TAR FIN'!$A$1:$O$88,15,0)),0,VLOOKUP($U$169,'TAR FIN'!$A$1:$O$88,15,0))</f>
        <v>0</v>
      </c>
      <c r="Y169" s="6"/>
      <c r="Z169" s="6">
        <f ca="1">('TUSD BE'!$AM$23+'TUSD BF_350'!$AM$23+'TUSD CVA'!$AM$23-('TUSD BE'!$P$23+'TUSD BF_350'!$P$23+'TUSD CVA'!$P$23)-('TUSD BE'!$Q$23+'TUSD BF_350'!$Q$23+'TUSD CVA'!$Q$23)-('TUSD BE'!$R$23+'TUSD BF_350'!$R$23+'TUSD CVA'!$R$23))*(1-CUSTOS!$M$36)</f>
        <v>169.00200000000001</v>
      </c>
      <c r="AA169" s="6">
        <f ca="1">('TE BE'!$AB$14+'TE BF_350'!$AB$14+'TE CVA'!$AB$14)*(1-CUSTOS!$M$36)</f>
        <v>236.27699999999999</v>
      </c>
      <c r="AB169" s="6">
        <f>$K$169*$V$169</f>
        <v>0</v>
      </c>
      <c r="AC169" s="6">
        <f>$M$169*$W$169</f>
        <v>0</v>
      </c>
      <c r="AD169" s="6">
        <f>$O$169*$X$169</f>
        <v>0</v>
      </c>
      <c r="AE169" s="6">
        <f>$K$169*$Y$169</f>
        <v>0</v>
      </c>
      <c r="AF169" s="6">
        <f ca="1">$M$169*$Z$169</f>
        <v>3832.1203500000001</v>
      </c>
      <c r="AG169" s="6">
        <f ca="1">$O$169*$AA$169</f>
        <v>5357.5809749999999</v>
      </c>
    </row>
    <row r="170" spans="1:33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31</v>
      </c>
      <c r="F170" s="4" t="s">
        <v>25</v>
      </c>
      <c r="G170" s="4" t="s">
        <v>25</v>
      </c>
      <c r="H170" s="4" t="s">
        <v>25</v>
      </c>
      <c r="I170" s="5">
        <v>44409</v>
      </c>
      <c r="J170" s="6">
        <v>0</v>
      </c>
      <c r="K170" s="6">
        <v>0</v>
      </c>
      <c r="L170" s="6">
        <v>7.9669999999999996</v>
      </c>
      <c r="M170" s="6">
        <v>7.9669999999999996</v>
      </c>
      <c r="N170" s="6">
        <v>7.9669999999999996</v>
      </c>
      <c r="O170" s="6">
        <v>7.9669999999999996</v>
      </c>
      <c r="P170" s="6">
        <v>109</v>
      </c>
      <c r="Q170" s="4" t="s">
        <v>26</v>
      </c>
      <c r="R170" s="4">
        <v>0</v>
      </c>
      <c r="S170" s="6">
        <v>0</v>
      </c>
      <c r="T170" s="6">
        <v>22</v>
      </c>
      <c r="U170" s="6">
        <v>60</v>
      </c>
      <c r="V170" s="6">
        <f>IF(ISERROR(VLOOKUP($S$170,'TAR FIN'!$A$1:$O$88,15,0)),0,VLOOKUP($S$170,'TAR FIN'!$A$1:$O$88,15,0))</f>
        <v>0</v>
      </c>
      <c r="W170" s="6">
        <f>IF(ISERROR(VLOOKUP($T$170,'TAR FIN'!$A$1:$O$88,15,0)),0,VLOOKUP($T$170,'TAR FIN'!$A$1:$O$88,15,0))</f>
        <v>0</v>
      </c>
      <c r="X170" s="6">
        <f>IF(ISERROR(VLOOKUP($U$170,'TAR FIN'!$A$1:$O$88,15,0)),0,VLOOKUP($U$170,'TAR FIN'!$A$1:$O$88,15,0))</f>
        <v>0</v>
      </c>
      <c r="Y170" s="6"/>
      <c r="Z170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0" s="6">
        <f ca="1">('TE BE'!$AB$15+'TE BF_350'!$AB$15+'TE CVA'!$AB$15)*(1-CUSTOS!$M$37)</f>
        <v>262.52999999999997</v>
      </c>
      <c r="AB170" s="6">
        <f>$K$170*$V$170</f>
        <v>0</v>
      </c>
      <c r="AC170" s="6">
        <f>$M$170*$W$170</f>
        <v>0</v>
      </c>
      <c r="AD170" s="6">
        <f>$O$170*$X$170</f>
        <v>0</v>
      </c>
      <c r="AE170" s="6">
        <f>$K$170*$Y$170</f>
        <v>0</v>
      </c>
      <c r="AF170" s="6">
        <f ca="1">$M$170*$Z$170</f>
        <v>1496.0432599999999</v>
      </c>
      <c r="AG170" s="6">
        <f ca="1">$O$170*$AA$170</f>
        <v>2091.5765099999999</v>
      </c>
    </row>
    <row r="171" spans="1:33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31</v>
      </c>
      <c r="F171" s="4" t="s">
        <v>25</v>
      </c>
      <c r="G171" s="4" t="s">
        <v>25</v>
      </c>
      <c r="H171" s="4" t="s">
        <v>25</v>
      </c>
      <c r="I171" s="5">
        <v>44440</v>
      </c>
      <c r="J171" s="6">
        <v>0</v>
      </c>
      <c r="K171" s="6">
        <v>0</v>
      </c>
      <c r="L171" s="6">
        <v>5.3879999999999999</v>
      </c>
      <c r="M171" s="6">
        <v>5.3879999999999999</v>
      </c>
      <c r="N171" s="6">
        <v>5.3879999999999999</v>
      </c>
      <c r="O171" s="6">
        <v>5.3879999999999999</v>
      </c>
      <c r="P171" s="6">
        <v>81</v>
      </c>
      <c r="Q171" s="4" t="s">
        <v>26</v>
      </c>
      <c r="R171" s="4">
        <v>0</v>
      </c>
      <c r="S171" s="6">
        <v>0</v>
      </c>
      <c r="T171" s="6">
        <v>22</v>
      </c>
      <c r="U171" s="6">
        <v>60</v>
      </c>
      <c r="V171" s="6">
        <f>IF(ISERROR(VLOOKUP($S$171,'TAR FIN'!$A$1:$O$88,15,0)),0,VLOOKUP($S$171,'TAR FIN'!$A$1:$O$88,15,0))</f>
        <v>0</v>
      </c>
      <c r="W171" s="6">
        <f>IF(ISERROR(VLOOKUP($T$171,'TAR FIN'!$A$1:$O$88,15,0)),0,VLOOKUP($T$171,'TAR FIN'!$A$1:$O$88,15,0))</f>
        <v>0</v>
      </c>
      <c r="X171" s="6">
        <f>IF(ISERROR(VLOOKUP($U$171,'TAR FIN'!$A$1:$O$88,15,0)),0,VLOOKUP($U$171,'TAR FIN'!$A$1:$O$88,15,0))</f>
        <v>0</v>
      </c>
      <c r="Y171" s="6"/>
      <c r="Z171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1" s="6">
        <f ca="1">('TE BE'!$AB$15+'TE BF_350'!$AB$15+'TE CVA'!$AB$15)*(1-CUSTOS!$M$37)</f>
        <v>262.52999999999997</v>
      </c>
      <c r="AB171" s="6">
        <f>$K$171*$V$171</f>
        <v>0</v>
      </c>
      <c r="AC171" s="6">
        <f>$M$171*$W$171</f>
        <v>0</v>
      </c>
      <c r="AD171" s="6">
        <f>$O$171*$X$171</f>
        <v>0</v>
      </c>
      <c r="AE171" s="6">
        <f>$K$171*$Y$171</f>
        <v>0</v>
      </c>
      <c r="AF171" s="6">
        <f ca="1">$M$171*$Z$171</f>
        <v>1011.75864</v>
      </c>
      <c r="AG171" s="6">
        <f ca="1">$O$171*$AA$171</f>
        <v>1414.5116399999997</v>
      </c>
    </row>
    <row r="172" spans="1:33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31</v>
      </c>
      <c r="F172" s="4" t="s">
        <v>25</v>
      </c>
      <c r="G172" s="4" t="s">
        <v>25</v>
      </c>
      <c r="H172" s="4" t="s">
        <v>25</v>
      </c>
      <c r="I172" s="5">
        <v>44470</v>
      </c>
      <c r="J172" s="6">
        <v>0</v>
      </c>
      <c r="K172" s="6">
        <v>0</v>
      </c>
      <c r="L172" s="6">
        <v>9.2989999999999995</v>
      </c>
      <c r="M172" s="6">
        <v>9.2989999999999995</v>
      </c>
      <c r="N172" s="6">
        <v>9.2989999999999995</v>
      </c>
      <c r="O172" s="6">
        <v>9.2989999999999995</v>
      </c>
      <c r="P172" s="6">
        <v>126</v>
      </c>
      <c r="Q172" s="4" t="s">
        <v>26</v>
      </c>
      <c r="R172" s="4">
        <v>0</v>
      </c>
      <c r="S172" s="6">
        <v>0</v>
      </c>
      <c r="T172" s="6">
        <v>22</v>
      </c>
      <c r="U172" s="6">
        <v>60</v>
      </c>
      <c r="V172" s="6">
        <f>IF(ISERROR(VLOOKUP($S$172,'TAR FIN'!$A$1:$O$88,15,0)),0,VLOOKUP($S$172,'TAR FIN'!$A$1:$O$88,15,0))</f>
        <v>0</v>
      </c>
      <c r="W172" s="6">
        <f>IF(ISERROR(VLOOKUP($T$172,'TAR FIN'!$A$1:$O$88,15,0)),0,VLOOKUP($T$172,'TAR FIN'!$A$1:$O$88,15,0))</f>
        <v>0</v>
      </c>
      <c r="X172" s="6">
        <f>IF(ISERROR(VLOOKUP($U$172,'TAR FIN'!$A$1:$O$88,15,0)),0,VLOOKUP($U$172,'TAR FIN'!$A$1:$O$88,15,0))</f>
        <v>0</v>
      </c>
      <c r="Y172" s="6"/>
      <c r="Z172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2" s="6">
        <f ca="1">('TE BE'!$AB$15+'TE BF_350'!$AB$15+'TE CVA'!$AB$15)*(1-CUSTOS!$M$37)</f>
        <v>262.52999999999997</v>
      </c>
      <c r="AB172" s="6">
        <f>$K$172*$V$172</f>
        <v>0</v>
      </c>
      <c r="AC172" s="6">
        <f>$M$172*$W$172</f>
        <v>0</v>
      </c>
      <c r="AD172" s="6">
        <f>$O$172*$X$172</f>
        <v>0</v>
      </c>
      <c r="AE172" s="6">
        <f>$K$172*$Y$172</f>
        <v>0</v>
      </c>
      <c r="AF172" s="6">
        <f ca="1">$M$172*$Z$172</f>
        <v>1746.1662199999998</v>
      </c>
      <c r="AG172" s="6">
        <f ca="1">$O$172*$AA$172</f>
        <v>2441.2664699999996</v>
      </c>
    </row>
    <row r="173" spans="1:33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31</v>
      </c>
      <c r="F173" s="4" t="s">
        <v>25</v>
      </c>
      <c r="G173" s="4" t="s">
        <v>25</v>
      </c>
      <c r="H173" s="4" t="s">
        <v>25</v>
      </c>
      <c r="I173" s="5">
        <v>44501</v>
      </c>
      <c r="J173" s="6">
        <v>0</v>
      </c>
      <c r="K173" s="6">
        <v>0</v>
      </c>
      <c r="L173" s="6">
        <v>5.3890000000000002</v>
      </c>
      <c r="M173" s="6">
        <v>5.3890000000000002</v>
      </c>
      <c r="N173" s="6">
        <v>5.3890000000000002</v>
      </c>
      <c r="O173" s="6">
        <v>5.3890000000000002</v>
      </c>
      <c r="P173" s="6">
        <v>84</v>
      </c>
      <c r="Q173" s="4" t="s">
        <v>26</v>
      </c>
      <c r="R173" s="4">
        <v>0</v>
      </c>
      <c r="S173" s="6">
        <v>0</v>
      </c>
      <c r="T173" s="6">
        <v>22</v>
      </c>
      <c r="U173" s="6">
        <v>60</v>
      </c>
      <c r="V173" s="6">
        <f>IF(ISERROR(VLOOKUP($S$173,'TAR FIN'!$A$1:$O$88,15,0)),0,VLOOKUP($S$173,'TAR FIN'!$A$1:$O$88,15,0))</f>
        <v>0</v>
      </c>
      <c r="W173" s="6">
        <f>IF(ISERROR(VLOOKUP($T$173,'TAR FIN'!$A$1:$O$88,15,0)),0,VLOOKUP($T$173,'TAR FIN'!$A$1:$O$88,15,0))</f>
        <v>0</v>
      </c>
      <c r="X173" s="6">
        <f>IF(ISERROR(VLOOKUP($U$173,'TAR FIN'!$A$1:$O$88,15,0)),0,VLOOKUP($U$173,'TAR FIN'!$A$1:$O$88,15,0))</f>
        <v>0</v>
      </c>
      <c r="Y173" s="6"/>
      <c r="Z173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3" s="6">
        <f ca="1">('TE BE'!$AB$15+'TE BF_350'!$AB$15+'TE CVA'!$AB$15)*(1-CUSTOS!$M$37)</f>
        <v>262.52999999999997</v>
      </c>
      <c r="AB173" s="6">
        <f>$K$173*$V$173</f>
        <v>0</v>
      </c>
      <c r="AC173" s="6">
        <f>$M$173*$W$173</f>
        <v>0</v>
      </c>
      <c r="AD173" s="6">
        <f>$O$173*$X$173</f>
        <v>0</v>
      </c>
      <c r="AE173" s="6">
        <f>$K$173*$Y$173</f>
        <v>0</v>
      </c>
      <c r="AF173" s="6">
        <f ca="1">$M$173*$Z$173</f>
        <v>1011.9464200000001</v>
      </c>
      <c r="AG173" s="6">
        <f ca="1">$O$173*$AA$173</f>
        <v>1414.7741699999999</v>
      </c>
    </row>
    <row r="174" spans="1:33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31</v>
      </c>
      <c r="F174" s="4" t="s">
        <v>25</v>
      </c>
      <c r="G174" s="4" t="s">
        <v>25</v>
      </c>
      <c r="H174" s="4" t="s">
        <v>25</v>
      </c>
      <c r="I174" s="5">
        <v>44531</v>
      </c>
      <c r="J174" s="6">
        <v>0</v>
      </c>
      <c r="K174" s="6">
        <v>0</v>
      </c>
      <c r="L174" s="6">
        <v>8.0939999999999994</v>
      </c>
      <c r="M174" s="6">
        <v>8.0939999999999994</v>
      </c>
      <c r="N174" s="6">
        <v>8.0939999999999994</v>
      </c>
      <c r="O174" s="6">
        <v>8.0939999999999994</v>
      </c>
      <c r="P174" s="6">
        <v>112</v>
      </c>
      <c r="Q174" s="4" t="s">
        <v>26</v>
      </c>
      <c r="R174" s="4">
        <v>0</v>
      </c>
      <c r="S174" s="6">
        <v>0</v>
      </c>
      <c r="T174" s="6">
        <v>22</v>
      </c>
      <c r="U174" s="6">
        <v>60</v>
      </c>
      <c r="V174" s="6">
        <f>IF(ISERROR(VLOOKUP($S$174,'TAR FIN'!$A$1:$O$88,15,0)),0,VLOOKUP($S$174,'TAR FIN'!$A$1:$O$88,15,0))</f>
        <v>0</v>
      </c>
      <c r="W174" s="6">
        <f>IF(ISERROR(VLOOKUP($T$174,'TAR FIN'!$A$1:$O$88,15,0)),0,VLOOKUP($T$174,'TAR FIN'!$A$1:$O$88,15,0))</f>
        <v>0</v>
      </c>
      <c r="X174" s="6">
        <f>IF(ISERROR(VLOOKUP($U$174,'TAR FIN'!$A$1:$O$88,15,0)),0,VLOOKUP($U$174,'TAR FIN'!$A$1:$O$88,15,0))</f>
        <v>0</v>
      </c>
      <c r="Y174" s="6"/>
      <c r="Z174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4" s="6">
        <f ca="1">('TE BE'!$AB$15+'TE BF_350'!$AB$15+'TE CVA'!$AB$15)*(1-CUSTOS!$M$37)</f>
        <v>262.52999999999997</v>
      </c>
      <c r="AB174" s="6">
        <f>$K$174*$V$174</f>
        <v>0</v>
      </c>
      <c r="AC174" s="6">
        <f>$M$174*$W$174</f>
        <v>0</v>
      </c>
      <c r="AD174" s="6">
        <f>$O$174*$X$174</f>
        <v>0</v>
      </c>
      <c r="AE174" s="6">
        <f>$K$174*$Y$174</f>
        <v>0</v>
      </c>
      <c r="AF174" s="6">
        <f ca="1">$M$174*$Z$174</f>
        <v>1519.89132</v>
      </c>
      <c r="AG174" s="6">
        <f ca="1">$O$174*$AA$174</f>
        <v>2124.9178199999997</v>
      </c>
    </row>
    <row r="175" spans="1:33" ht="11.25" customHeight="1" x14ac:dyDescent="0.25">
      <c r="A175" s="4" t="s">
        <v>21</v>
      </c>
      <c r="B175" s="4" t="s">
        <v>22</v>
      </c>
      <c r="C175" s="4" t="s">
        <v>23</v>
      </c>
      <c r="D175" s="4" t="s">
        <v>24</v>
      </c>
      <c r="E175" s="4" t="s">
        <v>31</v>
      </c>
      <c r="F175" s="4" t="s">
        <v>25</v>
      </c>
      <c r="G175" s="4" t="s">
        <v>25</v>
      </c>
      <c r="H175" s="4" t="s">
        <v>25</v>
      </c>
      <c r="I175" s="5">
        <v>44562</v>
      </c>
      <c r="J175" s="6">
        <v>0</v>
      </c>
      <c r="K175" s="6">
        <v>0</v>
      </c>
      <c r="L175" s="6">
        <v>6.9139999999999997</v>
      </c>
      <c r="M175" s="6">
        <v>6.9139999999999997</v>
      </c>
      <c r="N175" s="6">
        <v>6.9139999999999997</v>
      </c>
      <c r="O175" s="6">
        <v>6.9139999999999997</v>
      </c>
      <c r="P175" s="6">
        <v>98</v>
      </c>
      <c r="Q175" s="4" t="s">
        <v>26</v>
      </c>
      <c r="R175" s="4">
        <v>0</v>
      </c>
      <c r="S175" s="6">
        <v>0</v>
      </c>
      <c r="T175" s="6">
        <v>22</v>
      </c>
      <c r="U175" s="6">
        <v>60</v>
      </c>
      <c r="V175" s="6">
        <f>IF(ISERROR(VLOOKUP($S$175,'TAR FIN'!$A$1:$O$88,15,0)),0,VLOOKUP($S$175,'TAR FIN'!$A$1:$O$88,15,0))</f>
        <v>0</v>
      </c>
      <c r="W175" s="6">
        <f>IF(ISERROR(VLOOKUP($T$175,'TAR FIN'!$A$1:$O$88,15,0)),0,VLOOKUP($T$175,'TAR FIN'!$A$1:$O$88,15,0))</f>
        <v>0</v>
      </c>
      <c r="X175" s="6">
        <f>IF(ISERROR(VLOOKUP($U$175,'TAR FIN'!$A$1:$O$88,15,0)),0,VLOOKUP($U$175,'TAR FIN'!$A$1:$O$88,15,0))</f>
        <v>0</v>
      </c>
      <c r="Y175" s="6"/>
      <c r="Z175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5" s="6">
        <f ca="1">('TE BE'!$AB$15+'TE BF_350'!$AB$15+'TE CVA'!$AB$15)*(1-CUSTOS!$M$37)</f>
        <v>262.52999999999997</v>
      </c>
      <c r="AB175" s="6">
        <f>$K$175*$V$175</f>
        <v>0</v>
      </c>
      <c r="AC175" s="6">
        <f>$M$175*$W$175</f>
        <v>0</v>
      </c>
      <c r="AD175" s="6">
        <f>$O$175*$X$175</f>
        <v>0</v>
      </c>
      <c r="AE175" s="6">
        <f>$K$175*$Y$175</f>
        <v>0</v>
      </c>
      <c r="AF175" s="6">
        <f ca="1">$M$175*$Z$175</f>
        <v>1298.3109199999999</v>
      </c>
      <c r="AG175" s="6">
        <f ca="1">$O$175*$AA$175</f>
        <v>1815.1324199999997</v>
      </c>
    </row>
    <row r="176" spans="1:33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31</v>
      </c>
      <c r="F176" s="4" t="s">
        <v>25</v>
      </c>
      <c r="G176" s="4" t="s">
        <v>25</v>
      </c>
      <c r="H176" s="4" t="s">
        <v>25</v>
      </c>
      <c r="I176" s="5">
        <v>44593</v>
      </c>
      <c r="J176" s="6">
        <v>0</v>
      </c>
      <c r="K176" s="6">
        <v>0</v>
      </c>
      <c r="L176" s="6">
        <v>18.236999999999998</v>
      </c>
      <c r="M176" s="6">
        <v>18.236999999999998</v>
      </c>
      <c r="N176" s="6">
        <v>18.236999999999998</v>
      </c>
      <c r="O176" s="6">
        <v>18.236999999999998</v>
      </c>
      <c r="P176" s="6">
        <v>180</v>
      </c>
      <c r="Q176" s="4" t="s">
        <v>26</v>
      </c>
      <c r="R176" s="4">
        <v>0</v>
      </c>
      <c r="S176" s="6">
        <v>0</v>
      </c>
      <c r="T176" s="6">
        <v>22</v>
      </c>
      <c r="U176" s="6">
        <v>60</v>
      </c>
      <c r="V176" s="6">
        <f>IF(ISERROR(VLOOKUP($S$176,'TAR FIN'!$A$1:$O$88,15,0)),0,VLOOKUP($S$176,'TAR FIN'!$A$1:$O$88,15,0))</f>
        <v>0</v>
      </c>
      <c r="W176" s="6">
        <f>IF(ISERROR(VLOOKUP($T$176,'TAR FIN'!$A$1:$O$88,15,0)),0,VLOOKUP($T$176,'TAR FIN'!$A$1:$O$88,15,0))</f>
        <v>0</v>
      </c>
      <c r="X176" s="6">
        <f>IF(ISERROR(VLOOKUP($U$176,'TAR FIN'!$A$1:$O$88,15,0)),0,VLOOKUP($U$176,'TAR FIN'!$A$1:$O$88,15,0))</f>
        <v>0</v>
      </c>
      <c r="Y176" s="6"/>
      <c r="Z176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6" s="6">
        <f ca="1">('TE BE'!$AB$15+'TE BF_350'!$AB$15+'TE CVA'!$AB$15)*(1-CUSTOS!$M$37)</f>
        <v>262.52999999999997</v>
      </c>
      <c r="AB176" s="6">
        <f>$K$176*$V$176</f>
        <v>0</v>
      </c>
      <c r="AC176" s="6">
        <f>$M$176*$W$176</f>
        <v>0</v>
      </c>
      <c r="AD176" s="6">
        <f>$O$176*$X$176</f>
        <v>0</v>
      </c>
      <c r="AE176" s="6">
        <f>$K$176*$Y$176</f>
        <v>0</v>
      </c>
      <c r="AF176" s="6">
        <f ca="1">$M$176*$Z$176</f>
        <v>3424.5438599999998</v>
      </c>
      <c r="AG176" s="6">
        <f ca="1">$O$176*$AA$176</f>
        <v>4787.7596099999992</v>
      </c>
    </row>
    <row r="177" spans="1:33" ht="11.25" customHeight="1" x14ac:dyDescent="0.25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31</v>
      </c>
      <c r="F177" s="4" t="s">
        <v>25</v>
      </c>
      <c r="G177" s="4" t="s">
        <v>25</v>
      </c>
      <c r="H177" s="4" t="s">
        <v>25</v>
      </c>
      <c r="I177" s="5">
        <v>44621</v>
      </c>
      <c r="J177" s="6">
        <v>0</v>
      </c>
      <c r="K177" s="6">
        <v>0</v>
      </c>
      <c r="L177" s="6">
        <v>9.5129999999999999</v>
      </c>
      <c r="M177" s="6">
        <v>9.5129999999999999</v>
      </c>
      <c r="N177" s="6">
        <v>9.5129999999999999</v>
      </c>
      <c r="O177" s="6">
        <v>9.5129999999999999</v>
      </c>
      <c r="P177" s="6">
        <v>121</v>
      </c>
      <c r="Q177" s="4" t="s">
        <v>26</v>
      </c>
      <c r="R177" s="4">
        <v>0</v>
      </c>
      <c r="S177" s="6">
        <v>0</v>
      </c>
      <c r="T177" s="6">
        <v>22</v>
      </c>
      <c r="U177" s="6">
        <v>60</v>
      </c>
      <c r="V177" s="6">
        <f>IF(ISERROR(VLOOKUP($S$177,'TAR FIN'!$A$1:$O$88,15,0)),0,VLOOKUP($S$177,'TAR FIN'!$A$1:$O$88,15,0))</f>
        <v>0</v>
      </c>
      <c r="W177" s="6">
        <f>IF(ISERROR(VLOOKUP($T$177,'TAR FIN'!$A$1:$O$88,15,0)),0,VLOOKUP($T$177,'TAR FIN'!$A$1:$O$88,15,0))</f>
        <v>0</v>
      </c>
      <c r="X177" s="6">
        <f>IF(ISERROR(VLOOKUP($U$177,'TAR FIN'!$A$1:$O$88,15,0)),0,VLOOKUP($U$177,'TAR FIN'!$A$1:$O$88,15,0))</f>
        <v>0</v>
      </c>
      <c r="Y177" s="6"/>
      <c r="Z177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7" s="6">
        <f ca="1">('TE BE'!$AB$15+'TE BF_350'!$AB$15+'TE CVA'!$AB$15)*(1-CUSTOS!$M$37)</f>
        <v>262.52999999999997</v>
      </c>
      <c r="AB177" s="6">
        <f>$K$177*$V$177</f>
        <v>0</v>
      </c>
      <c r="AC177" s="6">
        <f>$M$177*$W$177</f>
        <v>0</v>
      </c>
      <c r="AD177" s="6">
        <f>$O$177*$X$177</f>
        <v>0</v>
      </c>
      <c r="AE177" s="6">
        <f>$K$177*$Y$177</f>
        <v>0</v>
      </c>
      <c r="AF177" s="6">
        <f ca="1">$M$177*$Z$177</f>
        <v>1786.35114</v>
      </c>
      <c r="AG177" s="6">
        <f ca="1">$O$177*$AA$177</f>
        <v>2497.4478899999999</v>
      </c>
    </row>
    <row r="178" spans="1:33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31</v>
      </c>
      <c r="F178" s="4" t="s">
        <v>25</v>
      </c>
      <c r="G178" s="4" t="s">
        <v>25</v>
      </c>
      <c r="H178" s="4" t="s">
        <v>25</v>
      </c>
      <c r="I178" s="5">
        <v>44652</v>
      </c>
      <c r="J178" s="6">
        <v>0</v>
      </c>
      <c r="K178" s="6">
        <v>0</v>
      </c>
      <c r="L178" s="6">
        <v>13.606999999999999</v>
      </c>
      <c r="M178" s="6">
        <v>13.606999999999999</v>
      </c>
      <c r="N178" s="6">
        <v>13.606999999999999</v>
      </c>
      <c r="O178" s="6">
        <v>13.606999999999999</v>
      </c>
      <c r="P178" s="6">
        <v>152</v>
      </c>
      <c r="Q178" s="4" t="s">
        <v>26</v>
      </c>
      <c r="R178" s="4">
        <v>0</v>
      </c>
      <c r="S178" s="6">
        <v>0</v>
      </c>
      <c r="T178" s="6">
        <v>22</v>
      </c>
      <c r="U178" s="6">
        <v>60</v>
      </c>
      <c r="V178" s="6">
        <f>IF(ISERROR(VLOOKUP($S$178,'TAR FIN'!$A$1:$O$88,15,0)),0,VLOOKUP($S$178,'TAR FIN'!$A$1:$O$88,15,0))</f>
        <v>0</v>
      </c>
      <c r="W178" s="6">
        <f>IF(ISERROR(VLOOKUP($T$178,'TAR FIN'!$A$1:$O$88,15,0)),0,VLOOKUP($T$178,'TAR FIN'!$A$1:$O$88,15,0))</f>
        <v>0</v>
      </c>
      <c r="X178" s="6">
        <f>IF(ISERROR(VLOOKUP($U$178,'TAR FIN'!$A$1:$O$88,15,0)),0,VLOOKUP($U$178,'TAR FIN'!$A$1:$O$88,15,0))</f>
        <v>0</v>
      </c>
      <c r="Y178" s="6"/>
      <c r="Z178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8" s="6">
        <f ca="1">('TE BE'!$AB$15+'TE BF_350'!$AB$15+'TE CVA'!$AB$15)*(1-CUSTOS!$M$37)</f>
        <v>262.52999999999997</v>
      </c>
      <c r="AB178" s="6">
        <f>$K$178*$V$178</f>
        <v>0</v>
      </c>
      <c r="AC178" s="6">
        <f>$M$178*$W$178</f>
        <v>0</v>
      </c>
      <c r="AD178" s="6">
        <f>$O$178*$X$178</f>
        <v>0</v>
      </c>
      <c r="AE178" s="6">
        <f>$K$178*$Y$178</f>
        <v>0</v>
      </c>
      <c r="AF178" s="6">
        <f ca="1">$M$178*$Z$178</f>
        <v>2555.12246</v>
      </c>
      <c r="AG178" s="6">
        <f ca="1">$O$178*$AA$178</f>
        <v>3572.2457099999992</v>
      </c>
    </row>
    <row r="179" spans="1:33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31</v>
      </c>
      <c r="F179" s="4" t="s">
        <v>25</v>
      </c>
      <c r="G179" s="4" t="s">
        <v>25</v>
      </c>
      <c r="H179" s="4" t="s">
        <v>25</v>
      </c>
      <c r="I179" s="5">
        <v>44682</v>
      </c>
      <c r="J179" s="6">
        <v>0</v>
      </c>
      <c r="K179" s="6">
        <v>0</v>
      </c>
      <c r="L179" s="6">
        <v>8.8539999999999992</v>
      </c>
      <c r="M179" s="6">
        <v>8.8539999999999992</v>
      </c>
      <c r="N179" s="6">
        <v>8.8539999999999992</v>
      </c>
      <c r="O179" s="6">
        <v>8.8539999999999992</v>
      </c>
      <c r="P179" s="6">
        <v>122</v>
      </c>
      <c r="Q179" s="4" t="s">
        <v>26</v>
      </c>
      <c r="R179" s="4">
        <v>0</v>
      </c>
      <c r="S179" s="6">
        <v>0</v>
      </c>
      <c r="T179" s="6">
        <v>22</v>
      </c>
      <c r="U179" s="6">
        <v>60</v>
      </c>
      <c r="V179" s="6">
        <f>IF(ISERROR(VLOOKUP($S$179,'TAR FIN'!$A$1:$O$88,15,0)),0,VLOOKUP($S$179,'TAR FIN'!$A$1:$O$88,15,0))</f>
        <v>0</v>
      </c>
      <c r="W179" s="6">
        <f>IF(ISERROR(VLOOKUP($T$179,'TAR FIN'!$A$1:$O$88,15,0)),0,VLOOKUP($T$179,'TAR FIN'!$A$1:$O$88,15,0))</f>
        <v>0</v>
      </c>
      <c r="X179" s="6">
        <f>IF(ISERROR(VLOOKUP($U$179,'TAR FIN'!$A$1:$O$88,15,0)),0,VLOOKUP($U$179,'TAR FIN'!$A$1:$O$88,15,0))</f>
        <v>0</v>
      </c>
      <c r="Y179" s="6"/>
      <c r="Z179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79" s="6">
        <f ca="1">('TE BE'!$AB$15+'TE BF_350'!$AB$15+'TE CVA'!$AB$15)*(1-CUSTOS!$M$37)</f>
        <v>262.52999999999997</v>
      </c>
      <c r="AB179" s="6">
        <f>$K$179*$V$179</f>
        <v>0</v>
      </c>
      <c r="AC179" s="6">
        <f>$M$179*$W$179</f>
        <v>0</v>
      </c>
      <c r="AD179" s="6">
        <f>$O$179*$X$179</f>
        <v>0</v>
      </c>
      <c r="AE179" s="6">
        <f>$K$179*$Y$179</f>
        <v>0</v>
      </c>
      <c r="AF179" s="6">
        <f ca="1">$M$179*$Z$179</f>
        <v>1662.60412</v>
      </c>
      <c r="AG179" s="6">
        <f ca="1">$O$179*$AA$179</f>
        <v>2324.4406199999994</v>
      </c>
    </row>
    <row r="180" spans="1:33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31</v>
      </c>
      <c r="F180" s="4" t="s">
        <v>25</v>
      </c>
      <c r="G180" s="4" t="s">
        <v>25</v>
      </c>
      <c r="H180" s="4" t="s">
        <v>25</v>
      </c>
      <c r="I180" s="5">
        <v>44713</v>
      </c>
      <c r="J180" s="6">
        <v>0</v>
      </c>
      <c r="K180" s="6">
        <v>0</v>
      </c>
      <c r="L180" s="6">
        <v>5.9820000000000002</v>
      </c>
      <c r="M180" s="6">
        <v>5.9820000000000002</v>
      </c>
      <c r="N180" s="6">
        <v>5.9820000000000002</v>
      </c>
      <c r="O180" s="6">
        <v>5.9820000000000002</v>
      </c>
      <c r="P180" s="6">
        <v>93</v>
      </c>
      <c r="Q180" s="4" t="s">
        <v>26</v>
      </c>
      <c r="R180" s="4">
        <v>0</v>
      </c>
      <c r="S180" s="6">
        <v>0</v>
      </c>
      <c r="T180" s="6">
        <v>22</v>
      </c>
      <c r="U180" s="6">
        <v>60</v>
      </c>
      <c r="V180" s="6">
        <f>IF(ISERROR(VLOOKUP($S$180,'TAR FIN'!$A$1:$O$88,15,0)),0,VLOOKUP($S$180,'TAR FIN'!$A$1:$O$88,15,0))</f>
        <v>0</v>
      </c>
      <c r="W180" s="6">
        <f>IF(ISERROR(VLOOKUP($T$180,'TAR FIN'!$A$1:$O$88,15,0)),0,VLOOKUP($T$180,'TAR FIN'!$A$1:$O$88,15,0))</f>
        <v>0</v>
      </c>
      <c r="X180" s="6">
        <f>IF(ISERROR(VLOOKUP($U$180,'TAR FIN'!$A$1:$O$88,15,0)),0,VLOOKUP($U$180,'TAR FIN'!$A$1:$O$88,15,0))</f>
        <v>0</v>
      </c>
      <c r="Y180" s="6"/>
      <c r="Z180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80" s="6">
        <f ca="1">('TE BE'!$AB$15+'TE BF_350'!$AB$15+'TE CVA'!$AB$15)*(1-CUSTOS!$M$37)</f>
        <v>262.52999999999997</v>
      </c>
      <c r="AB180" s="6">
        <f>$K$180*$V$180</f>
        <v>0</v>
      </c>
      <c r="AC180" s="6">
        <f>$M$180*$W$180</f>
        <v>0</v>
      </c>
      <c r="AD180" s="6">
        <f>$O$180*$X$180</f>
        <v>0</v>
      </c>
      <c r="AE180" s="6">
        <f>$K$180*$Y$180</f>
        <v>0</v>
      </c>
      <c r="AF180" s="6">
        <f ca="1">$M$180*$Z$180</f>
        <v>1123.2999600000001</v>
      </c>
      <c r="AG180" s="6">
        <f ca="1">$O$180*$AA$180</f>
        <v>1570.4544599999999</v>
      </c>
    </row>
    <row r="181" spans="1:33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31</v>
      </c>
      <c r="F181" s="4" t="s">
        <v>25</v>
      </c>
      <c r="G181" s="4" t="s">
        <v>25</v>
      </c>
      <c r="H181" s="4" t="s">
        <v>25</v>
      </c>
      <c r="I181" s="5">
        <v>44743</v>
      </c>
      <c r="J181" s="6">
        <v>0</v>
      </c>
      <c r="K181" s="6">
        <v>0</v>
      </c>
      <c r="L181" s="6">
        <v>10.238</v>
      </c>
      <c r="M181" s="6">
        <v>10.238</v>
      </c>
      <c r="N181" s="6">
        <v>10.238</v>
      </c>
      <c r="O181" s="6">
        <v>10.238</v>
      </c>
      <c r="P181" s="6">
        <v>108</v>
      </c>
      <c r="Q181" s="4" t="s">
        <v>26</v>
      </c>
      <c r="R181" s="4">
        <v>0</v>
      </c>
      <c r="S181" s="6">
        <v>0</v>
      </c>
      <c r="T181" s="6">
        <v>22</v>
      </c>
      <c r="U181" s="6">
        <v>60</v>
      </c>
      <c r="V181" s="6">
        <f>IF(ISERROR(VLOOKUP($S$181,'TAR FIN'!$A$1:$O$88,15,0)),0,VLOOKUP($S$181,'TAR FIN'!$A$1:$O$88,15,0))</f>
        <v>0</v>
      </c>
      <c r="W181" s="6">
        <f>IF(ISERROR(VLOOKUP($T$181,'TAR FIN'!$A$1:$O$88,15,0)),0,VLOOKUP($T$181,'TAR FIN'!$A$1:$O$88,15,0))</f>
        <v>0</v>
      </c>
      <c r="X181" s="6">
        <f>IF(ISERROR(VLOOKUP($U$181,'TAR FIN'!$A$1:$O$88,15,0)),0,VLOOKUP($U$181,'TAR FIN'!$A$1:$O$88,15,0))</f>
        <v>0</v>
      </c>
      <c r="Y181" s="6"/>
      <c r="Z181" s="6">
        <f ca="1">('TUSD BE'!$AM$24+'TUSD BF_350'!$AM$24+'TUSD CVA'!$AM$24-('TUSD BE'!$P$24+'TUSD BF_350'!$P$24+'TUSD CVA'!$P$24)-('TUSD BE'!$Q$24+'TUSD BF_350'!$Q$24+'TUSD CVA'!$Q$24)-('TUSD BE'!$R$24+'TUSD BF_350'!$R$24+'TUSD CVA'!$R$24))*(1-CUSTOS!$M$37)</f>
        <v>187.78</v>
      </c>
      <c r="AA181" s="6">
        <f ca="1">('TE BE'!$AB$15+'TE BF_350'!$AB$15+'TE CVA'!$AB$15)*(1-CUSTOS!$M$37)</f>
        <v>262.52999999999997</v>
      </c>
      <c r="AB181" s="6">
        <f>$K$181*$V$181</f>
        <v>0</v>
      </c>
      <c r="AC181" s="6">
        <f>$M$181*$W$181</f>
        <v>0</v>
      </c>
      <c r="AD181" s="6">
        <f>$O$181*$X$181</f>
        <v>0</v>
      </c>
      <c r="AE181" s="6">
        <f>$K$181*$Y$181</f>
        <v>0</v>
      </c>
      <c r="AF181" s="6">
        <f ca="1">$M$181*$Z$181</f>
        <v>1922.49164</v>
      </c>
      <c r="AG181" s="6">
        <f ca="1">$O$181*$AA$181</f>
        <v>2687.7821399999998</v>
      </c>
    </row>
    <row r="182" spans="1:33" ht="11.25" customHeight="1" x14ac:dyDescent="0.25">
      <c r="A182" s="4" t="s">
        <v>21</v>
      </c>
      <c r="B182" s="4" t="s">
        <v>41</v>
      </c>
      <c r="C182" s="4" t="s">
        <v>23</v>
      </c>
      <c r="D182" s="4" t="s">
        <v>42</v>
      </c>
      <c r="E182" s="4" t="s">
        <v>25</v>
      </c>
      <c r="F182" s="4" t="s">
        <v>25</v>
      </c>
      <c r="G182" s="4" t="s">
        <v>25</v>
      </c>
      <c r="H182" s="4" t="s">
        <v>25</v>
      </c>
      <c r="I182" s="5">
        <v>44409</v>
      </c>
      <c r="J182" s="6">
        <v>0</v>
      </c>
      <c r="K182" s="6">
        <v>0</v>
      </c>
      <c r="L182" s="6">
        <v>0.85299999999999998</v>
      </c>
      <c r="M182" s="6">
        <v>0.85299999999999998</v>
      </c>
      <c r="N182" s="6">
        <v>0.85299999999999998</v>
      </c>
      <c r="O182" s="6">
        <v>0.85299999999999998</v>
      </c>
      <c r="P182" s="6">
        <v>4</v>
      </c>
      <c r="Q182" s="4" t="s">
        <v>26</v>
      </c>
      <c r="R182" s="4">
        <v>0</v>
      </c>
      <c r="S182" s="6">
        <v>0</v>
      </c>
      <c r="T182" s="6">
        <v>31</v>
      </c>
      <c r="U182" s="6">
        <v>69</v>
      </c>
      <c r="V182" s="6">
        <f>IF(ISERROR(VLOOKUP($S$182,'TAR FIN'!$A$1:$O$88,15,0)),0,VLOOKUP($S$182,'TAR FIN'!$A$1:$O$88,15,0))</f>
        <v>0</v>
      </c>
      <c r="W182" s="6">
        <f>IF(ISERROR(VLOOKUP($T$182,'TAR FIN'!$A$1:$O$88,15,0)),0,VLOOKUP($T$182,'TAR FIN'!$A$1:$O$88,15,0))</f>
        <v>0</v>
      </c>
      <c r="X182" s="6">
        <f>IF(ISERROR(VLOOKUP($U$182,'TAR FIN'!$A$1:$O$88,15,0)),0,VLOOKUP($U$182,'TAR FIN'!$A$1:$O$88,15,0))</f>
        <v>0</v>
      </c>
      <c r="Y182" s="6"/>
      <c r="Z182" s="6">
        <f ca="1">('TUSD BE'!$AM$33+'TUSD BF_350'!$AM$33+'TUSD CVA'!$AM$33)*(1-CUSTOS!$M$38)</f>
        <v>291.86059999999998</v>
      </c>
      <c r="AA182" s="6">
        <f ca="1">('TE BE'!$AB$24+'TE BF_350'!$AB$24+'TE CVA'!$AB$24)*(1-CUSTOS!$M$38)</f>
        <v>246.77819999999997</v>
      </c>
      <c r="AB182" s="6">
        <f>$K$182*$V$182</f>
        <v>0</v>
      </c>
      <c r="AC182" s="6">
        <f>$M$182*$W$182</f>
        <v>0</v>
      </c>
      <c r="AD182" s="6">
        <f>$O$182*$X$182</f>
        <v>0</v>
      </c>
      <c r="AE182" s="6">
        <f>$K$182*$Y$182</f>
        <v>0</v>
      </c>
      <c r="AF182" s="6">
        <f ca="1">$M$182*$Z$182</f>
        <v>248.95709179999997</v>
      </c>
      <c r="AG182" s="6">
        <f ca="1">$O$182*$AA$182</f>
        <v>210.50180459999996</v>
      </c>
    </row>
    <row r="183" spans="1:33" ht="11.25" customHeight="1" x14ac:dyDescent="0.25">
      <c r="A183" s="4" t="s">
        <v>21</v>
      </c>
      <c r="B183" s="4" t="s">
        <v>41</v>
      </c>
      <c r="C183" s="4" t="s">
        <v>23</v>
      </c>
      <c r="D183" s="4" t="s">
        <v>42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44440</v>
      </c>
      <c r="J183" s="6">
        <v>0</v>
      </c>
      <c r="K183" s="6">
        <v>0</v>
      </c>
      <c r="L183" s="6">
        <v>0.92300000000000004</v>
      </c>
      <c r="M183" s="6">
        <v>0.92300000000000004</v>
      </c>
      <c r="N183" s="6">
        <v>0.92300000000000004</v>
      </c>
      <c r="O183" s="6">
        <v>0.92300000000000004</v>
      </c>
      <c r="P183" s="6">
        <v>4</v>
      </c>
      <c r="Q183" s="4" t="s">
        <v>26</v>
      </c>
      <c r="R183" s="4">
        <v>0</v>
      </c>
      <c r="S183" s="6">
        <v>0</v>
      </c>
      <c r="T183" s="6">
        <v>31</v>
      </c>
      <c r="U183" s="6">
        <v>69</v>
      </c>
      <c r="V183" s="6">
        <f>IF(ISERROR(VLOOKUP($S$183,'TAR FIN'!$A$1:$O$88,15,0)),0,VLOOKUP($S$183,'TAR FIN'!$A$1:$O$88,15,0))</f>
        <v>0</v>
      </c>
      <c r="W183" s="6">
        <f>IF(ISERROR(VLOOKUP($T$183,'TAR FIN'!$A$1:$O$88,15,0)),0,VLOOKUP($T$183,'TAR FIN'!$A$1:$O$88,15,0))</f>
        <v>0</v>
      </c>
      <c r="X183" s="6">
        <f>IF(ISERROR(VLOOKUP($U$183,'TAR FIN'!$A$1:$O$88,15,0)),0,VLOOKUP($U$183,'TAR FIN'!$A$1:$O$88,15,0))</f>
        <v>0</v>
      </c>
      <c r="Y183" s="6"/>
      <c r="Z183" s="6">
        <f ca="1">('TUSD BE'!$AM$33+'TUSD BF_350'!$AM$33+'TUSD CVA'!$AM$33)*(1-CUSTOS!$M$38)</f>
        <v>291.86059999999998</v>
      </c>
      <c r="AA183" s="6">
        <f ca="1">('TE BE'!$AB$24+'TE BF_350'!$AB$24+'TE CVA'!$AB$24)*(1-CUSTOS!$M$38)</f>
        <v>246.77819999999997</v>
      </c>
      <c r="AB183" s="6">
        <f>$K$183*$V$183</f>
        <v>0</v>
      </c>
      <c r="AC183" s="6">
        <f>$M$183*$W$183</f>
        <v>0</v>
      </c>
      <c r="AD183" s="6">
        <f>$O$183*$X$183</f>
        <v>0</v>
      </c>
      <c r="AE183" s="6">
        <f>$K$183*$Y$183</f>
        <v>0</v>
      </c>
      <c r="AF183" s="6">
        <f ca="1">$M$183*$Z$183</f>
        <v>269.38733379999996</v>
      </c>
      <c r="AG183" s="6">
        <f ca="1">$O$183*$AA$183</f>
        <v>227.77627859999998</v>
      </c>
    </row>
    <row r="184" spans="1:33" ht="11.25" customHeight="1" x14ac:dyDescent="0.25">
      <c r="A184" s="4" t="s">
        <v>21</v>
      </c>
      <c r="B184" s="4" t="s">
        <v>41</v>
      </c>
      <c r="C184" s="4" t="s">
        <v>23</v>
      </c>
      <c r="D184" s="4" t="s">
        <v>42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44470</v>
      </c>
      <c r="J184" s="6">
        <v>0</v>
      </c>
      <c r="K184" s="6">
        <v>0</v>
      </c>
      <c r="L184" s="6">
        <v>1.0189999999999999</v>
      </c>
      <c r="M184" s="6">
        <v>1.0189999999999999</v>
      </c>
      <c r="N184" s="6">
        <v>1.0189999999999999</v>
      </c>
      <c r="O184" s="6">
        <v>1.0189999999999999</v>
      </c>
      <c r="P184" s="6">
        <v>4</v>
      </c>
      <c r="Q184" s="4" t="s">
        <v>26</v>
      </c>
      <c r="R184" s="4">
        <v>0</v>
      </c>
      <c r="S184" s="6">
        <v>0</v>
      </c>
      <c r="T184" s="6">
        <v>31</v>
      </c>
      <c r="U184" s="6">
        <v>69</v>
      </c>
      <c r="V184" s="6">
        <f>IF(ISERROR(VLOOKUP($S$184,'TAR FIN'!$A$1:$O$88,15,0)),0,VLOOKUP($S$184,'TAR FIN'!$A$1:$O$88,15,0))</f>
        <v>0</v>
      </c>
      <c r="W184" s="6">
        <f>IF(ISERROR(VLOOKUP($T$184,'TAR FIN'!$A$1:$O$88,15,0)),0,VLOOKUP($T$184,'TAR FIN'!$A$1:$O$88,15,0))</f>
        <v>0</v>
      </c>
      <c r="X184" s="6">
        <f>IF(ISERROR(VLOOKUP($U$184,'TAR FIN'!$A$1:$O$88,15,0)),0,VLOOKUP($U$184,'TAR FIN'!$A$1:$O$88,15,0))</f>
        <v>0</v>
      </c>
      <c r="Y184" s="6"/>
      <c r="Z184" s="6">
        <f ca="1">('TUSD BE'!$AM$33+'TUSD BF_350'!$AM$33+'TUSD CVA'!$AM$33)*(1-CUSTOS!$M$38)</f>
        <v>291.86059999999998</v>
      </c>
      <c r="AA184" s="6">
        <f ca="1">('TE BE'!$AB$24+'TE BF_350'!$AB$24+'TE CVA'!$AB$24)*(1-CUSTOS!$M$38)</f>
        <v>246.77819999999997</v>
      </c>
      <c r="AB184" s="6">
        <f>$K$184*$V$184</f>
        <v>0</v>
      </c>
      <c r="AC184" s="6">
        <f>$M$184*$W$184</f>
        <v>0</v>
      </c>
      <c r="AD184" s="6">
        <f>$O$184*$X$184</f>
        <v>0</v>
      </c>
      <c r="AE184" s="6">
        <f>$K$184*$Y$184</f>
        <v>0</v>
      </c>
      <c r="AF184" s="6">
        <f ca="1">$M$184*$Z$184</f>
        <v>297.40595139999994</v>
      </c>
      <c r="AG184" s="6">
        <f ca="1">$O$184*$AA$184</f>
        <v>251.46698579999995</v>
      </c>
    </row>
    <row r="185" spans="1:33" ht="11.25" customHeight="1" x14ac:dyDescent="0.25">
      <c r="A185" s="4" t="s">
        <v>21</v>
      </c>
      <c r="B185" s="4" t="s">
        <v>41</v>
      </c>
      <c r="C185" s="4" t="s">
        <v>23</v>
      </c>
      <c r="D185" s="4" t="s">
        <v>42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44501</v>
      </c>
      <c r="J185" s="6">
        <v>0</v>
      </c>
      <c r="K185" s="6">
        <v>0</v>
      </c>
      <c r="L185" s="6">
        <v>0.93100000000000005</v>
      </c>
      <c r="M185" s="6">
        <v>0.93100000000000005</v>
      </c>
      <c r="N185" s="6">
        <v>0.93100000000000005</v>
      </c>
      <c r="O185" s="6">
        <v>0.93100000000000005</v>
      </c>
      <c r="P185" s="6">
        <v>4</v>
      </c>
      <c r="Q185" s="4" t="s">
        <v>26</v>
      </c>
      <c r="R185" s="4">
        <v>0</v>
      </c>
      <c r="S185" s="6">
        <v>0</v>
      </c>
      <c r="T185" s="6">
        <v>31</v>
      </c>
      <c r="U185" s="6">
        <v>69</v>
      </c>
      <c r="V185" s="6">
        <f>IF(ISERROR(VLOOKUP($S$185,'TAR FIN'!$A$1:$O$88,15,0)),0,VLOOKUP($S$185,'TAR FIN'!$A$1:$O$88,15,0))</f>
        <v>0</v>
      </c>
      <c r="W185" s="6">
        <f>IF(ISERROR(VLOOKUP($T$185,'TAR FIN'!$A$1:$O$88,15,0)),0,VLOOKUP($T$185,'TAR FIN'!$A$1:$O$88,15,0))</f>
        <v>0</v>
      </c>
      <c r="X185" s="6">
        <f>IF(ISERROR(VLOOKUP($U$185,'TAR FIN'!$A$1:$O$88,15,0)),0,VLOOKUP($U$185,'TAR FIN'!$A$1:$O$88,15,0))</f>
        <v>0</v>
      </c>
      <c r="Y185" s="6"/>
      <c r="Z185" s="6">
        <f ca="1">('TUSD BE'!$AM$33+'TUSD BF_350'!$AM$33+'TUSD CVA'!$AM$33)*(1-CUSTOS!$M$38)</f>
        <v>291.86059999999998</v>
      </c>
      <c r="AA185" s="6">
        <f ca="1">('TE BE'!$AB$24+'TE BF_350'!$AB$24+'TE CVA'!$AB$24)*(1-CUSTOS!$M$38)</f>
        <v>246.77819999999997</v>
      </c>
      <c r="AB185" s="6">
        <f>$K$185*$V$185</f>
        <v>0</v>
      </c>
      <c r="AC185" s="6">
        <f>$M$185*$W$185</f>
        <v>0</v>
      </c>
      <c r="AD185" s="6">
        <f>$O$185*$X$185</f>
        <v>0</v>
      </c>
      <c r="AE185" s="6">
        <f>$K$185*$Y$185</f>
        <v>0</v>
      </c>
      <c r="AF185" s="6">
        <f ca="1">$M$185*$Z$185</f>
        <v>271.72221860000002</v>
      </c>
      <c r="AG185" s="6">
        <f ca="1">$O$185*$AA$185</f>
        <v>229.75050419999999</v>
      </c>
    </row>
    <row r="186" spans="1:33" ht="11.25" customHeight="1" x14ac:dyDescent="0.25">
      <c r="A186" s="4" t="s">
        <v>21</v>
      </c>
      <c r="B186" s="4" t="s">
        <v>41</v>
      </c>
      <c r="C186" s="4" t="s">
        <v>23</v>
      </c>
      <c r="D186" s="4" t="s">
        <v>42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1.1719999999999999</v>
      </c>
      <c r="M186" s="6">
        <v>1.1719999999999999</v>
      </c>
      <c r="N186" s="6">
        <v>1.1719999999999999</v>
      </c>
      <c r="O186" s="6">
        <v>1.1719999999999999</v>
      </c>
      <c r="P186" s="6">
        <v>4</v>
      </c>
      <c r="Q186" s="4" t="s">
        <v>26</v>
      </c>
      <c r="R186" s="4">
        <v>0</v>
      </c>
      <c r="S186" s="6">
        <v>0</v>
      </c>
      <c r="T186" s="6">
        <v>31</v>
      </c>
      <c r="U186" s="6">
        <v>69</v>
      </c>
      <c r="V186" s="6">
        <f>IF(ISERROR(VLOOKUP($S$186,'TAR FIN'!$A$1:$O$88,15,0)),0,VLOOKUP($S$186,'TAR FIN'!$A$1:$O$88,15,0))</f>
        <v>0</v>
      </c>
      <c r="W186" s="6">
        <f>IF(ISERROR(VLOOKUP($T$186,'TAR FIN'!$A$1:$O$88,15,0)),0,VLOOKUP($T$186,'TAR FIN'!$A$1:$O$88,15,0))</f>
        <v>0</v>
      </c>
      <c r="X186" s="6">
        <f>IF(ISERROR(VLOOKUP($U$186,'TAR FIN'!$A$1:$O$88,15,0)),0,VLOOKUP($U$186,'TAR FIN'!$A$1:$O$88,15,0))</f>
        <v>0</v>
      </c>
      <c r="Y186" s="6"/>
      <c r="Z186" s="6">
        <f ca="1">('TUSD BE'!$AM$33+'TUSD BF_350'!$AM$33+'TUSD CVA'!$AM$33)*(1-CUSTOS!$M$38)</f>
        <v>291.86059999999998</v>
      </c>
      <c r="AA186" s="6">
        <f ca="1">('TE BE'!$AB$24+'TE BF_350'!$AB$24+'TE CVA'!$AB$24)*(1-CUSTOS!$M$38)</f>
        <v>246.77819999999997</v>
      </c>
      <c r="AB186" s="6">
        <f>$K$186*$V$186</f>
        <v>0</v>
      </c>
      <c r="AC186" s="6">
        <f>$M$186*$W$186</f>
        <v>0</v>
      </c>
      <c r="AD186" s="6">
        <f>$O$186*$X$186</f>
        <v>0</v>
      </c>
      <c r="AE186" s="6">
        <f>$K$186*$Y$186</f>
        <v>0</v>
      </c>
      <c r="AF186" s="6">
        <f ca="1">$M$186*$Z$186</f>
        <v>342.06062319999995</v>
      </c>
      <c r="AG186" s="6">
        <f ca="1">$O$186*$AA$186</f>
        <v>289.22405039999995</v>
      </c>
    </row>
    <row r="187" spans="1:33" ht="11.25" customHeight="1" x14ac:dyDescent="0.25">
      <c r="A187" s="4" t="s">
        <v>21</v>
      </c>
      <c r="B187" s="4" t="s">
        <v>41</v>
      </c>
      <c r="C187" s="4" t="s">
        <v>23</v>
      </c>
      <c r="D187" s="4" t="s">
        <v>42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1.1339999999999999</v>
      </c>
      <c r="M187" s="6">
        <v>1.1339999999999999</v>
      </c>
      <c r="N187" s="6">
        <v>1.1339999999999999</v>
      </c>
      <c r="O187" s="6">
        <v>1.1339999999999999</v>
      </c>
      <c r="P187" s="6">
        <v>4</v>
      </c>
      <c r="Q187" s="4" t="s">
        <v>26</v>
      </c>
      <c r="R187" s="4">
        <v>0</v>
      </c>
      <c r="S187" s="6">
        <v>0</v>
      </c>
      <c r="T187" s="6">
        <v>31</v>
      </c>
      <c r="U187" s="6">
        <v>69</v>
      </c>
      <c r="V187" s="6">
        <f>IF(ISERROR(VLOOKUP($S$187,'TAR FIN'!$A$1:$O$88,15,0)),0,VLOOKUP($S$187,'TAR FIN'!$A$1:$O$88,15,0))</f>
        <v>0</v>
      </c>
      <c r="W187" s="6">
        <f>IF(ISERROR(VLOOKUP($T$187,'TAR FIN'!$A$1:$O$88,15,0)),0,VLOOKUP($T$187,'TAR FIN'!$A$1:$O$88,15,0))</f>
        <v>0</v>
      </c>
      <c r="X187" s="6">
        <f>IF(ISERROR(VLOOKUP($U$187,'TAR FIN'!$A$1:$O$88,15,0)),0,VLOOKUP($U$187,'TAR FIN'!$A$1:$O$88,15,0))</f>
        <v>0</v>
      </c>
      <c r="Y187" s="6"/>
      <c r="Z187" s="6">
        <f ca="1">('TUSD BE'!$AM$33+'TUSD BF_350'!$AM$33+'TUSD CVA'!$AM$33)*(1-CUSTOS!$M$38)</f>
        <v>291.86059999999998</v>
      </c>
      <c r="AA187" s="6">
        <f ca="1">('TE BE'!$AB$24+'TE BF_350'!$AB$24+'TE CVA'!$AB$24)*(1-CUSTOS!$M$38)</f>
        <v>246.77819999999997</v>
      </c>
      <c r="AB187" s="6">
        <f>$K$187*$V$187</f>
        <v>0</v>
      </c>
      <c r="AC187" s="6">
        <f>$M$187*$W$187</f>
        <v>0</v>
      </c>
      <c r="AD187" s="6">
        <f>$O$187*$X$187</f>
        <v>0</v>
      </c>
      <c r="AE187" s="6">
        <f>$K$187*$Y$187</f>
        <v>0</v>
      </c>
      <c r="AF187" s="6">
        <f ca="1">$M$187*$Z$187</f>
        <v>330.96992039999992</v>
      </c>
      <c r="AG187" s="6">
        <f ca="1">$O$187*$AA$187</f>
        <v>279.84647879999994</v>
      </c>
    </row>
    <row r="188" spans="1:33" ht="11.25" customHeight="1" x14ac:dyDescent="0.25">
      <c r="A188" s="4" t="s">
        <v>21</v>
      </c>
      <c r="B188" s="4" t="s">
        <v>41</v>
      </c>
      <c r="C188" s="4" t="s">
        <v>23</v>
      </c>
      <c r="D188" s="4" t="s">
        <v>42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44593</v>
      </c>
      <c r="J188" s="6">
        <v>0</v>
      </c>
      <c r="K188" s="6">
        <v>0</v>
      </c>
      <c r="L188" s="6">
        <v>1.478</v>
      </c>
      <c r="M188" s="6">
        <v>1.478</v>
      </c>
      <c r="N188" s="6">
        <v>1.478</v>
      </c>
      <c r="O188" s="6">
        <v>1.478</v>
      </c>
      <c r="P188" s="6">
        <v>4</v>
      </c>
      <c r="Q188" s="4" t="s">
        <v>26</v>
      </c>
      <c r="R188" s="4">
        <v>0</v>
      </c>
      <c r="S188" s="6">
        <v>0</v>
      </c>
      <c r="T188" s="6">
        <v>31</v>
      </c>
      <c r="U188" s="6">
        <v>69</v>
      </c>
      <c r="V188" s="6">
        <f>IF(ISERROR(VLOOKUP($S$188,'TAR FIN'!$A$1:$O$88,15,0)),0,VLOOKUP($S$188,'TAR FIN'!$A$1:$O$88,15,0))</f>
        <v>0</v>
      </c>
      <c r="W188" s="6">
        <f>IF(ISERROR(VLOOKUP($T$188,'TAR FIN'!$A$1:$O$88,15,0)),0,VLOOKUP($T$188,'TAR FIN'!$A$1:$O$88,15,0))</f>
        <v>0</v>
      </c>
      <c r="X188" s="6">
        <f>IF(ISERROR(VLOOKUP($U$188,'TAR FIN'!$A$1:$O$88,15,0)),0,VLOOKUP($U$188,'TAR FIN'!$A$1:$O$88,15,0))</f>
        <v>0</v>
      </c>
      <c r="Y188" s="6"/>
      <c r="Z188" s="6">
        <f ca="1">('TUSD BE'!$AM$33+'TUSD BF_350'!$AM$33+'TUSD CVA'!$AM$33)*(1-CUSTOS!$M$38)</f>
        <v>291.86059999999998</v>
      </c>
      <c r="AA188" s="6">
        <f ca="1">('TE BE'!$AB$24+'TE BF_350'!$AB$24+'TE CVA'!$AB$24)*(1-CUSTOS!$M$38)</f>
        <v>246.77819999999997</v>
      </c>
      <c r="AB188" s="6">
        <f>$K$188*$V$188</f>
        <v>0</v>
      </c>
      <c r="AC188" s="6">
        <f>$M$188*$W$188</f>
        <v>0</v>
      </c>
      <c r="AD188" s="6">
        <f>$O$188*$X$188</f>
        <v>0</v>
      </c>
      <c r="AE188" s="6">
        <f>$K$188*$Y$188</f>
        <v>0</v>
      </c>
      <c r="AF188" s="6">
        <f ca="1">$M$188*$Z$188</f>
        <v>431.36996679999999</v>
      </c>
      <c r="AG188" s="6">
        <f ca="1">$O$188*$AA$188</f>
        <v>364.73817959999997</v>
      </c>
    </row>
    <row r="189" spans="1:33" ht="11.25" customHeight="1" x14ac:dyDescent="0.25">
      <c r="A189" s="4" t="s">
        <v>21</v>
      </c>
      <c r="B189" s="4" t="s">
        <v>41</v>
      </c>
      <c r="C189" s="4" t="s">
        <v>23</v>
      </c>
      <c r="D189" s="4" t="s">
        <v>42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44621</v>
      </c>
      <c r="J189" s="6">
        <v>0</v>
      </c>
      <c r="K189" s="6">
        <v>0</v>
      </c>
      <c r="L189" s="6">
        <v>1.0720000000000001</v>
      </c>
      <c r="M189" s="6">
        <v>1.0720000000000001</v>
      </c>
      <c r="N189" s="6">
        <v>1.0720000000000001</v>
      </c>
      <c r="O189" s="6">
        <v>1.0720000000000001</v>
      </c>
      <c r="P189" s="6">
        <v>4</v>
      </c>
      <c r="Q189" s="4" t="s">
        <v>26</v>
      </c>
      <c r="R189" s="4">
        <v>0</v>
      </c>
      <c r="S189" s="6">
        <v>0</v>
      </c>
      <c r="T189" s="6">
        <v>31</v>
      </c>
      <c r="U189" s="6">
        <v>69</v>
      </c>
      <c r="V189" s="6">
        <f>IF(ISERROR(VLOOKUP($S$189,'TAR FIN'!$A$1:$O$88,15,0)),0,VLOOKUP($S$189,'TAR FIN'!$A$1:$O$88,15,0))</f>
        <v>0</v>
      </c>
      <c r="W189" s="6">
        <f>IF(ISERROR(VLOOKUP($T$189,'TAR FIN'!$A$1:$O$88,15,0)),0,VLOOKUP($T$189,'TAR FIN'!$A$1:$O$88,15,0))</f>
        <v>0</v>
      </c>
      <c r="X189" s="6">
        <f>IF(ISERROR(VLOOKUP($U$189,'TAR FIN'!$A$1:$O$88,15,0)),0,VLOOKUP($U$189,'TAR FIN'!$A$1:$O$88,15,0))</f>
        <v>0</v>
      </c>
      <c r="Y189" s="6"/>
      <c r="Z189" s="6">
        <f ca="1">('TUSD BE'!$AM$33+'TUSD BF_350'!$AM$33+'TUSD CVA'!$AM$33)*(1-CUSTOS!$M$38)</f>
        <v>291.86059999999998</v>
      </c>
      <c r="AA189" s="6">
        <f ca="1">('TE BE'!$AB$24+'TE BF_350'!$AB$24+'TE CVA'!$AB$24)*(1-CUSTOS!$M$38)</f>
        <v>246.77819999999997</v>
      </c>
      <c r="AB189" s="6">
        <f>$K$189*$V$189</f>
        <v>0</v>
      </c>
      <c r="AC189" s="6">
        <f>$M$189*$W$189</f>
        <v>0</v>
      </c>
      <c r="AD189" s="6">
        <f>$O$189*$X$189</f>
        <v>0</v>
      </c>
      <c r="AE189" s="6">
        <f>$K$189*$Y$189</f>
        <v>0</v>
      </c>
      <c r="AF189" s="6">
        <f ca="1">$M$189*$Z$189</f>
        <v>312.87456320000001</v>
      </c>
      <c r="AG189" s="6">
        <f ca="1">$O$189*$AA$189</f>
        <v>264.54623039999996</v>
      </c>
    </row>
    <row r="190" spans="1:33" ht="11.25" customHeight="1" x14ac:dyDescent="0.25">
      <c r="A190" s="4" t="s">
        <v>21</v>
      </c>
      <c r="B190" s="4" t="s">
        <v>41</v>
      </c>
      <c r="C190" s="4" t="s">
        <v>23</v>
      </c>
      <c r="D190" s="4" t="s">
        <v>42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44652</v>
      </c>
      <c r="J190" s="6">
        <v>0</v>
      </c>
      <c r="K190" s="6">
        <v>0</v>
      </c>
      <c r="L190" s="6">
        <v>1.143</v>
      </c>
      <c r="M190" s="6">
        <v>1.143</v>
      </c>
      <c r="N190" s="6">
        <v>1.143</v>
      </c>
      <c r="O190" s="6">
        <v>1.143</v>
      </c>
      <c r="P190" s="6">
        <v>4</v>
      </c>
      <c r="Q190" s="4" t="s">
        <v>26</v>
      </c>
      <c r="R190" s="4">
        <v>0</v>
      </c>
      <c r="S190" s="6">
        <v>0</v>
      </c>
      <c r="T190" s="6">
        <v>31</v>
      </c>
      <c r="U190" s="6">
        <v>69</v>
      </c>
      <c r="V190" s="6">
        <f>IF(ISERROR(VLOOKUP($S$190,'TAR FIN'!$A$1:$O$88,15,0)),0,VLOOKUP($S$190,'TAR FIN'!$A$1:$O$88,15,0))</f>
        <v>0</v>
      </c>
      <c r="W190" s="6">
        <f>IF(ISERROR(VLOOKUP($T$190,'TAR FIN'!$A$1:$O$88,15,0)),0,VLOOKUP($T$190,'TAR FIN'!$A$1:$O$88,15,0))</f>
        <v>0</v>
      </c>
      <c r="X190" s="6">
        <f>IF(ISERROR(VLOOKUP($U$190,'TAR FIN'!$A$1:$O$88,15,0)),0,VLOOKUP($U$190,'TAR FIN'!$A$1:$O$88,15,0))</f>
        <v>0</v>
      </c>
      <c r="Y190" s="6"/>
      <c r="Z190" s="6">
        <f ca="1">('TUSD BE'!$AM$33+'TUSD BF_350'!$AM$33+'TUSD CVA'!$AM$33)*(1-CUSTOS!$M$38)</f>
        <v>291.86059999999998</v>
      </c>
      <c r="AA190" s="6">
        <f ca="1">('TE BE'!$AB$24+'TE BF_350'!$AB$24+'TE CVA'!$AB$24)*(1-CUSTOS!$M$38)</f>
        <v>246.77819999999997</v>
      </c>
      <c r="AB190" s="6">
        <f>$K$190*$V$190</f>
        <v>0</v>
      </c>
      <c r="AC190" s="6">
        <f>$M$190*$W$190</f>
        <v>0</v>
      </c>
      <c r="AD190" s="6">
        <f>$O$190*$X$190</f>
        <v>0</v>
      </c>
      <c r="AE190" s="6">
        <f>$K$190*$Y$190</f>
        <v>0</v>
      </c>
      <c r="AF190" s="6">
        <f ca="1">$M$190*$Z$190</f>
        <v>333.59666579999998</v>
      </c>
      <c r="AG190" s="6">
        <f ca="1">$O$190*$AA$190</f>
        <v>282.06748259999995</v>
      </c>
    </row>
    <row r="191" spans="1:33" ht="11.25" customHeight="1" x14ac:dyDescent="0.25">
      <c r="A191" s="4" t="s">
        <v>21</v>
      </c>
      <c r="B191" s="4" t="s">
        <v>41</v>
      </c>
      <c r="C191" s="4" t="s">
        <v>23</v>
      </c>
      <c r="D191" s="4" t="s">
        <v>42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44682</v>
      </c>
      <c r="J191" s="6">
        <v>0</v>
      </c>
      <c r="K191" s="6">
        <v>0</v>
      </c>
      <c r="L191" s="6">
        <v>0.77100000000000002</v>
      </c>
      <c r="M191" s="6">
        <v>0.77100000000000002</v>
      </c>
      <c r="N191" s="6">
        <v>0.77100000000000002</v>
      </c>
      <c r="O191" s="6">
        <v>0.77100000000000002</v>
      </c>
      <c r="P191" s="6">
        <v>4</v>
      </c>
      <c r="Q191" s="4" t="s">
        <v>26</v>
      </c>
      <c r="R191" s="4">
        <v>0</v>
      </c>
      <c r="S191" s="6">
        <v>0</v>
      </c>
      <c r="T191" s="6">
        <v>31</v>
      </c>
      <c r="U191" s="6">
        <v>69</v>
      </c>
      <c r="V191" s="6">
        <f>IF(ISERROR(VLOOKUP($S$191,'TAR FIN'!$A$1:$O$88,15,0)),0,VLOOKUP($S$191,'TAR FIN'!$A$1:$O$88,15,0))</f>
        <v>0</v>
      </c>
      <c r="W191" s="6">
        <f>IF(ISERROR(VLOOKUP($T$191,'TAR FIN'!$A$1:$O$88,15,0)),0,VLOOKUP($T$191,'TAR FIN'!$A$1:$O$88,15,0))</f>
        <v>0</v>
      </c>
      <c r="X191" s="6">
        <f>IF(ISERROR(VLOOKUP($U$191,'TAR FIN'!$A$1:$O$88,15,0)),0,VLOOKUP($U$191,'TAR FIN'!$A$1:$O$88,15,0))</f>
        <v>0</v>
      </c>
      <c r="Y191" s="6"/>
      <c r="Z191" s="6">
        <f ca="1">('TUSD BE'!$AM$33+'TUSD BF_350'!$AM$33+'TUSD CVA'!$AM$33)*(1-CUSTOS!$M$38)</f>
        <v>291.86059999999998</v>
      </c>
      <c r="AA191" s="6">
        <f ca="1">('TE BE'!$AB$24+'TE BF_350'!$AB$24+'TE CVA'!$AB$24)*(1-CUSTOS!$M$38)</f>
        <v>246.77819999999997</v>
      </c>
      <c r="AB191" s="6">
        <f>$K$191*$V$191</f>
        <v>0</v>
      </c>
      <c r="AC191" s="6">
        <f>$M$191*$W$191</f>
        <v>0</v>
      </c>
      <c r="AD191" s="6">
        <f>$O$191*$X$191</f>
        <v>0</v>
      </c>
      <c r="AE191" s="6">
        <f>$K$191*$Y$191</f>
        <v>0</v>
      </c>
      <c r="AF191" s="6">
        <f ca="1">$M$191*$Z$191</f>
        <v>225.02452259999998</v>
      </c>
      <c r="AG191" s="6">
        <f ca="1">$O$191*$AA$191</f>
        <v>190.26599219999997</v>
      </c>
    </row>
    <row r="192" spans="1:33" ht="11.25" customHeight="1" x14ac:dyDescent="0.25">
      <c r="A192" s="4" t="s">
        <v>21</v>
      </c>
      <c r="B192" s="4" t="s">
        <v>41</v>
      </c>
      <c r="C192" s="4" t="s">
        <v>23</v>
      </c>
      <c r="D192" s="4" t="s">
        <v>42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44713</v>
      </c>
      <c r="J192" s="6">
        <v>0</v>
      </c>
      <c r="K192" s="6">
        <v>0</v>
      </c>
      <c r="L192" s="6">
        <v>0.69299999999999995</v>
      </c>
      <c r="M192" s="6">
        <v>0.69299999999999995</v>
      </c>
      <c r="N192" s="6">
        <v>0.69299999999999995</v>
      </c>
      <c r="O192" s="6">
        <v>0.69299999999999995</v>
      </c>
      <c r="P192" s="6">
        <v>4</v>
      </c>
      <c r="Q192" s="4" t="s">
        <v>26</v>
      </c>
      <c r="R192" s="4">
        <v>0</v>
      </c>
      <c r="S192" s="6">
        <v>0</v>
      </c>
      <c r="T192" s="6">
        <v>31</v>
      </c>
      <c r="U192" s="6">
        <v>69</v>
      </c>
      <c r="V192" s="6">
        <f>IF(ISERROR(VLOOKUP($S$192,'TAR FIN'!$A$1:$O$88,15,0)),0,VLOOKUP($S$192,'TAR FIN'!$A$1:$O$88,15,0))</f>
        <v>0</v>
      </c>
      <c r="W192" s="6">
        <f>IF(ISERROR(VLOOKUP($T$192,'TAR FIN'!$A$1:$O$88,15,0)),0,VLOOKUP($T$192,'TAR FIN'!$A$1:$O$88,15,0))</f>
        <v>0</v>
      </c>
      <c r="X192" s="6">
        <f>IF(ISERROR(VLOOKUP($U$192,'TAR FIN'!$A$1:$O$88,15,0)),0,VLOOKUP($U$192,'TAR FIN'!$A$1:$O$88,15,0))</f>
        <v>0</v>
      </c>
      <c r="Y192" s="6"/>
      <c r="Z192" s="6">
        <f ca="1">('TUSD BE'!$AM$33+'TUSD BF_350'!$AM$33+'TUSD CVA'!$AM$33)*(1-CUSTOS!$M$38)</f>
        <v>291.86059999999998</v>
      </c>
      <c r="AA192" s="6">
        <f ca="1">('TE BE'!$AB$24+'TE BF_350'!$AB$24+'TE CVA'!$AB$24)*(1-CUSTOS!$M$38)</f>
        <v>246.77819999999997</v>
      </c>
      <c r="AB192" s="6">
        <f>$K$192*$V$192</f>
        <v>0</v>
      </c>
      <c r="AC192" s="6">
        <f>$M$192*$W$192</f>
        <v>0</v>
      </c>
      <c r="AD192" s="6">
        <f>$O$192*$X$192</f>
        <v>0</v>
      </c>
      <c r="AE192" s="6">
        <f>$K$192*$Y$192</f>
        <v>0</v>
      </c>
      <c r="AF192" s="6">
        <f ca="1">$M$192*$Z$192</f>
        <v>202.25939579999996</v>
      </c>
      <c r="AG192" s="6">
        <f ca="1">$O$192*$AA$192</f>
        <v>171.01729259999996</v>
      </c>
    </row>
    <row r="193" spans="1:33" ht="11.25" customHeight="1" x14ac:dyDescent="0.25">
      <c r="A193" s="4" t="s">
        <v>21</v>
      </c>
      <c r="B193" s="4" t="s">
        <v>41</v>
      </c>
      <c r="C193" s="4" t="s">
        <v>23</v>
      </c>
      <c r="D193" s="4" t="s">
        <v>42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44743</v>
      </c>
      <c r="J193" s="6">
        <v>0</v>
      </c>
      <c r="K193" s="6">
        <v>0</v>
      </c>
      <c r="L193" s="6">
        <v>0.65100000000000002</v>
      </c>
      <c r="M193" s="6">
        <v>0.65100000000000002</v>
      </c>
      <c r="N193" s="6">
        <v>0.65100000000000002</v>
      </c>
      <c r="O193" s="6">
        <v>0.65100000000000002</v>
      </c>
      <c r="P193" s="6">
        <v>4</v>
      </c>
      <c r="Q193" s="4" t="s">
        <v>26</v>
      </c>
      <c r="R193" s="4">
        <v>0</v>
      </c>
      <c r="S193" s="6">
        <v>0</v>
      </c>
      <c r="T193" s="6">
        <v>31</v>
      </c>
      <c r="U193" s="6">
        <v>69</v>
      </c>
      <c r="V193" s="6">
        <f>IF(ISERROR(VLOOKUP($S$193,'TAR FIN'!$A$1:$O$88,15,0)),0,VLOOKUP($S$193,'TAR FIN'!$A$1:$O$88,15,0))</f>
        <v>0</v>
      </c>
      <c r="W193" s="6">
        <f>IF(ISERROR(VLOOKUP($T$193,'TAR FIN'!$A$1:$O$88,15,0)),0,VLOOKUP($T$193,'TAR FIN'!$A$1:$O$88,15,0))</f>
        <v>0</v>
      </c>
      <c r="X193" s="6">
        <f>IF(ISERROR(VLOOKUP($U$193,'TAR FIN'!$A$1:$O$88,15,0)),0,VLOOKUP($U$193,'TAR FIN'!$A$1:$O$88,15,0))</f>
        <v>0</v>
      </c>
      <c r="Y193" s="6"/>
      <c r="Z193" s="6">
        <f ca="1">('TUSD BE'!$AM$33+'TUSD BF_350'!$AM$33+'TUSD CVA'!$AM$33)*(1-CUSTOS!$M$38)</f>
        <v>291.86059999999998</v>
      </c>
      <c r="AA193" s="6">
        <f ca="1">('TE BE'!$AB$24+'TE BF_350'!$AB$24+'TE CVA'!$AB$24)*(1-CUSTOS!$M$38)</f>
        <v>246.77819999999997</v>
      </c>
      <c r="AB193" s="6">
        <f>$K$193*$V$193</f>
        <v>0</v>
      </c>
      <c r="AC193" s="6">
        <f>$M$193*$W$193</f>
        <v>0</v>
      </c>
      <c r="AD193" s="6">
        <f>$O$193*$X$193</f>
        <v>0</v>
      </c>
      <c r="AE193" s="6">
        <f>$K$193*$Y$193</f>
        <v>0</v>
      </c>
      <c r="AF193" s="6">
        <f ca="1">$M$193*$Z$193</f>
        <v>190.00125059999999</v>
      </c>
      <c r="AG193" s="6">
        <f ca="1">$O$193*$AA$193</f>
        <v>160.65260819999997</v>
      </c>
    </row>
    <row r="194" spans="1:33" ht="11.25" customHeight="1" x14ac:dyDescent="0.25">
      <c r="A194" s="4" t="s">
        <v>21</v>
      </c>
      <c r="B194" s="4" t="s">
        <v>32</v>
      </c>
      <c r="C194" s="4" t="s">
        <v>38</v>
      </c>
      <c r="D194" s="4" t="s">
        <v>40</v>
      </c>
      <c r="E194" s="4" t="s">
        <v>25</v>
      </c>
      <c r="F194" s="4" t="s">
        <v>25</v>
      </c>
      <c r="G194" s="4" t="s">
        <v>25</v>
      </c>
      <c r="H194" s="4" t="s">
        <v>37</v>
      </c>
      <c r="I194" s="5">
        <v>44409</v>
      </c>
      <c r="J194" s="6">
        <v>0</v>
      </c>
      <c r="K194" s="6">
        <v>0</v>
      </c>
      <c r="L194" s="6">
        <v>8.2989999999999995</v>
      </c>
      <c r="M194" s="6">
        <v>8.2989999999999995</v>
      </c>
      <c r="N194" s="6">
        <v>8.2989999999999995</v>
      </c>
      <c r="O194" s="6">
        <v>8.2989999999999995</v>
      </c>
      <c r="P194" s="6">
        <v>0</v>
      </c>
      <c r="Q194" s="4" t="s">
        <v>26</v>
      </c>
      <c r="R194" s="4">
        <v>0</v>
      </c>
      <c r="S194" s="6">
        <v>0</v>
      </c>
      <c r="T194" s="6">
        <v>45</v>
      </c>
      <c r="U194" s="6">
        <v>83</v>
      </c>
      <c r="V194" s="6">
        <f>IF(ISERROR(VLOOKUP($S$194,'TAR FIN'!$A$1:$O$88,15,0)),0,VLOOKUP($S$194,'TAR FIN'!$A$1:$O$88,15,0))</f>
        <v>0</v>
      </c>
      <c r="W194" s="6">
        <f>IF(ISERROR(VLOOKUP($T$194,'TAR FIN'!$A$1:$O$88,15,0)),0,VLOOKUP($T$194,'TAR FIN'!$A$1:$O$88,15,0))</f>
        <v>0</v>
      </c>
      <c r="X194" s="6">
        <f>IF(ISERROR(VLOOKUP($U$194,'TAR FIN'!$A$1:$O$88,15,0)),0,VLOOKUP($U$194,'TAR FIN'!$A$1:$O$88,15,0))</f>
        <v>0</v>
      </c>
      <c r="Y194" s="6"/>
      <c r="Z194" s="6">
        <f ca="1">('TUSD BE'!$AM$47+'TUSD BF_350'!$AM$47+'TUSD CVA'!$AM$47)*1</f>
        <v>261.33999999999997</v>
      </c>
      <c r="AA194" s="6">
        <f ca="1">('TE BE'!$AB$38+'TE BF_350'!$AB$38+'TE CVA'!$AB$38)*1</f>
        <v>250.04</v>
      </c>
      <c r="AB194" s="6">
        <f>$K$194*$V$194</f>
        <v>0</v>
      </c>
      <c r="AC194" s="6">
        <f>$M$194*$W$194</f>
        <v>0</v>
      </c>
      <c r="AD194" s="6">
        <f>$O$194*$X$194</f>
        <v>0</v>
      </c>
      <c r="AE194" s="6">
        <f>$K$194*$Y$194</f>
        <v>0</v>
      </c>
      <c r="AF194" s="6">
        <f ca="1">$M$194*$Z$194</f>
        <v>2168.8606599999998</v>
      </c>
      <c r="AG194" s="6">
        <f ca="1">$O$194*$AA$194</f>
        <v>2075.08196</v>
      </c>
    </row>
    <row r="195" spans="1:33" ht="11.25" customHeight="1" x14ac:dyDescent="0.25">
      <c r="A195" s="4" t="s">
        <v>21</v>
      </c>
      <c r="B195" s="4" t="s">
        <v>32</v>
      </c>
      <c r="C195" s="4" t="s">
        <v>38</v>
      </c>
      <c r="D195" s="4" t="s">
        <v>40</v>
      </c>
      <c r="E195" s="4" t="s">
        <v>25</v>
      </c>
      <c r="F195" s="4" t="s">
        <v>25</v>
      </c>
      <c r="G195" s="4" t="s">
        <v>25</v>
      </c>
      <c r="H195" s="4" t="s">
        <v>37</v>
      </c>
      <c r="I195" s="5">
        <v>44440</v>
      </c>
      <c r="J195" s="6">
        <v>0</v>
      </c>
      <c r="K195" s="6">
        <v>0</v>
      </c>
      <c r="L195" s="6">
        <v>8.4309999999999992</v>
      </c>
      <c r="M195" s="6">
        <v>8.4309999999999992</v>
      </c>
      <c r="N195" s="6">
        <v>8.4309999999999992</v>
      </c>
      <c r="O195" s="6">
        <v>8.4309999999999992</v>
      </c>
      <c r="P195" s="6">
        <v>0</v>
      </c>
      <c r="Q195" s="4" t="s">
        <v>26</v>
      </c>
      <c r="R195" s="4">
        <v>0</v>
      </c>
      <c r="S195" s="6">
        <v>0</v>
      </c>
      <c r="T195" s="6">
        <v>45</v>
      </c>
      <c r="U195" s="6">
        <v>83</v>
      </c>
      <c r="V195" s="6">
        <f>IF(ISERROR(VLOOKUP($S$195,'TAR FIN'!$A$1:$O$88,15,0)),0,VLOOKUP($S$195,'TAR FIN'!$A$1:$O$88,15,0))</f>
        <v>0</v>
      </c>
      <c r="W195" s="6">
        <f>IF(ISERROR(VLOOKUP($T$195,'TAR FIN'!$A$1:$O$88,15,0)),0,VLOOKUP($T$195,'TAR FIN'!$A$1:$O$88,15,0))</f>
        <v>0</v>
      </c>
      <c r="X195" s="6">
        <f>IF(ISERROR(VLOOKUP($U$195,'TAR FIN'!$A$1:$O$88,15,0)),0,VLOOKUP($U$195,'TAR FIN'!$A$1:$O$88,15,0))</f>
        <v>0</v>
      </c>
      <c r="Y195" s="6"/>
      <c r="Z195" s="6">
        <f ca="1">('TUSD BE'!$AM$47+'TUSD BF_350'!$AM$47+'TUSD CVA'!$AM$47)*1</f>
        <v>261.33999999999997</v>
      </c>
      <c r="AA195" s="6">
        <f ca="1">('TE BE'!$AB$38+'TE BF_350'!$AB$38+'TE CVA'!$AB$38)*1</f>
        <v>250.04</v>
      </c>
      <c r="AB195" s="6">
        <f>$K$195*$V$195</f>
        <v>0</v>
      </c>
      <c r="AC195" s="6">
        <f>$M$195*$W$195</f>
        <v>0</v>
      </c>
      <c r="AD195" s="6">
        <f>$O$195*$X$195</f>
        <v>0</v>
      </c>
      <c r="AE195" s="6">
        <f>$K$195*$Y$195</f>
        <v>0</v>
      </c>
      <c r="AF195" s="6">
        <f ca="1">$M$195*$Z$195</f>
        <v>2203.3575399999995</v>
      </c>
      <c r="AG195" s="6">
        <f ca="1">$O$195*$AA$195</f>
        <v>2108.0872399999998</v>
      </c>
    </row>
    <row r="196" spans="1:33" ht="11.25" customHeight="1" x14ac:dyDescent="0.25">
      <c r="A196" s="4" t="s">
        <v>21</v>
      </c>
      <c r="B196" s="4" t="s">
        <v>32</v>
      </c>
      <c r="C196" s="4" t="s">
        <v>38</v>
      </c>
      <c r="D196" s="4" t="s">
        <v>40</v>
      </c>
      <c r="E196" s="4" t="s">
        <v>25</v>
      </c>
      <c r="F196" s="4" t="s">
        <v>25</v>
      </c>
      <c r="G196" s="4" t="s">
        <v>25</v>
      </c>
      <c r="H196" s="4" t="s">
        <v>37</v>
      </c>
      <c r="I196" s="5">
        <v>44470</v>
      </c>
      <c r="J196" s="6">
        <v>0</v>
      </c>
      <c r="K196" s="6">
        <v>0</v>
      </c>
      <c r="L196" s="6">
        <v>7.63</v>
      </c>
      <c r="M196" s="6">
        <v>7.63</v>
      </c>
      <c r="N196" s="6">
        <v>7.63</v>
      </c>
      <c r="O196" s="6">
        <v>7.63</v>
      </c>
      <c r="P196" s="6">
        <v>0</v>
      </c>
      <c r="Q196" s="4" t="s">
        <v>26</v>
      </c>
      <c r="R196" s="4">
        <v>0</v>
      </c>
      <c r="S196" s="6">
        <v>0</v>
      </c>
      <c r="T196" s="6">
        <v>45</v>
      </c>
      <c r="U196" s="6">
        <v>83</v>
      </c>
      <c r="V196" s="6">
        <f>IF(ISERROR(VLOOKUP($S$196,'TAR FIN'!$A$1:$O$88,15,0)),0,VLOOKUP($S$196,'TAR FIN'!$A$1:$O$88,15,0))</f>
        <v>0</v>
      </c>
      <c r="W196" s="6">
        <f>IF(ISERROR(VLOOKUP($T$196,'TAR FIN'!$A$1:$O$88,15,0)),0,VLOOKUP($T$196,'TAR FIN'!$A$1:$O$88,15,0))</f>
        <v>0</v>
      </c>
      <c r="X196" s="6">
        <f>IF(ISERROR(VLOOKUP($U$196,'TAR FIN'!$A$1:$O$88,15,0)),0,VLOOKUP($U$196,'TAR FIN'!$A$1:$O$88,15,0))</f>
        <v>0</v>
      </c>
      <c r="Y196" s="6"/>
      <c r="Z196" s="6">
        <f ca="1">('TUSD BE'!$AM$47+'TUSD BF_350'!$AM$47+'TUSD CVA'!$AM$47)*1</f>
        <v>261.33999999999997</v>
      </c>
      <c r="AA196" s="6">
        <f ca="1">('TE BE'!$AB$38+'TE BF_350'!$AB$38+'TE CVA'!$AB$38)*1</f>
        <v>250.04</v>
      </c>
      <c r="AB196" s="6">
        <f>$K$196*$V$196</f>
        <v>0</v>
      </c>
      <c r="AC196" s="6">
        <f>$M$196*$W$196</f>
        <v>0</v>
      </c>
      <c r="AD196" s="6">
        <f>$O$196*$X$196</f>
        <v>0</v>
      </c>
      <c r="AE196" s="6">
        <f>$K$196*$Y$196</f>
        <v>0</v>
      </c>
      <c r="AF196" s="6">
        <f ca="1">$M$196*$Z$196</f>
        <v>1994.0241999999998</v>
      </c>
      <c r="AG196" s="6">
        <f ca="1">$O$196*$AA$196</f>
        <v>1907.8052</v>
      </c>
    </row>
    <row r="197" spans="1:33" ht="11.25" customHeight="1" x14ac:dyDescent="0.25">
      <c r="A197" s="4" t="s">
        <v>21</v>
      </c>
      <c r="B197" s="4" t="s">
        <v>32</v>
      </c>
      <c r="C197" s="4" t="s">
        <v>38</v>
      </c>
      <c r="D197" s="4" t="s">
        <v>40</v>
      </c>
      <c r="E197" s="4" t="s">
        <v>25</v>
      </c>
      <c r="F197" s="4" t="s">
        <v>25</v>
      </c>
      <c r="G197" s="4" t="s">
        <v>25</v>
      </c>
      <c r="H197" s="4" t="s">
        <v>37</v>
      </c>
      <c r="I197" s="5">
        <v>44501</v>
      </c>
      <c r="J197" s="6">
        <v>0</v>
      </c>
      <c r="K197" s="6">
        <v>0</v>
      </c>
      <c r="L197" s="6">
        <v>7.742</v>
      </c>
      <c r="M197" s="6">
        <v>7.742</v>
      </c>
      <c r="N197" s="6">
        <v>7.742</v>
      </c>
      <c r="O197" s="6">
        <v>7.742</v>
      </c>
      <c r="P197" s="6">
        <v>0</v>
      </c>
      <c r="Q197" s="4" t="s">
        <v>26</v>
      </c>
      <c r="R197" s="4">
        <v>0</v>
      </c>
      <c r="S197" s="6">
        <v>0</v>
      </c>
      <c r="T197" s="6">
        <v>45</v>
      </c>
      <c r="U197" s="6">
        <v>83</v>
      </c>
      <c r="V197" s="6">
        <f>IF(ISERROR(VLOOKUP($S$197,'TAR FIN'!$A$1:$O$88,15,0)),0,VLOOKUP($S$197,'TAR FIN'!$A$1:$O$88,15,0))</f>
        <v>0</v>
      </c>
      <c r="W197" s="6">
        <f>IF(ISERROR(VLOOKUP($T$197,'TAR FIN'!$A$1:$O$88,15,0)),0,VLOOKUP($T$197,'TAR FIN'!$A$1:$O$88,15,0))</f>
        <v>0</v>
      </c>
      <c r="X197" s="6">
        <f>IF(ISERROR(VLOOKUP($U$197,'TAR FIN'!$A$1:$O$88,15,0)),0,VLOOKUP($U$197,'TAR FIN'!$A$1:$O$88,15,0))</f>
        <v>0</v>
      </c>
      <c r="Y197" s="6"/>
      <c r="Z197" s="6">
        <f ca="1">('TUSD BE'!$AM$47+'TUSD BF_350'!$AM$47+'TUSD CVA'!$AM$47)*1</f>
        <v>261.33999999999997</v>
      </c>
      <c r="AA197" s="6">
        <f ca="1">('TE BE'!$AB$38+'TE BF_350'!$AB$38+'TE CVA'!$AB$38)*1</f>
        <v>250.04</v>
      </c>
      <c r="AB197" s="6">
        <f>$K$197*$V$197</f>
        <v>0</v>
      </c>
      <c r="AC197" s="6">
        <f>$M$197*$W$197</f>
        <v>0</v>
      </c>
      <c r="AD197" s="6">
        <f>$O$197*$X$197</f>
        <v>0</v>
      </c>
      <c r="AE197" s="6">
        <f>$K$197*$Y$197</f>
        <v>0</v>
      </c>
      <c r="AF197" s="6">
        <f ca="1">$M$197*$Z$197</f>
        <v>2023.2942799999998</v>
      </c>
      <c r="AG197" s="6">
        <f ca="1">$O$197*$AA$197</f>
        <v>1935.8096799999998</v>
      </c>
    </row>
    <row r="198" spans="1:33" ht="11.25" customHeight="1" x14ac:dyDescent="0.25">
      <c r="A198" s="4" t="s">
        <v>21</v>
      </c>
      <c r="B198" s="4" t="s">
        <v>32</v>
      </c>
      <c r="C198" s="4" t="s">
        <v>38</v>
      </c>
      <c r="D198" s="4" t="s">
        <v>40</v>
      </c>
      <c r="E198" s="4" t="s">
        <v>25</v>
      </c>
      <c r="F198" s="4" t="s">
        <v>25</v>
      </c>
      <c r="G198" s="4" t="s">
        <v>25</v>
      </c>
      <c r="H198" s="4" t="s">
        <v>37</v>
      </c>
      <c r="I198" s="5">
        <v>44531</v>
      </c>
      <c r="J198" s="6">
        <v>0</v>
      </c>
      <c r="K198" s="6">
        <v>0</v>
      </c>
      <c r="L198" s="6">
        <v>8.7270000000000003</v>
      </c>
      <c r="M198" s="6">
        <v>8.7270000000000003</v>
      </c>
      <c r="N198" s="6">
        <v>8.7270000000000003</v>
      </c>
      <c r="O198" s="6">
        <v>8.7270000000000003</v>
      </c>
      <c r="P198" s="6">
        <v>0</v>
      </c>
      <c r="Q198" s="4" t="s">
        <v>26</v>
      </c>
      <c r="R198" s="4">
        <v>0</v>
      </c>
      <c r="S198" s="6">
        <v>0</v>
      </c>
      <c r="T198" s="6">
        <v>45</v>
      </c>
      <c r="U198" s="6">
        <v>83</v>
      </c>
      <c r="V198" s="6">
        <f>IF(ISERROR(VLOOKUP($S$198,'TAR FIN'!$A$1:$O$88,15,0)),0,VLOOKUP($S$198,'TAR FIN'!$A$1:$O$88,15,0))</f>
        <v>0</v>
      </c>
      <c r="W198" s="6">
        <f>IF(ISERROR(VLOOKUP($T$198,'TAR FIN'!$A$1:$O$88,15,0)),0,VLOOKUP($T$198,'TAR FIN'!$A$1:$O$88,15,0))</f>
        <v>0</v>
      </c>
      <c r="X198" s="6">
        <f>IF(ISERROR(VLOOKUP($U$198,'TAR FIN'!$A$1:$O$88,15,0)),0,VLOOKUP($U$198,'TAR FIN'!$A$1:$O$88,15,0))</f>
        <v>0</v>
      </c>
      <c r="Y198" s="6"/>
      <c r="Z198" s="6">
        <f ca="1">('TUSD BE'!$AM$47+'TUSD BF_350'!$AM$47+'TUSD CVA'!$AM$47)*1</f>
        <v>261.33999999999997</v>
      </c>
      <c r="AA198" s="6">
        <f ca="1">('TE BE'!$AB$38+'TE BF_350'!$AB$38+'TE CVA'!$AB$38)*1</f>
        <v>250.04</v>
      </c>
      <c r="AB198" s="6">
        <f>$K$198*$V$198</f>
        <v>0</v>
      </c>
      <c r="AC198" s="6">
        <f>$M$198*$W$198</f>
        <v>0</v>
      </c>
      <c r="AD198" s="6">
        <f>$O$198*$X$198</f>
        <v>0</v>
      </c>
      <c r="AE198" s="6">
        <f>$K$198*$Y$198</f>
        <v>0</v>
      </c>
      <c r="AF198" s="6">
        <f ca="1">$M$198*$Z$198</f>
        <v>2280.7141799999999</v>
      </c>
      <c r="AG198" s="6">
        <f ca="1">$O$198*$AA$198</f>
        <v>2182.09908</v>
      </c>
    </row>
    <row r="199" spans="1:33" ht="11.25" customHeight="1" x14ac:dyDescent="0.25">
      <c r="A199" s="4" t="s">
        <v>21</v>
      </c>
      <c r="B199" s="4" t="s">
        <v>32</v>
      </c>
      <c r="C199" s="4" t="s">
        <v>38</v>
      </c>
      <c r="D199" s="4" t="s">
        <v>40</v>
      </c>
      <c r="E199" s="4" t="s">
        <v>25</v>
      </c>
      <c r="F199" s="4" t="s">
        <v>25</v>
      </c>
      <c r="G199" s="4" t="s">
        <v>25</v>
      </c>
      <c r="H199" s="4" t="s">
        <v>37</v>
      </c>
      <c r="I199" s="5">
        <v>44562</v>
      </c>
      <c r="J199" s="6">
        <v>0</v>
      </c>
      <c r="K199" s="6">
        <v>0</v>
      </c>
      <c r="L199" s="6">
        <v>7.1580000000000004</v>
      </c>
      <c r="M199" s="6">
        <v>7.1580000000000004</v>
      </c>
      <c r="N199" s="6">
        <v>7.1580000000000004</v>
      </c>
      <c r="O199" s="6">
        <v>7.1580000000000004</v>
      </c>
      <c r="P199" s="6">
        <v>0</v>
      </c>
      <c r="Q199" s="4" t="s">
        <v>26</v>
      </c>
      <c r="R199" s="4">
        <v>0</v>
      </c>
      <c r="S199" s="6">
        <v>0</v>
      </c>
      <c r="T199" s="6">
        <v>45</v>
      </c>
      <c r="U199" s="6">
        <v>83</v>
      </c>
      <c r="V199" s="6">
        <f>IF(ISERROR(VLOOKUP($S$199,'TAR FIN'!$A$1:$O$88,15,0)),0,VLOOKUP($S$199,'TAR FIN'!$A$1:$O$88,15,0))</f>
        <v>0</v>
      </c>
      <c r="W199" s="6">
        <f>IF(ISERROR(VLOOKUP($T$199,'TAR FIN'!$A$1:$O$88,15,0)),0,VLOOKUP($T$199,'TAR FIN'!$A$1:$O$88,15,0))</f>
        <v>0</v>
      </c>
      <c r="X199" s="6">
        <f>IF(ISERROR(VLOOKUP($U$199,'TAR FIN'!$A$1:$O$88,15,0)),0,VLOOKUP($U$199,'TAR FIN'!$A$1:$O$88,15,0))</f>
        <v>0</v>
      </c>
      <c r="Y199" s="6"/>
      <c r="Z199" s="6">
        <f ca="1">('TUSD BE'!$AM$47+'TUSD BF_350'!$AM$47+'TUSD CVA'!$AM$47)*1</f>
        <v>261.33999999999997</v>
      </c>
      <c r="AA199" s="6">
        <f ca="1">('TE BE'!$AB$38+'TE BF_350'!$AB$38+'TE CVA'!$AB$38)*1</f>
        <v>250.04</v>
      </c>
      <c r="AB199" s="6">
        <f>$K$199*$V$199</f>
        <v>0</v>
      </c>
      <c r="AC199" s="6">
        <f>$M$199*$W$199</f>
        <v>0</v>
      </c>
      <c r="AD199" s="6">
        <f>$O$199*$X$199</f>
        <v>0</v>
      </c>
      <c r="AE199" s="6">
        <f>$K$199*$Y$199</f>
        <v>0</v>
      </c>
      <c r="AF199" s="6">
        <f ca="1">$M$199*$Z$199</f>
        <v>1870.6717199999998</v>
      </c>
      <c r="AG199" s="6">
        <f ca="1">$O$199*$AA$199</f>
        <v>1789.7863199999999</v>
      </c>
    </row>
    <row r="200" spans="1:33" ht="11.25" customHeight="1" x14ac:dyDescent="0.25">
      <c r="A200" s="4" t="s">
        <v>21</v>
      </c>
      <c r="B200" s="4" t="s">
        <v>32</v>
      </c>
      <c r="C200" s="4" t="s">
        <v>38</v>
      </c>
      <c r="D200" s="4" t="s">
        <v>40</v>
      </c>
      <c r="E200" s="4" t="s">
        <v>25</v>
      </c>
      <c r="F200" s="4" t="s">
        <v>25</v>
      </c>
      <c r="G200" s="4" t="s">
        <v>25</v>
      </c>
      <c r="H200" s="4" t="s">
        <v>37</v>
      </c>
      <c r="I200" s="5">
        <v>44593</v>
      </c>
      <c r="J200" s="6">
        <v>0</v>
      </c>
      <c r="K200" s="6">
        <v>0</v>
      </c>
      <c r="L200" s="6">
        <v>9.8309999999999995</v>
      </c>
      <c r="M200" s="6">
        <v>9.8309999999999995</v>
      </c>
      <c r="N200" s="6">
        <v>9.8309999999999995</v>
      </c>
      <c r="O200" s="6">
        <v>9.8309999999999995</v>
      </c>
      <c r="P200" s="6">
        <v>0</v>
      </c>
      <c r="Q200" s="4" t="s">
        <v>26</v>
      </c>
      <c r="R200" s="4">
        <v>0</v>
      </c>
      <c r="S200" s="6">
        <v>0</v>
      </c>
      <c r="T200" s="6">
        <v>45</v>
      </c>
      <c r="U200" s="6">
        <v>83</v>
      </c>
      <c r="V200" s="6">
        <f>IF(ISERROR(VLOOKUP($S$200,'TAR FIN'!$A$1:$O$88,15,0)),0,VLOOKUP($S$200,'TAR FIN'!$A$1:$O$88,15,0))</f>
        <v>0</v>
      </c>
      <c r="W200" s="6">
        <f>IF(ISERROR(VLOOKUP($T$200,'TAR FIN'!$A$1:$O$88,15,0)),0,VLOOKUP($T$200,'TAR FIN'!$A$1:$O$88,15,0))</f>
        <v>0</v>
      </c>
      <c r="X200" s="6">
        <f>IF(ISERROR(VLOOKUP($U$200,'TAR FIN'!$A$1:$O$88,15,0)),0,VLOOKUP($U$200,'TAR FIN'!$A$1:$O$88,15,0))</f>
        <v>0</v>
      </c>
      <c r="Y200" s="6"/>
      <c r="Z200" s="6">
        <f ca="1">('TUSD BE'!$AM$47+'TUSD BF_350'!$AM$47+'TUSD CVA'!$AM$47)*1</f>
        <v>261.33999999999997</v>
      </c>
      <c r="AA200" s="6">
        <f ca="1">('TE BE'!$AB$38+'TE BF_350'!$AB$38+'TE CVA'!$AB$38)*1</f>
        <v>250.04</v>
      </c>
      <c r="AB200" s="6">
        <f>$K$200*$V$200</f>
        <v>0</v>
      </c>
      <c r="AC200" s="6">
        <f>$M$200*$W$200</f>
        <v>0</v>
      </c>
      <c r="AD200" s="6">
        <f>$O$200*$X$200</f>
        <v>0</v>
      </c>
      <c r="AE200" s="6">
        <f>$K$200*$Y$200</f>
        <v>0</v>
      </c>
      <c r="AF200" s="6">
        <f ca="1">$M$200*$Z$200</f>
        <v>2569.2335399999997</v>
      </c>
      <c r="AG200" s="6">
        <f ca="1">$O$200*$AA$200</f>
        <v>2458.1432399999999</v>
      </c>
    </row>
    <row r="201" spans="1:33" ht="11.25" customHeight="1" x14ac:dyDescent="0.25">
      <c r="A201" s="4" t="s">
        <v>21</v>
      </c>
      <c r="B201" s="4" t="s">
        <v>32</v>
      </c>
      <c r="C201" s="4" t="s">
        <v>38</v>
      </c>
      <c r="D201" s="4" t="s">
        <v>40</v>
      </c>
      <c r="E201" s="4" t="s">
        <v>25</v>
      </c>
      <c r="F201" s="4" t="s">
        <v>25</v>
      </c>
      <c r="G201" s="4" t="s">
        <v>25</v>
      </c>
      <c r="H201" s="4" t="s">
        <v>37</v>
      </c>
      <c r="I201" s="5">
        <v>44621</v>
      </c>
      <c r="J201" s="6">
        <v>0</v>
      </c>
      <c r="K201" s="6">
        <v>0</v>
      </c>
      <c r="L201" s="6">
        <v>10.012</v>
      </c>
      <c r="M201" s="6">
        <v>10.012</v>
      </c>
      <c r="N201" s="6">
        <v>10.012</v>
      </c>
      <c r="O201" s="6">
        <v>10.012</v>
      </c>
      <c r="P201" s="6">
        <v>0</v>
      </c>
      <c r="Q201" s="4" t="s">
        <v>26</v>
      </c>
      <c r="R201" s="4">
        <v>0</v>
      </c>
      <c r="S201" s="6">
        <v>0</v>
      </c>
      <c r="T201" s="6">
        <v>45</v>
      </c>
      <c r="U201" s="6">
        <v>83</v>
      </c>
      <c r="V201" s="6">
        <f>IF(ISERROR(VLOOKUP($S$201,'TAR FIN'!$A$1:$O$88,15,0)),0,VLOOKUP($S$201,'TAR FIN'!$A$1:$O$88,15,0))</f>
        <v>0</v>
      </c>
      <c r="W201" s="6">
        <f>IF(ISERROR(VLOOKUP($T$201,'TAR FIN'!$A$1:$O$88,15,0)),0,VLOOKUP($T$201,'TAR FIN'!$A$1:$O$88,15,0))</f>
        <v>0</v>
      </c>
      <c r="X201" s="6">
        <f>IF(ISERROR(VLOOKUP($U$201,'TAR FIN'!$A$1:$O$88,15,0)),0,VLOOKUP($U$201,'TAR FIN'!$A$1:$O$88,15,0))</f>
        <v>0</v>
      </c>
      <c r="Y201" s="6"/>
      <c r="Z201" s="6">
        <f ca="1">('TUSD BE'!$AM$47+'TUSD BF_350'!$AM$47+'TUSD CVA'!$AM$47)*1</f>
        <v>261.33999999999997</v>
      </c>
      <c r="AA201" s="6">
        <f ca="1">('TE BE'!$AB$38+'TE BF_350'!$AB$38+'TE CVA'!$AB$38)*1</f>
        <v>250.04</v>
      </c>
      <c r="AB201" s="6">
        <f>$K$201*$V$201</f>
        <v>0</v>
      </c>
      <c r="AC201" s="6">
        <f>$M$201*$W$201</f>
        <v>0</v>
      </c>
      <c r="AD201" s="6">
        <f>$O$201*$X$201</f>
        <v>0</v>
      </c>
      <c r="AE201" s="6">
        <f>$K$201*$Y$201</f>
        <v>0</v>
      </c>
      <c r="AF201" s="6">
        <f ca="1">$M$201*$Z$201</f>
        <v>2616.5360799999999</v>
      </c>
      <c r="AG201" s="6">
        <f ca="1">$O$201*$AA$201</f>
        <v>2503.4004800000002</v>
      </c>
    </row>
    <row r="202" spans="1:33" ht="11.25" customHeight="1" x14ac:dyDescent="0.25">
      <c r="A202" s="4" t="s">
        <v>21</v>
      </c>
      <c r="B202" s="4" t="s">
        <v>32</v>
      </c>
      <c r="C202" s="4" t="s">
        <v>38</v>
      </c>
      <c r="D202" s="4" t="s">
        <v>40</v>
      </c>
      <c r="E202" s="4" t="s">
        <v>25</v>
      </c>
      <c r="F202" s="4" t="s">
        <v>25</v>
      </c>
      <c r="G202" s="4" t="s">
        <v>25</v>
      </c>
      <c r="H202" s="4" t="s">
        <v>37</v>
      </c>
      <c r="I202" s="5">
        <v>44652</v>
      </c>
      <c r="J202" s="6">
        <v>0</v>
      </c>
      <c r="K202" s="6">
        <v>0</v>
      </c>
      <c r="L202" s="6">
        <v>10.441000000000001</v>
      </c>
      <c r="M202" s="6">
        <v>10.441000000000001</v>
      </c>
      <c r="N202" s="6">
        <v>10.441000000000001</v>
      </c>
      <c r="O202" s="6">
        <v>10.441000000000001</v>
      </c>
      <c r="P202" s="6">
        <v>0</v>
      </c>
      <c r="Q202" s="4" t="s">
        <v>26</v>
      </c>
      <c r="R202" s="4">
        <v>0</v>
      </c>
      <c r="S202" s="6">
        <v>0</v>
      </c>
      <c r="T202" s="6">
        <v>45</v>
      </c>
      <c r="U202" s="6">
        <v>83</v>
      </c>
      <c r="V202" s="6">
        <f>IF(ISERROR(VLOOKUP($S$202,'TAR FIN'!$A$1:$O$88,15,0)),0,VLOOKUP($S$202,'TAR FIN'!$A$1:$O$88,15,0))</f>
        <v>0</v>
      </c>
      <c r="W202" s="6">
        <f>IF(ISERROR(VLOOKUP($T$202,'TAR FIN'!$A$1:$O$88,15,0)),0,VLOOKUP($T$202,'TAR FIN'!$A$1:$O$88,15,0))</f>
        <v>0</v>
      </c>
      <c r="X202" s="6">
        <f>IF(ISERROR(VLOOKUP($U$202,'TAR FIN'!$A$1:$O$88,15,0)),0,VLOOKUP($U$202,'TAR FIN'!$A$1:$O$88,15,0))</f>
        <v>0</v>
      </c>
      <c r="Y202" s="6"/>
      <c r="Z202" s="6">
        <f ca="1">('TUSD BE'!$AM$47+'TUSD BF_350'!$AM$47+'TUSD CVA'!$AM$47)*1</f>
        <v>261.33999999999997</v>
      </c>
      <c r="AA202" s="6">
        <f ca="1">('TE BE'!$AB$38+'TE BF_350'!$AB$38+'TE CVA'!$AB$38)*1</f>
        <v>250.04</v>
      </c>
      <c r="AB202" s="6">
        <f>$K$202*$V$202</f>
        <v>0</v>
      </c>
      <c r="AC202" s="6">
        <f>$M$202*$W$202</f>
        <v>0</v>
      </c>
      <c r="AD202" s="6">
        <f>$O$202*$X$202</f>
        <v>0</v>
      </c>
      <c r="AE202" s="6">
        <f>$K$202*$Y$202</f>
        <v>0</v>
      </c>
      <c r="AF202" s="6">
        <f ca="1">$M$202*$Z$202</f>
        <v>2728.65094</v>
      </c>
      <c r="AG202" s="6">
        <f ca="1">$O$202*$AA$202</f>
        <v>2610.6676400000001</v>
      </c>
    </row>
    <row r="203" spans="1:33" ht="11.25" customHeight="1" x14ac:dyDescent="0.25">
      <c r="A203" s="4" t="s">
        <v>21</v>
      </c>
      <c r="B203" s="4" t="s">
        <v>32</v>
      </c>
      <c r="C203" s="4" t="s">
        <v>38</v>
      </c>
      <c r="D203" s="4" t="s">
        <v>40</v>
      </c>
      <c r="E203" s="4" t="s">
        <v>25</v>
      </c>
      <c r="F203" s="4" t="s">
        <v>25</v>
      </c>
      <c r="G203" s="4" t="s">
        <v>25</v>
      </c>
      <c r="H203" s="4" t="s">
        <v>37</v>
      </c>
      <c r="I203" s="5">
        <v>44682</v>
      </c>
      <c r="J203" s="6">
        <v>0</v>
      </c>
      <c r="K203" s="6">
        <v>0</v>
      </c>
      <c r="L203" s="6">
        <v>7.8769999999999998</v>
      </c>
      <c r="M203" s="6">
        <v>7.8769999999999998</v>
      </c>
      <c r="N203" s="6">
        <v>7.8769999999999998</v>
      </c>
      <c r="O203" s="6">
        <v>7.8769999999999998</v>
      </c>
      <c r="P203" s="6">
        <v>0</v>
      </c>
      <c r="Q203" s="4" t="s">
        <v>26</v>
      </c>
      <c r="R203" s="4">
        <v>0</v>
      </c>
      <c r="S203" s="6">
        <v>0</v>
      </c>
      <c r="T203" s="6">
        <v>45</v>
      </c>
      <c r="U203" s="6">
        <v>83</v>
      </c>
      <c r="V203" s="6">
        <f>IF(ISERROR(VLOOKUP($S$203,'TAR FIN'!$A$1:$O$88,15,0)),0,VLOOKUP($S$203,'TAR FIN'!$A$1:$O$88,15,0))</f>
        <v>0</v>
      </c>
      <c r="W203" s="6">
        <f>IF(ISERROR(VLOOKUP($T$203,'TAR FIN'!$A$1:$O$88,15,0)),0,VLOOKUP($T$203,'TAR FIN'!$A$1:$O$88,15,0))</f>
        <v>0</v>
      </c>
      <c r="X203" s="6">
        <f>IF(ISERROR(VLOOKUP($U$203,'TAR FIN'!$A$1:$O$88,15,0)),0,VLOOKUP($U$203,'TAR FIN'!$A$1:$O$88,15,0))</f>
        <v>0</v>
      </c>
      <c r="Y203" s="6"/>
      <c r="Z203" s="6">
        <f ca="1">('TUSD BE'!$AM$47+'TUSD BF_350'!$AM$47+'TUSD CVA'!$AM$47)*1</f>
        <v>261.33999999999997</v>
      </c>
      <c r="AA203" s="6">
        <f ca="1">('TE BE'!$AB$38+'TE BF_350'!$AB$38+'TE CVA'!$AB$38)*1</f>
        <v>250.04</v>
      </c>
      <c r="AB203" s="6">
        <f>$K$203*$V$203</f>
        <v>0</v>
      </c>
      <c r="AC203" s="6">
        <f>$M$203*$W$203</f>
        <v>0</v>
      </c>
      <c r="AD203" s="6">
        <f>$O$203*$X$203</f>
        <v>0</v>
      </c>
      <c r="AE203" s="6">
        <f>$K$203*$Y$203</f>
        <v>0</v>
      </c>
      <c r="AF203" s="6">
        <f ca="1">$M$203*$Z$203</f>
        <v>2058.5751799999998</v>
      </c>
      <c r="AG203" s="6">
        <f ca="1">$O$203*$AA$203</f>
        <v>1969.5650799999999</v>
      </c>
    </row>
    <row r="204" spans="1:33" ht="11.25" customHeight="1" x14ac:dyDescent="0.25">
      <c r="A204" s="4" t="s">
        <v>21</v>
      </c>
      <c r="B204" s="4" t="s">
        <v>32</v>
      </c>
      <c r="C204" s="4" t="s">
        <v>38</v>
      </c>
      <c r="D204" s="4" t="s">
        <v>40</v>
      </c>
      <c r="E204" s="4" t="s">
        <v>25</v>
      </c>
      <c r="F204" s="4" t="s">
        <v>25</v>
      </c>
      <c r="G204" s="4" t="s">
        <v>25</v>
      </c>
      <c r="H204" s="4" t="s">
        <v>37</v>
      </c>
      <c r="I204" s="5">
        <v>44713</v>
      </c>
      <c r="J204" s="6">
        <v>0</v>
      </c>
      <c r="K204" s="6">
        <v>0</v>
      </c>
      <c r="L204" s="6">
        <v>7.9480000000000004</v>
      </c>
      <c r="M204" s="6">
        <v>7.9480000000000004</v>
      </c>
      <c r="N204" s="6">
        <v>7.9480000000000004</v>
      </c>
      <c r="O204" s="6">
        <v>7.9480000000000004</v>
      </c>
      <c r="P204" s="6">
        <v>0</v>
      </c>
      <c r="Q204" s="4" t="s">
        <v>26</v>
      </c>
      <c r="R204" s="4">
        <v>0</v>
      </c>
      <c r="S204" s="6">
        <v>0</v>
      </c>
      <c r="T204" s="6">
        <v>45</v>
      </c>
      <c r="U204" s="6">
        <v>83</v>
      </c>
      <c r="V204" s="6">
        <f>IF(ISERROR(VLOOKUP($S$204,'TAR FIN'!$A$1:$O$88,15,0)),0,VLOOKUP($S$204,'TAR FIN'!$A$1:$O$88,15,0))</f>
        <v>0</v>
      </c>
      <c r="W204" s="6">
        <f>IF(ISERROR(VLOOKUP($T$204,'TAR FIN'!$A$1:$O$88,15,0)),0,VLOOKUP($T$204,'TAR FIN'!$A$1:$O$88,15,0))</f>
        <v>0</v>
      </c>
      <c r="X204" s="6">
        <f>IF(ISERROR(VLOOKUP($U$204,'TAR FIN'!$A$1:$O$88,15,0)),0,VLOOKUP($U$204,'TAR FIN'!$A$1:$O$88,15,0))</f>
        <v>0</v>
      </c>
      <c r="Y204" s="6"/>
      <c r="Z204" s="6">
        <f ca="1">('TUSD BE'!$AM$47+'TUSD BF_350'!$AM$47+'TUSD CVA'!$AM$47)*1</f>
        <v>261.33999999999997</v>
      </c>
      <c r="AA204" s="6">
        <f ca="1">('TE BE'!$AB$38+'TE BF_350'!$AB$38+'TE CVA'!$AB$38)*1</f>
        <v>250.04</v>
      </c>
      <c r="AB204" s="6">
        <f>$K$204*$V$204</f>
        <v>0</v>
      </c>
      <c r="AC204" s="6">
        <f>$M$204*$W$204</f>
        <v>0</v>
      </c>
      <c r="AD204" s="6">
        <f>$O$204*$X$204</f>
        <v>0</v>
      </c>
      <c r="AE204" s="6">
        <f>$K$204*$Y$204</f>
        <v>0</v>
      </c>
      <c r="AF204" s="6">
        <f ca="1">$M$204*$Z$204</f>
        <v>2077.1303199999998</v>
      </c>
      <c r="AG204" s="6">
        <f ca="1">$O$204*$AA$204</f>
        <v>1987.31792</v>
      </c>
    </row>
    <row r="205" spans="1:33" ht="11.25" customHeight="1" x14ac:dyDescent="0.25">
      <c r="A205" s="4" t="s">
        <v>21</v>
      </c>
      <c r="B205" s="4" t="s">
        <v>32</v>
      </c>
      <c r="C205" s="4" t="s">
        <v>38</v>
      </c>
      <c r="D205" s="4" t="s">
        <v>40</v>
      </c>
      <c r="E205" s="4" t="s">
        <v>25</v>
      </c>
      <c r="F205" s="4" t="s">
        <v>25</v>
      </c>
      <c r="G205" s="4" t="s">
        <v>25</v>
      </c>
      <c r="H205" s="4" t="s">
        <v>37</v>
      </c>
      <c r="I205" s="5">
        <v>44743</v>
      </c>
      <c r="J205" s="6">
        <v>0</v>
      </c>
      <c r="K205" s="6">
        <v>0</v>
      </c>
      <c r="L205" s="6">
        <v>7.3920000000000003</v>
      </c>
      <c r="M205" s="6">
        <v>7.3920000000000003</v>
      </c>
      <c r="N205" s="6">
        <v>7.3920000000000003</v>
      </c>
      <c r="O205" s="6">
        <v>7.3920000000000003</v>
      </c>
      <c r="P205" s="6">
        <v>0</v>
      </c>
      <c r="Q205" s="4" t="s">
        <v>26</v>
      </c>
      <c r="R205" s="4">
        <v>0</v>
      </c>
      <c r="S205" s="6">
        <v>0</v>
      </c>
      <c r="T205" s="6">
        <v>45</v>
      </c>
      <c r="U205" s="6">
        <v>83</v>
      </c>
      <c r="V205" s="6">
        <f>IF(ISERROR(VLOOKUP($S$205,'TAR FIN'!$A$1:$O$88,15,0)),0,VLOOKUP($S$205,'TAR FIN'!$A$1:$O$88,15,0))</f>
        <v>0</v>
      </c>
      <c r="W205" s="6">
        <f>IF(ISERROR(VLOOKUP($T$205,'TAR FIN'!$A$1:$O$88,15,0)),0,VLOOKUP($T$205,'TAR FIN'!$A$1:$O$88,15,0))</f>
        <v>0</v>
      </c>
      <c r="X205" s="6">
        <f>IF(ISERROR(VLOOKUP($U$205,'TAR FIN'!$A$1:$O$88,15,0)),0,VLOOKUP($U$205,'TAR FIN'!$A$1:$O$88,15,0))</f>
        <v>0</v>
      </c>
      <c r="Y205" s="6"/>
      <c r="Z205" s="6">
        <f ca="1">('TUSD BE'!$AM$47+'TUSD BF_350'!$AM$47+'TUSD CVA'!$AM$47)*1</f>
        <v>261.33999999999997</v>
      </c>
      <c r="AA205" s="6">
        <f ca="1">('TE BE'!$AB$38+'TE BF_350'!$AB$38+'TE CVA'!$AB$38)*1</f>
        <v>250.04</v>
      </c>
      <c r="AB205" s="6">
        <f>$K$205*$V$205</f>
        <v>0</v>
      </c>
      <c r="AC205" s="6">
        <f>$M$205*$W$205</f>
        <v>0</v>
      </c>
      <c r="AD205" s="6">
        <f>$O$205*$X$205</f>
        <v>0</v>
      </c>
      <c r="AE205" s="6">
        <f>$K$205*$Y$205</f>
        <v>0</v>
      </c>
      <c r="AF205" s="6">
        <f ca="1">$M$205*$Z$205</f>
        <v>1931.8252799999998</v>
      </c>
      <c r="AG205" s="6">
        <f ca="1">$O$205*$AA$205</f>
        <v>1848.2956799999999</v>
      </c>
    </row>
    <row r="206" spans="1:33" ht="11.25" customHeight="1" x14ac:dyDescent="0.25">
      <c r="A206" s="4" t="s">
        <v>21</v>
      </c>
      <c r="B206" s="4" t="s">
        <v>32</v>
      </c>
      <c r="C206" s="4" t="s">
        <v>38</v>
      </c>
      <c r="D206" s="4" t="s">
        <v>40</v>
      </c>
      <c r="E206" s="4" t="s">
        <v>25</v>
      </c>
      <c r="F206" s="4" t="s">
        <v>25</v>
      </c>
      <c r="G206" s="4" t="s">
        <v>25</v>
      </c>
      <c r="H206" s="4" t="s">
        <v>39</v>
      </c>
      <c r="I206" s="5">
        <v>44409</v>
      </c>
      <c r="J206" s="6">
        <v>0</v>
      </c>
      <c r="K206" s="6">
        <v>0</v>
      </c>
      <c r="L206" s="6">
        <v>0.38200000000000001</v>
      </c>
      <c r="M206" s="6">
        <v>0.38200000000000001</v>
      </c>
      <c r="N206" s="6">
        <v>0.38200000000000001</v>
      </c>
      <c r="O206" s="6">
        <v>0.38200000000000001</v>
      </c>
      <c r="P206" s="6">
        <v>0</v>
      </c>
      <c r="Q206" s="4" t="s">
        <v>26</v>
      </c>
      <c r="R206" s="4">
        <v>0</v>
      </c>
      <c r="S206" s="6">
        <v>0</v>
      </c>
      <c r="T206" s="6">
        <v>44</v>
      </c>
      <c r="U206" s="6">
        <v>82</v>
      </c>
      <c r="V206" s="6">
        <f>IF(ISERROR(VLOOKUP($S$206,'TAR FIN'!$A$1:$O$88,15,0)),0,VLOOKUP($S$206,'TAR FIN'!$A$1:$O$88,15,0))</f>
        <v>0</v>
      </c>
      <c r="W206" s="6">
        <f>IF(ISERROR(VLOOKUP($T$206,'TAR FIN'!$A$1:$O$88,15,0)),0,VLOOKUP($T$206,'TAR FIN'!$A$1:$O$88,15,0))</f>
        <v>0</v>
      </c>
      <c r="X206" s="6">
        <f>IF(ISERROR(VLOOKUP($U$206,'TAR FIN'!$A$1:$O$88,15,0)),0,VLOOKUP($U$206,'TAR FIN'!$A$1:$O$88,15,0))</f>
        <v>0</v>
      </c>
      <c r="Y206" s="6"/>
      <c r="Z206" s="6">
        <f ca="1">('TUSD BE'!$AM$46+'TUSD BF_350'!$AM$46+'TUSD CVA'!$AM$46)*1</f>
        <v>470.22000000000008</v>
      </c>
      <c r="AA206" s="6">
        <f ca="1">('TE BE'!$AB$37+'TE BF_350'!$AB$37+'TE CVA'!$AB$37)*1</f>
        <v>250.04</v>
      </c>
      <c r="AB206" s="6">
        <f>$K$206*$V$206</f>
        <v>0</v>
      </c>
      <c r="AC206" s="6">
        <f>$M$206*$W$206</f>
        <v>0</v>
      </c>
      <c r="AD206" s="6">
        <f>$O$206*$X$206</f>
        <v>0</v>
      </c>
      <c r="AE206" s="6">
        <f>$K$206*$Y$206</f>
        <v>0</v>
      </c>
      <c r="AF206" s="6">
        <f ca="1">$M$206*$Z$206</f>
        <v>179.62404000000004</v>
      </c>
      <c r="AG206" s="6">
        <f ca="1">$O$206*$AA$206</f>
        <v>95.515280000000004</v>
      </c>
    </row>
    <row r="207" spans="1:33" ht="11.25" customHeight="1" x14ac:dyDescent="0.25">
      <c r="A207" s="4" t="s">
        <v>21</v>
      </c>
      <c r="B207" s="4" t="s">
        <v>32</v>
      </c>
      <c r="C207" s="4" t="s">
        <v>38</v>
      </c>
      <c r="D207" s="4" t="s">
        <v>40</v>
      </c>
      <c r="E207" s="4" t="s">
        <v>25</v>
      </c>
      <c r="F207" s="4" t="s">
        <v>25</v>
      </c>
      <c r="G207" s="4" t="s">
        <v>25</v>
      </c>
      <c r="H207" s="4" t="s">
        <v>39</v>
      </c>
      <c r="I207" s="5">
        <v>44440</v>
      </c>
      <c r="J207" s="6">
        <v>0</v>
      </c>
      <c r="K207" s="6">
        <v>0</v>
      </c>
      <c r="L207" s="6">
        <v>0.318</v>
      </c>
      <c r="M207" s="6">
        <v>0.318</v>
      </c>
      <c r="N207" s="6">
        <v>0.318</v>
      </c>
      <c r="O207" s="6">
        <v>0.318</v>
      </c>
      <c r="P207" s="6">
        <v>0</v>
      </c>
      <c r="Q207" s="4" t="s">
        <v>26</v>
      </c>
      <c r="R207" s="4">
        <v>0</v>
      </c>
      <c r="S207" s="6">
        <v>0</v>
      </c>
      <c r="T207" s="6">
        <v>44</v>
      </c>
      <c r="U207" s="6">
        <v>82</v>
      </c>
      <c r="V207" s="6">
        <f>IF(ISERROR(VLOOKUP($S$207,'TAR FIN'!$A$1:$O$88,15,0)),0,VLOOKUP($S$207,'TAR FIN'!$A$1:$O$88,15,0))</f>
        <v>0</v>
      </c>
      <c r="W207" s="6">
        <f>IF(ISERROR(VLOOKUP($T$207,'TAR FIN'!$A$1:$O$88,15,0)),0,VLOOKUP($T$207,'TAR FIN'!$A$1:$O$88,15,0))</f>
        <v>0</v>
      </c>
      <c r="X207" s="6">
        <f>IF(ISERROR(VLOOKUP($U$207,'TAR FIN'!$A$1:$O$88,15,0)),0,VLOOKUP($U$207,'TAR FIN'!$A$1:$O$88,15,0))</f>
        <v>0</v>
      </c>
      <c r="Y207" s="6"/>
      <c r="Z207" s="6">
        <f ca="1">('TUSD BE'!$AM$46+'TUSD BF_350'!$AM$46+'TUSD CVA'!$AM$46)*1</f>
        <v>470.22000000000008</v>
      </c>
      <c r="AA207" s="6">
        <f ca="1">('TE BE'!$AB$37+'TE BF_350'!$AB$37+'TE CVA'!$AB$37)*1</f>
        <v>250.04</v>
      </c>
      <c r="AB207" s="6">
        <f>$K$207*$V$207</f>
        <v>0</v>
      </c>
      <c r="AC207" s="6">
        <f>$M$207*$W$207</f>
        <v>0</v>
      </c>
      <c r="AD207" s="6">
        <f>$O$207*$X$207</f>
        <v>0</v>
      </c>
      <c r="AE207" s="6">
        <f>$K$207*$Y$207</f>
        <v>0</v>
      </c>
      <c r="AF207" s="6">
        <f ca="1">$M$207*$Z$207</f>
        <v>149.52996000000002</v>
      </c>
      <c r="AG207" s="6">
        <f ca="1">$O$207*$AA$207</f>
        <v>79.512720000000002</v>
      </c>
    </row>
    <row r="208" spans="1:33" ht="11.25" customHeight="1" x14ac:dyDescent="0.25">
      <c r="A208" s="4" t="s">
        <v>21</v>
      </c>
      <c r="B208" s="4" t="s">
        <v>32</v>
      </c>
      <c r="C208" s="4" t="s">
        <v>38</v>
      </c>
      <c r="D208" s="4" t="s">
        <v>40</v>
      </c>
      <c r="E208" s="4" t="s">
        <v>25</v>
      </c>
      <c r="F208" s="4" t="s">
        <v>25</v>
      </c>
      <c r="G208" s="4" t="s">
        <v>25</v>
      </c>
      <c r="H208" s="4" t="s">
        <v>39</v>
      </c>
      <c r="I208" s="5">
        <v>44470</v>
      </c>
      <c r="J208" s="6">
        <v>0</v>
      </c>
      <c r="K208" s="6">
        <v>0</v>
      </c>
      <c r="L208" s="6">
        <v>0.28100000000000003</v>
      </c>
      <c r="M208" s="6">
        <v>0.28100000000000003</v>
      </c>
      <c r="N208" s="6">
        <v>0.28100000000000003</v>
      </c>
      <c r="O208" s="6">
        <v>0.28100000000000003</v>
      </c>
      <c r="P208" s="6">
        <v>0</v>
      </c>
      <c r="Q208" s="4" t="s">
        <v>26</v>
      </c>
      <c r="R208" s="4">
        <v>0</v>
      </c>
      <c r="S208" s="6">
        <v>0</v>
      </c>
      <c r="T208" s="6">
        <v>44</v>
      </c>
      <c r="U208" s="6">
        <v>82</v>
      </c>
      <c r="V208" s="6">
        <f>IF(ISERROR(VLOOKUP($S$208,'TAR FIN'!$A$1:$O$88,15,0)),0,VLOOKUP($S$208,'TAR FIN'!$A$1:$O$88,15,0))</f>
        <v>0</v>
      </c>
      <c r="W208" s="6">
        <f>IF(ISERROR(VLOOKUP($T$208,'TAR FIN'!$A$1:$O$88,15,0)),0,VLOOKUP($T$208,'TAR FIN'!$A$1:$O$88,15,0))</f>
        <v>0</v>
      </c>
      <c r="X208" s="6">
        <f>IF(ISERROR(VLOOKUP($U$208,'TAR FIN'!$A$1:$O$88,15,0)),0,VLOOKUP($U$208,'TAR FIN'!$A$1:$O$88,15,0))</f>
        <v>0</v>
      </c>
      <c r="Y208" s="6"/>
      <c r="Z208" s="6">
        <f ca="1">('TUSD BE'!$AM$46+'TUSD BF_350'!$AM$46+'TUSD CVA'!$AM$46)*1</f>
        <v>470.22000000000008</v>
      </c>
      <c r="AA208" s="6">
        <f ca="1">('TE BE'!$AB$37+'TE BF_350'!$AB$37+'TE CVA'!$AB$37)*1</f>
        <v>250.04</v>
      </c>
      <c r="AB208" s="6">
        <f>$K$208*$V$208</f>
        <v>0</v>
      </c>
      <c r="AC208" s="6">
        <f>$M$208*$W$208</f>
        <v>0</v>
      </c>
      <c r="AD208" s="6">
        <f>$O$208*$X$208</f>
        <v>0</v>
      </c>
      <c r="AE208" s="6">
        <f>$K$208*$Y$208</f>
        <v>0</v>
      </c>
      <c r="AF208" s="6">
        <f ca="1">$M$208*$Z$208</f>
        <v>132.13182000000003</v>
      </c>
      <c r="AG208" s="6">
        <f ca="1">$O$208*$AA$208</f>
        <v>70.261240000000001</v>
      </c>
    </row>
    <row r="209" spans="1:33" ht="11.25" customHeight="1" x14ac:dyDescent="0.25">
      <c r="A209" s="4" t="s">
        <v>21</v>
      </c>
      <c r="B209" s="4" t="s">
        <v>32</v>
      </c>
      <c r="C209" s="4" t="s">
        <v>38</v>
      </c>
      <c r="D209" s="4" t="s">
        <v>40</v>
      </c>
      <c r="E209" s="4" t="s">
        <v>25</v>
      </c>
      <c r="F209" s="4" t="s">
        <v>25</v>
      </c>
      <c r="G209" s="4" t="s">
        <v>25</v>
      </c>
      <c r="H209" s="4" t="s">
        <v>39</v>
      </c>
      <c r="I209" s="5">
        <v>44501</v>
      </c>
      <c r="J209" s="6">
        <v>0</v>
      </c>
      <c r="K209" s="6">
        <v>0</v>
      </c>
      <c r="L209" s="6">
        <v>0.29799999999999999</v>
      </c>
      <c r="M209" s="6">
        <v>0.29799999999999999</v>
      </c>
      <c r="N209" s="6">
        <v>0.29799999999999999</v>
      </c>
      <c r="O209" s="6">
        <v>0.29799999999999999</v>
      </c>
      <c r="P209" s="6">
        <v>0</v>
      </c>
      <c r="Q209" s="4" t="s">
        <v>26</v>
      </c>
      <c r="R209" s="4">
        <v>0</v>
      </c>
      <c r="S209" s="6">
        <v>0</v>
      </c>
      <c r="T209" s="6">
        <v>44</v>
      </c>
      <c r="U209" s="6">
        <v>82</v>
      </c>
      <c r="V209" s="6">
        <f>IF(ISERROR(VLOOKUP($S$209,'TAR FIN'!$A$1:$O$88,15,0)),0,VLOOKUP($S$209,'TAR FIN'!$A$1:$O$88,15,0))</f>
        <v>0</v>
      </c>
      <c r="W209" s="6">
        <f>IF(ISERROR(VLOOKUP($T$209,'TAR FIN'!$A$1:$O$88,15,0)),0,VLOOKUP($T$209,'TAR FIN'!$A$1:$O$88,15,0))</f>
        <v>0</v>
      </c>
      <c r="X209" s="6">
        <f>IF(ISERROR(VLOOKUP($U$209,'TAR FIN'!$A$1:$O$88,15,0)),0,VLOOKUP($U$209,'TAR FIN'!$A$1:$O$88,15,0))</f>
        <v>0</v>
      </c>
      <c r="Y209" s="6"/>
      <c r="Z209" s="6">
        <f ca="1">('TUSD BE'!$AM$46+'TUSD BF_350'!$AM$46+'TUSD CVA'!$AM$46)*1</f>
        <v>470.22000000000008</v>
      </c>
      <c r="AA209" s="6">
        <f ca="1">('TE BE'!$AB$37+'TE BF_350'!$AB$37+'TE CVA'!$AB$37)*1</f>
        <v>250.04</v>
      </c>
      <c r="AB209" s="6">
        <f>$K$209*$V$209</f>
        <v>0</v>
      </c>
      <c r="AC209" s="6">
        <f>$M$209*$W$209</f>
        <v>0</v>
      </c>
      <c r="AD209" s="6">
        <f>$O$209*$X$209</f>
        <v>0</v>
      </c>
      <c r="AE209" s="6">
        <f>$K$209*$Y$209</f>
        <v>0</v>
      </c>
      <c r="AF209" s="6">
        <f ca="1">$M$209*$Z$209</f>
        <v>140.12556000000001</v>
      </c>
      <c r="AG209" s="6">
        <f ca="1">$O$209*$AA$209</f>
        <v>74.511919999999989</v>
      </c>
    </row>
    <row r="210" spans="1:33" ht="11.25" customHeight="1" x14ac:dyDescent="0.25">
      <c r="A210" s="4" t="s">
        <v>21</v>
      </c>
      <c r="B210" s="4" t="s">
        <v>32</v>
      </c>
      <c r="C210" s="4" t="s">
        <v>38</v>
      </c>
      <c r="D210" s="4" t="s">
        <v>40</v>
      </c>
      <c r="E210" s="4" t="s">
        <v>25</v>
      </c>
      <c r="F210" s="4" t="s">
        <v>25</v>
      </c>
      <c r="G210" s="4" t="s">
        <v>25</v>
      </c>
      <c r="H210" s="4" t="s">
        <v>39</v>
      </c>
      <c r="I210" s="5">
        <v>44531</v>
      </c>
      <c r="J210" s="6">
        <v>0</v>
      </c>
      <c r="K210" s="6">
        <v>0</v>
      </c>
      <c r="L210" s="6">
        <v>0.375</v>
      </c>
      <c r="M210" s="6">
        <v>0.375</v>
      </c>
      <c r="N210" s="6">
        <v>0.375</v>
      </c>
      <c r="O210" s="6">
        <v>0.375</v>
      </c>
      <c r="P210" s="6">
        <v>0</v>
      </c>
      <c r="Q210" s="4" t="s">
        <v>26</v>
      </c>
      <c r="R210" s="4">
        <v>0</v>
      </c>
      <c r="S210" s="6">
        <v>0</v>
      </c>
      <c r="T210" s="6">
        <v>44</v>
      </c>
      <c r="U210" s="6">
        <v>82</v>
      </c>
      <c r="V210" s="6">
        <f>IF(ISERROR(VLOOKUP($S$210,'TAR FIN'!$A$1:$O$88,15,0)),0,VLOOKUP($S$210,'TAR FIN'!$A$1:$O$88,15,0))</f>
        <v>0</v>
      </c>
      <c r="W210" s="6">
        <f>IF(ISERROR(VLOOKUP($T$210,'TAR FIN'!$A$1:$O$88,15,0)),0,VLOOKUP($T$210,'TAR FIN'!$A$1:$O$88,15,0))</f>
        <v>0</v>
      </c>
      <c r="X210" s="6">
        <f>IF(ISERROR(VLOOKUP($U$210,'TAR FIN'!$A$1:$O$88,15,0)),0,VLOOKUP($U$210,'TAR FIN'!$A$1:$O$88,15,0))</f>
        <v>0</v>
      </c>
      <c r="Y210" s="6"/>
      <c r="Z210" s="6">
        <f ca="1">('TUSD BE'!$AM$46+'TUSD BF_350'!$AM$46+'TUSD CVA'!$AM$46)*1</f>
        <v>470.22000000000008</v>
      </c>
      <c r="AA210" s="6">
        <f ca="1">('TE BE'!$AB$37+'TE BF_350'!$AB$37+'TE CVA'!$AB$37)*1</f>
        <v>250.04</v>
      </c>
      <c r="AB210" s="6">
        <f>$K$210*$V$210</f>
        <v>0</v>
      </c>
      <c r="AC210" s="6">
        <f>$M$210*$W$210</f>
        <v>0</v>
      </c>
      <c r="AD210" s="6">
        <f>$O$210*$X$210</f>
        <v>0</v>
      </c>
      <c r="AE210" s="6">
        <f>$K$210*$Y$210</f>
        <v>0</v>
      </c>
      <c r="AF210" s="6">
        <f ca="1">$M$210*$Z$210</f>
        <v>176.33250000000004</v>
      </c>
      <c r="AG210" s="6">
        <f ca="1">$O$210*$AA$210</f>
        <v>93.765000000000001</v>
      </c>
    </row>
    <row r="211" spans="1:33" ht="11.25" customHeight="1" x14ac:dyDescent="0.25">
      <c r="A211" s="4" t="s">
        <v>21</v>
      </c>
      <c r="B211" s="4" t="s">
        <v>32</v>
      </c>
      <c r="C211" s="4" t="s">
        <v>38</v>
      </c>
      <c r="D211" s="4" t="s">
        <v>40</v>
      </c>
      <c r="E211" s="4" t="s">
        <v>25</v>
      </c>
      <c r="F211" s="4" t="s">
        <v>25</v>
      </c>
      <c r="G211" s="4" t="s">
        <v>25</v>
      </c>
      <c r="H211" s="4" t="s">
        <v>39</v>
      </c>
      <c r="I211" s="5">
        <v>44562</v>
      </c>
      <c r="J211" s="6">
        <v>0</v>
      </c>
      <c r="K211" s="6">
        <v>0</v>
      </c>
      <c r="L211" s="6">
        <v>0.34100000000000003</v>
      </c>
      <c r="M211" s="6">
        <v>0.34100000000000003</v>
      </c>
      <c r="N211" s="6">
        <v>0.34100000000000003</v>
      </c>
      <c r="O211" s="6">
        <v>0.34100000000000003</v>
      </c>
      <c r="P211" s="6">
        <v>0</v>
      </c>
      <c r="Q211" s="4" t="s">
        <v>26</v>
      </c>
      <c r="R211" s="4">
        <v>0</v>
      </c>
      <c r="S211" s="6">
        <v>0</v>
      </c>
      <c r="T211" s="6">
        <v>44</v>
      </c>
      <c r="U211" s="6">
        <v>82</v>
      </c>
      <c r="V211" s="6">
        <f>IF(ISERROR(VLOOKUP($S$211,'TAR FIN'!$A$1:$O$88,15,0)),0,VLOOKUP($S$211,'TAR FIN'!$A$1:$O$88,15,0))</f>
        <v>0</v>
      </c>
      <c r="W211" s="6">
        <f>IF(ISERROR(VLOOKUP($T$211,'TAR FIN'!$A$1:$O$88,15,0)),0,VLOOKUP($T$211,'TAR FIN'!$A$1:$O$88,15,0))</f>
        <v>0</v>
      </c>
      <c r="X211" s="6">
        <f>IF(ISERROR(VLOOKUP($U$211,'TAR FIN'!$A$1:$O$88,15,0)),0,VLOOKUP($U$211,'TAR FIN'!$A$1:$O$88,15,0))</f>
        <v>0</v>
      </c>
      <c r="Y211" s="6"/>
      <c r="Z211" s="6">
        <f ca="1">('TUSD BE'!$AM$46+'TUSD BF_350'!$AM$46+'TUSD CVA'!$AM$46)*1</f>
        <v>470.22000000000008</v>
      </c>
      <c r="AA211" s="6">
        <f ca="1">('TE BE'!$AB$37+'TE BF_350'!$AB$37+'TE CVA'!$AB$37)*1</f>
        <v>250.04</v>
      </c>
      <c r="AB211" s="6">
        <f>$K$211*$V$211</f>
        <v>0</v>
      </c>
      <c r="AC211" s="6">
        <f>$M$211*$W$211</f>
        <v>0</v>
      </c>
      <c r="AD211" s="6">
        <f>$O$211*$X$211</f>
        <v>0</v>
      </c>
      <c r="AE211" s="6">
        <f>$K$211*$Y$211</f>
        <v>0</v>
      </c>
      <c r="AF211" s="6">
        <f ca="1">$M$211*$Z$211</f>
        <v>160.34502000000003</v>
      </c>
      <c r="AG211" s="6">
        <f ca="1">$O$211*$AA$211</f>
        <v>85.263640000000009</v>
      </c>
    </row>
    <row r="212" spans="1:33" ht="11.25" customHeight="1" x14ac:dyDescent="0.25">
      <c r="A212" s="4" t="s">
        <v>21</v>
      </c>
      <c r="B212" s="4" t="s">
        <v>32</v>
      </c>
      <c r="C212" s="4" t="s">
        <v>38</v>
      </c>
      <c r="D212" s="4" t="s">
        <v>40</v>
      </c>
      <c r="E212" s="4" t="s">
        <v>25</v>
      </c>
      <c r="F212" s="4" t="s">
        <v>25</v>
      </c>
      <c r="G212" s="4" t="s">
        <v>25</v>
      </c>
      <c r="H212" s="4" t="s">
        <v>39</v>
      </c>
      <c r="I212" s="5">
        <v>44593</v>
      </c>
      <c r="J212" s="6">
        <v>0</v>
      </c>
      <c r="K212" s="6">
        <v>0</v>
      </c>
      <c r="L212" s="6">
        <v>0.36</v>
      </c>
      <c r="M212" s="6">
        <v>0.36</v>
      </c>
      <c r="N212" s="6">
        <v>0.36</v>
      </c>
      <c r="O212" s="6">
        <v>0.36</v>
      </c>
      <c r="P212" s="6">
        <v>0</v>
      </c>
      <c r="Q212" s="4" t="s">
        <v>26</v>
      </c>
      <c r="R212" s="4">
        <v>0</v>
      </c>
      <c r="S212" s="6">
        <v>0</v>
      </c>
      <c r="T212" s="6">
        <v>44</v>
      </c>
      <c r="U212" s="6">
        <v>82</v>
      </c>
      <c r="V212" s="6">
        <f>IF(ISERROR(VLOOKUP($S$212,'TAR FIN'!$A$1:$O$88,15,0)),0,VLOOKUP($S$212,'TAR FIN'!$A$1:$O$88,15,0))</f>
        <v>0</v>
      </c>
      <c r="W212" s="6">
        <f>IF(ISERROR(VLOOKUP($T$212,'TAR FIN'!$A$1:$O$88,15,0)),0,VLOOKUP($T$212,'TAR FIN'!$A$1:$O$88,15,0))</f>
        <v>0</v>
      </c>
      <c r="X212" s="6">
        <f>IF(ISERROR(VLOOKUP($U$212,'TAR FIN'!$A$1:$O$88,15,0)),0,VLOOKUP($U$212,'TAR FIN'!$A$1:$O$88,15,0))</f>
        <v>0</v>
      </c>
      <c r="Y212" s="6"/>
      <c r="Z212" s="6">
        <f ca="1">('TUSD BE'!$AM$46+'TUSD BF_350'!$AM$46+'TUSD CVA'!$AM$46)*1</f>
        <v>470.22000000000008</v>
      </c>
      <c r="AA212" s="6">
        <f ca="1">('TE BE'!$AB$37+'TE BF_350'!$AB$37+'TE CVA'!$AB$37)*1</f>
        <v>250.04</v>
      </c>
      <c r="AB212" s="6">
        <f>$K$212*$V$212</f>
        <v>0</v>
      </c>
      <c r="AC212" s="6">
        <f>$M$212*$W$212</f>
        <v>0</v>
      </c>
      <c r="AD212" s="6">
        <f>$O$212*$X$212</f>
        <v>0</v>
      </c>
      <c r="AE212" s="6">
        <f>$K$212*$Y$212</f>
        <v>0</v>
      </c>
      <c r="AF212" s="6">
        <f ca="1">$M$212*$Z$212</f>
        <v>169.27920000000003</v>
      </c>
      <c r="AG212" s="6">
        <f ca="1">$O$212*$AA$212</f>
        <v>90.014399999999995</v>
      </c>
    </row>
    <row r="213" spans="1:33" ht="11.25" customHeight="1" x14ac:dyDescent="0.25">
      <c r="A213" s="4" t="s">
        <v>21</v>
      </c>
      <c r="B213" s="4" t="s">
        <v>32</v>
      </c>
      <c r="C213" s="4" t="s">
        <v>38</v>
      </c>
      <c r="D213" s="4" t="s">
        <v>40</v>
      </c>
      <c r="E213" s="4" t="s">
        <v>25</v>
      </c>
      <c r="F213" s="4" t="s">
        <v>25</v>
      </c>
      <c r="G213" s="4" t="s">
        <v>25</v>
      </c>
      <c r="H213" s="4" t="s">
        <v>39</v>
      </c>
      <c r="I213" s="5">
        <v>44621</v>
      </c>
      <c r="J213" s="6">
        <v>0</v>
      </c>
      <c r="K213" s="6">
        <v>0</v>
      </c>
      <c r="L213" s="6">
        <v>0.32100000000000001</v>
      </c>
      <c r="M213" s="6">
        <v>0.32100000000000001</v>
      </c>
      <c r="N213" s="6">
        <v>0.32100000000000001</v>
      </c>
      <c r="O213" s="6">
        <v>0.32100000000000001</v>
      </c>
      <c r="P213" s="6">
        <v>0</v>
      </c>
      <c r="Q213" s="4" t="s">
        <v>26</v>
      </c>
      <c r="R213" s="4">
        <v>0</v>
      </c>
      <c r="S213" s="6">
        <v>0</v>
      </c>
      <c r="T213" s="6">
        <v>44</v>
      </c>
      <c r="U213" s="6">
        <v>82</v>
      </c>
      <c r="V213" s="6">
        <f>IF(ISERROR(VLOOKUP($S$213,'TAR FIN'!$A$1:$O$88,15,0)),0,VLOOKUP($S$213,'TAR FIN'!$A$1:$O$88,15,0))</f>
        <v>0</v>
      </c>
      <c r="W213" s="6">
        <f>IF(ISERROR(VLOOKUP($T$213,'TAR FIN'!$A$1:$O$88,15,0)),0,VLOOKUP($T$213,'TAR FIN'!$A$1:$O$88,15,0))</f>
        <v>0</v>
      </c>
      <c r="X213" s="6">
        <f>IF(ISERROR(VLOOKUP($U$213,'TAR FIN'!$A$1:$O$88,15,0)),0,VLOOKUP($U$213,'TAR FIN'!$A$1:$O$88,15,0))</f>
        <v>0</v>
      </c>
      <c r="Y213" s="6"/>
      <c r="Z213" s="6">
        <f ca="1">('TUSD BE'!$AM$46+'TUSD BF_350'!$AM$46+'TUSD CVA'!$AM$46)*1</f>
        <v>470.22000000000008</v>
      </c>
      <c r="AA213" s="6">
        <f ca="1">('TE BE'!$AB$37+'TE BF_350'!$AB$37+'TE CVA'!$AB$37)*1</f>
        <v>250.04</v>
      </c>
      <c r="AB213" s="6">
        <f>$K$213*$V$213</f>
        <v>0</v>
      </c>
      <c r="AC213" s="6">
        <f>$M$213*$W$213</f>
        <v>0</v>
      </c>
      <c r="AD213" s="6">
        <f>$O$213*$X$213</f>
        <v>0</v>
      </c>
      <c r="AE213" s="6">
        <f>$K$213*$Y$213</f>
        <v>0</v>
      </c>
      <c r="AF213" s="6">
        <f ca="1">$M$213*$Z$213</f>
        <v>150.94062000000002</v>
      </c>
      <c r="AG213" s="6">
        <f ca="1">$O$213*$AA$213</f>
        <v>80.262839999999997</v>
      </c>
    </row>
    <row r="214" spans="1:33" ht="11.25" customHeight="1" x14ac:dyDescent="0.25">
      <c r="A214" s="4" t="s">
        <v>21</v>
      </c>
      <c r="B214" s="4" t="s">
        <v>32</v>
      </c>
      <c r="C214" s="4" t="s">
        <v>38</v>
      </c>
      <c r="D214" s="4" t="s">
        <v>40</v>
      </c>
      <c r="E214" s="4" t="s">
        <v>25</v>
      </c>
      <c r="F214" s="4" t="s">
        <v>25</v>
      </c>
      <c r="G214" s="4" t="s">
        <v>25</v>
      </c>
      <c r="H214" s="4" t="s">
        <v>39</v>
      </c>
      <c r="I214" s="5">
        <v>44652</v>
      </c>
      <c r="J214" s="6">
        <v>0</v>
      </c>
      <c r="K214" s="6">
        <v>0</v>
      </c>
      <c r="L214" s="6">
        <v>0.26300000000000001</v>
      </c>
      <c r="M214" s="6">
        <v>0.26300000000000001</v>
      </c>
      <c r="N214" s="6">
        <v>0.26300000000000001</v>
      </c>
      <c r="O214" s="6">
        <v>0.26300000000000001</v>
      </c>
      <c r="P214" s="6">
        <v>0</v>
      </c>
      <c r="Q214" s="4" t="s">
        <v>26</v>
      </c>
      <c r="R214" s="4">
        <v>0</v>
      </c>
      <c r="S214" s="6">
        <v>0</v>
      </c>
      <c r="T214" s="6">
        <v>44</v>
      </c>
      <c r="U214" s="6">
        <v>82</v>
      </c>
      <c r="V214" s="6">
        <f>IF(ISERROR(VLOOKUP($S$214,'TAR FIN'!$A$1:$O$88,15,0)),0,VLOOKUP($S$214,'TAR FIN'!$A$1:$O$88,15,0))</f>
        <v>0</v>
      </c>
      <c r="W214" s="6">
        <f>IF(ISERROR(VLOOKUP($T$214,'TAR FIN'!$A$1:$O$88,15,0)),0,VLOOKUP($T$214,'TAR FIN'!$A$1:$O$88,15,0))</f>
        <v>0</v>
      </c>
      <c r="X214" s="6">
        <f>IF(ISERROR(VLOOKUP($U$214,'TAR FIN'!$A$1:$O$88,15,0)),0,VLOOKUP($U$214,'TAR FIN'!$A$1:$O$88,15,0))</f>
        <v>0</v>
      </c>
      <c r="Y214" s="6"/>
      <c r="Z214" s="6">
        <f ca="1">('TUSD BE'!$AM$46+'TUSD BF_350'!$AM$46+'TUSD CVA'!$AM$46)*1</f>
        <v>470.22000000000008</v>
      </c>
      <c r="AA214" s="6">
        <f ca="1">('TE BE'!$AB$37+'TE BF_350'!$AB$37+'TE CVA'!$AB$37)*1</f>
        <v>250.04</v>
      </c>
      <c r="AB214" s="6">
        <f>$K$214*$V$214</f>
        <v>0</v>
      </c>
      <c r="AC214" s="6">
        <f>$M$214*$W$214</f>
        <v>0</v>
      </c>
      <c r="AD214" s="6">
        <f>$O$214*$X$214</f>
        <v>0</v>
      </c>
      <c r="AE214" s="6">
        <f>$K$214*$Y$214</f>
        <v>0</v>
      </c>
      <c r="AF214" s="6">
        <f ca="1">$M$214*$Z$214</f>
        <v>123.66786000000003</v>
      </c>
      <c r="AG214" s="6">
        <f ca="1">$O$214*$AA$214</f>
        <v>65.76052</v>
      </c>
    </row>
    <row r="215" spans="1:33" ht="11.25" customHeight="1" x14ac:dyDescent="0.25">
      <c r="A215" s="4" t="s">
        <v>21</v>
      </c>
      <c r="B215" s="4" t="s">
        <v>32</v>
      </c>
      <c r="C215" s="4" t="s">
        <v>38</v>
      </c>
      <c r="D215" s="4" t="s">
        <v>40</v>
      </c>
      <c r="E215" s="4" t="s">
        <v>25</v>
      </c>
      <c r="F215" s="4" t="s">
        <v>25</v>
      </c>
      <c r="G215" s="4" t="s">
        <v>25</v>
      </c>
      <c r="H215" s="4" t="s">
        <v>39</v>
      </c>
      <c r="I215" s="5">
        <v>44682</v>
      </c>
      <c r="J215" s="6">
        <v>0</v>
      </c>
      <c r="K215" s="6">
        <v>0</v>
      </c>
      <c r="L215" s="6">
        <v>0.19600000000000001</v>
      </c>
      <c r="M215" s="6">
        <v>0.19600000000000001</v>
      </c>
      <c r="N215" s="6">
        <v>0.19600000000000001</v>
      </c>
      <c r="O215" s="6">
        <v>0.19600000000000001</v>
      </c>
      <c r="P215" s="6">
        <v>0</v>
      </c>
      <c r="Q215" s="4" t="s">
        <v>26</v>
      </c>
      <c r="R215" s="4">
        <v>0</v>
      </c>
      <c r="S215" s="6">
        <v>0</v>
      </c>
      <c r="T215" s="6">
        <v>44</v>
      </c>
      <c r="U215" s="6">
        <v>82</v>
      </c>
      <c r="V215" s="6">
        <f>IF(ISERROR(VLOOKUP($S$215,'TAR FIN'!$A$1:$O$88,15,0)),0,VLOOKUP($S$215,'TAR FIN'!$A$1:$O$88,15,0))</f>
        <v>0</v>
      </c>
      <c r="W215" s="6">
        <f>IF(ISERROR(VLOOKUP($T$215,'TAR FIN'!$A$1:$O$88,15,0)),0,VLOOKUP($T$215,'TAR FIN'!$A$1:$O$88,15,0))</f>
        <v>0</v>
      </c>
      <c r="X215" s="6">
        <f>IF(ISERROR(VLOOKUP($U$215,'TAR FIN'!$A$1:$O$88,15,0)),0,VLOOKUP($U$215,'TAR FIN'!$A$1:$O$88,15,0))</f>
        <v>0</v>
      </c>
      <c r="Y215" s="6"/>
      <c r="Z215" s="6">
        <f ca="1">('TUSD BE'!$AM$46+'TUSD BF_350'!$AM$46+'TUSD CVA'!$AM$46)*1</f>
        <v>470.22000000000008</v>
      </c>
      <c r="AA215" s="6">
        <f ca="1">('TE BE'!$AB$37+'TE BF_350'!$AB$37+'TE CVA'!$AB$37)*1</f>
        <v>250.04</v>
      </c>
      <c r="AB215" s="6">
        <f>$K$215*$V$215</f>
        <v>0</v>
      </c>
      <c r="AC215" s="6">
        <f>$M$215*$W$215</f>
        <v>0</v>
      </c>
      <c r="AD215" s="6">
        <f>$O$215*$X$215</f>
        <v>0</v>
      </c>
      <c r="AE215" s="6">
        <f>$K$215*$Y$215</f>
        <v>0</v>
      </c>
      <c r="AF215" s="6">
        <f ca="1">$M$215*$Z$215</f>
        <v>92.163120000000021</v>
      </c>
      <c r="AG215" s="6">
        <f ca="1">$O$215*$AA$215</f>
        <v>49.007840000000002</v>
      </c>
    </row>
    <row r="216" spans="1:33" ht="11.25" customHeight="1" x14ac:dyDescent="0.25">
      <c r="A216" s="4" t="s">
        <v>21</v>
      </c>
      <c r="B216" s="4" t="s">
        <v>32</v>
      </c>
      <c r="C216" s="4" t="s">
        <v>38</v>
      </c>
      <c r="D216" s="4" t="s">
        <v>40</v>
      </c>
      <c r="E216" s="4" t="s">
        <v>25</v>
      </c>
      <c r="F216" s="4" t="s">
        <v>25</v>
      </c>
      <c r="G216" s="4" t="s">
        <v>25</v>
      </c>
      <c r="H216" s="4" t="s">
        <v>39</v>
      </c>
      <c r="I216" s="5">
        <v>44713</v>
      </c>
      <c r="J216" s="6">
        <v>0</v>
      </c>
      <c r="K216" s="6">
        <v>0</v>
      </c>
      <c r="L216" s="6">
        <v>0.17599999999999999</v>
      </c>
      <c r="M216" s="6">
        <v>0.17599999999999999</v>
      </c>
      <c r="N216" s="6">
        <v>0.17599999999999999</v>
      </c>
      <c r="O216" s="6">
        <v>0.17599999999999999</v>
      </c>
      <c r="P216" s="6">
        <v>0</v>
      </c>
      <c r="Q216" s="4" t="s">
        <v>26</v>
      </c>
      <c r="R216" s="4">
        <v>0</v>
      </c>
      <c r="S216" s="6">
        <v>0</v>
      </c>
      <c r="T216" s="6">
        <v>44</v>
      </c>
      <c r="U216" s="6">
        <v>82</v>
      </c>
      <c r="V216" s="6">
        <f>IF(ISERROR(VLOOKUP($S$216,'TAR FIN'!$A$1:$O$88,15,0)),0,VLOOKUP($S$216,'TAR FIN'!$A$1:$O$88,15,0))</f>
        <v>0</v>
      </c>
      <c r="W216" s="6">
        <f>IF(ISERROR(VLOOKUP($T$216,'TAR FIN'!$A$1:$O$88,15,0)),0,VLOOKUP($T$216,'TAR FIN'!$A$1:$O$88,15,0))</f>
        <v>0</v>
      </c>
      <c r="X216" s="6">
        <f>IF(ISERROR(VLOOKUP($U$216,'TAR FIN'!$A$1:$O$88,15,0)),0,VLOOKUP($U$216,'TAR FIN'!$A$1:$O$88,15,0))</f>
        <v>0</v>
      </c>
      <c r="Y216" s="6"/>
      <c r="Z216" s="6">
        <f ca="1">('TUSD BE'!$AM$46+'TUSD BF_350'!$AM$46+'TUSD CVA'!$AM$46)*1</f>
        <v>470.22000000000008</v>
      </c>
      <c r="AA216" s="6">
        <f ca="1">('TE BE'!$AB$37+'TE BF_350'!$AB$37+'TE CVA'!$AB$37)*1</f>
        <v>250.04</v>
      </c>
      <c r="AB216" s="6">
        <f>$K$216*$V$216</f>
        <v>0</v>
      </c>
      <c r="AC216" s="6">
        <f>$M$216*$W$216</f>
        <v>0</v>
      </c>
      <c r="AD216" s="6">
        <f>$O$216*$X$216</f>
        <v>0</v>
      </c>
      <c r="AE216" s="6">
        <f>$K$216*$Y$216</f>
        <v>0</v>
      </c>
      <c r="AF216" s="6">
        <f ca="1">$M$216*$Z$216</f>
        <v>82.758720000000011</v>
      </c>
      <c r="AG216" s="6">
        <f ca="1">$O$216*$AA$216</f>
        <v>44.007039999999996</v>
      </c>
    </row>
    <row r="217" spans="1:33" ht="11.25" customHeight="1" x14ac:dyDescent="0.25">
      <c r="A217" s="4" t="s">
        <v>21</v>
      </c>
      <c r="B217" s="4" t="s">
        <v>32</v>
      </c>
      <c r="C217" s="4" t="s">
        <v>38</v>
      </c>
      <c r="D217" s="4" t="s">
        <v>40</v>
      </c>
      <c r="E217" s="4" t="s">
        <v>25</v>
      </c>
      <c r="F217" s="4" t="s">
        <v>25</v>
      </c>
      <c r="G217" s="4" t="s">
        <v>25</v>
      </c>
      <c r="H217" s="4" t="s">
        <v>39</v>
      </c>
      <c r="I217" s="5">
        <v>44743</v>
      </c>
      <c r="J217" s="6">
        <v>0</v>
      </c>
      <c r="K217" s="6">
        <v>0</v>
      </c>
      <c r="L217" s="6">
        <v>0.183</v>
      </c>
      <c r="M217" s="6">
        <v>0.183</v>
      </c>
      <c r="N217" s="6">
        <v>0.183</v>
      </c>
      <c r="O217" s="6">
        <v>0.183</v>
      </c>
      <c r="P217" s="6">
        <v>0</v>
      </c>
      <c r="Q217" s="4" t="s">
        <v>26</v>
      </c>
      <c r="R217" s="4">
        <v>0</v>
      </c>
      <c r="S217" s="6">
        <v>0</v>
      </c>
      <c r="T217" s="6">
        <v>44</v>
      </c>
      <c r="U217" s="6">
        <v>82</v>
      </c>
      <c r="V217" s="6">
        <f>IF(ISERROR(VLOOKUP($S$217,'TAR FIN'!$A$1:$O$88,15,0)),0,VLOOKUP($S$217,'TAR FIN'!$A$1:$O$88,15,0))</f>
        <v>0</v>
      </c>
      <c r="W217" s="6">
        <f>IF(ISERROR(VLOOKUP($T$217,'TAR FIN'!$A$1:$O$88,15,0)),0,VLOOKUP($T$217,'TAR FIN'!$A$1:$O$88,15,0))</f>
        <v>0</v>
      </c>
      <c r="X217" s="6">
        <f>IF(ISERROR(VLOOKUP($U$217,'TAR FIN'!$A$1:$O$88,15,0)),0,VLOOKUP($U$217,'TAR FIN'!$A$1:$O$88,15,0))</f>
        <v>0</v>
      </c>
      <c r="Y217" s="6"/>
      <c r="Z217" s="6">
        <f ca="1">('TUSD BE'!$AM$46+'TUSD BF_350'!$AM$46+'TUSD CVA'!$AM$46)*1</f>
        <v>470.22000000000008</v>
      </c>
      <c r="AA217" s="6">
        <f ca="1">('TE BE'!$AB$37+'TE BF_350'!$AB$37+'TE CVA'!$AB$37)*1</f>
        <v>250.04</v>
      </c>
      <c r="AB217" s="6">
        <f>$K$217*$V$217</f>
        <v>0</v>
      </c>
      <c r="AC217" s="6">
        <f>$M$217*$W$217</f>
        <v>0</v>
      </c>
      <c r="AD217" s="6">
        <f>$O$217*$X$217</f>
        <v>0</v>
      </c>
      <c r="AE217" s="6">
        <f>$K$217*$Y$217</f>
        <v>0</v>
      </c>
      <c r="AF217" s="6">
        <f ca="1">$M$217*$Z$217</f>
        <v>86.050260000000009</v>
      </c>
      <c r="AG217" s="6">
        <f ca="1">$O$217*$AA$217</f>
        <v>45.75732</v>
      </c>
    </row>
    <row r="218" spans="1:33" ht="11.25" customHeight="1" x14ac:dyDescent="0.25">
      <c r="A218" s="4" t="s">
        <v>21</v>
      </c>
      <c r="B218" s="4" t="s">
        <v>32</v>
      </c>
      <c r="C218" s="4" t="s">
        <v>38</v>
      </c>
      <c r="D218" s="4" t="s">
        <v>40</v>
      </c>
      <c r="E218" s="4" t="s">
        <v>25</v>
      </c>
      <c r="F218" s="4" t="s">
        <v>25</v>
      </c>
      <c r="G218" s="4" t="s">
        <v>25</v>
      </c>
      <c r="H218" s="4" t="s">
        <v>36</v>
      </c>
      <c r="I218" s="5">
        <v>44409</v>
      </c>
      <c r="J218" s="6">
        <v>0</v>
      </c>
      <c r="K218" s="6">
        <v>0</v>
      </c>
      <c r="L218" s="6">
        <v>0.73499999999999999</v>
      </c>
      <c r="M218" s="6">
        <v>0.73499999999999999</v>
      </c>
      <c r="N218" s="6">
        <v>0.73499999999999999</v>
      </c>
      <c r="O218" s="6">
        <v>0.73499999999999999</v>
      </c>
      <c r="P218" s="6">
        <v>0</v>
      </c>
      <c r="Q218" s="4" t="s">
        <v>26</v>
      </c>
      <c r="R218" s="4">
        <v>0</v>
      </c>
      <c r="S218" s="6">
        <v>0</v>
      </c>
      <c r="T218" s="6">
        <v>43</v>
      </c>
      <c r="U218" s="6">
        <v>81</v>
      </c>
      <c r="V218" s="6">
        <f>IF(ISERROR(VLOOKUP($S$218,'TAR FIN'!$A$1:$O$88,15,0)),0,VLOOKUP($S$218,'TAR FIN'!$A$1:$O$88,15,0))</f>
        <v>0</v>
      </c>
      <c r="W218" s="6">
        <f>IF(ISERROR(VLOOKUP($T$218,'TAR FIN'!$A$1:$O$88,15,0)),0,VLOOKUP($T$218,'TAR FIN'!$A$1:$O$88,15,0))</f>
        <v>0</v>
      </c>
      <c r="X218" s="6">
        <f>IF(ISERROR(VLOOKUP($U$218,'TAR FIN'!$A$1:$O$88,15,0)),0,VLOOKUP($U$218,'TAR FIN'!$A$1:$O$88,15,0))</f>
        <v>0</v>
      </c>
      <c r="Y218" s="6"/>
      <c r="Z218" s="6">
        <f ca="1">('TUSD BE'!$AM$45+'TUSD BF_350'!$AM$45+'TUSD CVA'!$AM$45)*1</f>
        <v>679.11</v>
      </c>
      <c r="AA218" s="6">
        <f ca="1">('TE BE'!$AB$36+'TE BF_350'!$AB$36+'TE CVA'!$AB$36)*1</f>
        <v>399.84</v>
      </c>
      <c r="AB218" s="6">
        <f>$K$218*$V$218</f>
        <v>0</v>
      </c>
      <c r="AC218" s="6">
        <f>$M$218*$W$218</f>
        <v>0</v>
      </c>
      <c r="AD218" s="6">
        <f>$O$218*$X$218</f>
        <v>0</v>
      </c>
      <c r="AE218" s="6">
        <f>$K$218*$Y$218</f>
        <v>0</v>
      </c>
      <c r="AF218" s="6">
        <f ca="1">$M$218*$Z$218</f>
        <v>499.14585</v>
      </c>
      <c r="AG218" s="6">
        <f ca="1">$O$218*$AA$218</f>
        <v>293.88239999999996</v>
      </c>
    </row>
    <row r="219" spans="1:33" ht="11.25" customHeight="1" x14ac:dyDescent="0.25">
      <c r="A219" s="4" t="s">
        <v>21</v>
      </c>
      <c r="B219" s="4" t="s">
        <v>32</v>
      </c>
      <c r="C219" s="4" t="s">
        <v>38</v>
      </c>
      <c r="D219" s="4" t="s">
        <v>40</v>
      </c>
      <c r="E219" s="4" t="s">
        <v>25</v>
      </c>
      <c r="F219" s="4" t="s">
        <v>25</v>
      </c>
      <c r="G219" s="4" t="s">
        <v>25</v>
      </c>
      <c r="H219" s="4" t="s">
        <v>36</v>
      </c>
      <c r="I219" s="5">
        <v>44440</v>
      </c>
      <c r="J219" s="6">
        <v>0</v>
      </c>
      <c r="K219" s="6">
        <v>0</v>
      </c>
      <c r="L219" s="6">
        <v>0.53100000000000003</v>
      </c>
      <c r="M219" s="6">
        <v>0.53100000000000003</v>
      </c>
      <c r="N219" s="6">
        <v>0.53100000000000003</v>
      </c>
      <c r="O219" s="6">
        <v>0.53100000000000003</v>
      </c>
      <c r="P219" s="6">
        <v>0</v>
      </c>
      <c r="Q219" s="4" t="s">
        <v>26</v>
      </c>
      <c r="R219" s="4">
        <v>0</v>
      </c>
      <c r="S219" s="6">
        <v>0</v>
      </c>
      <c r="T219" s="6">
        <v>43</v>
      </c>
      <c r="U219" s="6">
        <v>81</v>
      </c>
      <c r="V219" s="6">
        <f>IF(ISERROR(VLOOKUP($S$219,'TAR FIN'!$A$1:$O$88,15,0)),0,VLOOKUP($S$219,'TAR FIN'!$A$1:$O$88,15,0))</f>
        <v>0</v>
      </c>
      <c r="W219" s="6">
        <f>IF(ISERROR(VLOOKUP($T$219,'TAR FIN'!$A$1:$O$88,15,0)),0,VLOOKUP($T$219,'TAR FIN'!$A$1:$O$88,15,0))</f>
        <v>0</v>
      </c>
      <c r="X219" s="6">
        <f>IF(ISERROR(VLOOKUP($U$219,'TAR FIN'!$A$1:$O$88,15,0)),0,VLOOKUP($U$219,'TAR FIN'!$A$1:$O$88,15,0))</f>
        <v>0</v>
      </c>
      <c r="Y219" s="6"/>
      <c r="Z219" s="6">
        <f ca="1">('TUSD BE'!$AM$45+'TUSD BF_350'!$AM$45+'TUSD CVA'!$AM$45)*1</f>
        <v>679.11</v>
      </c>
      <c r="AA219" s="6">
        <f ca="1">('TE BE'!$AB$36+'TE BF_350'!$AB$36+'TE CVA'!$AB$36)*1</f>
        <v>399.84</v>
      </c>
      <c r="AB219" s="6">
        <f>$K$219*$V$219</f>
        <v>0</v>
      </c>
      <c r="AC219" s="6">
        <f>$M$219*$W$219</f>
        <v>0</v>
      </c>
      <c r="AD219" s="6">
        <f>$O$219*$X$219</f>
        <v>0</v>
      </c>
      <c r="AE219" s="6">
        <f>$K$219*$Y$219</f>
        <v>0</v>
      </c>
      <c r="AF219" s="6">
        <f ca="1">$M$219*$Z$219</f>
        <v>360.60741000000002</v>
      </c>
      <c r="AG219" s="6">
        <f ca="1">$O$219*$AA$219</f>
        <v>212.31504000000001</v>
      </c>
    </row>
    <row r="220" spans="1:33" ht="11.25" customHeight="1" x14ac:dyDescent="0.25">
      <c r="A220" s="4" t="s">
        <v>21</v>
      </c>
      <c r="B220" s="4" t="s">
        <v>32</v>
      </c>
      <c r="C220" s="4" t="s">
        <v>38</v>
      </c>
      <c r="D220" s="4" t="s">
        <v>40</v>
      </c>
      <c r="E220" s="4" t="s">
        <v>25</v>
      </c>
      <c r="F220" s="4" t="s">
        <v>25</v>
      </c>
      <c r="G220" s="4" t="s">
        <v>25</v>
      </c>
      <c r="H220" s="4" t="s">
        <v>36</v>
      </c>
      <c r="I220" s="5">
        <v>44470</v>
      </c>
      <c r="J220" s="6">
        <v>0</v>
      </c>
      <c r="K220" s="6">
        <v>0</v>
      </c>
      <c r="L220" s="6">
        <v>0.46300000000000002</v>
      </c>
      <c r="M220" s="6">
        <v>0.46300000000000002</v>
      </c>
      <c r="N220" s="6">
        <v>0.46300000000000002</v>
      </c>
      <c r="O220" s="6">
        <v>0.46300000000000002</v>
      </c>
      <c r="P220" s="6">
        <v>0</v>
      </c>
      <c r="Q220" s="4" t="s">
        <v>26</v>
      </c>
      <c r="R220" s="4">
        <v>0</v>
      </c>
      <c r="S220" s="6">
        <v>0</v>
      </c>
      <c r="T220" s="6">
        <v>43</v>
      </c>
      <c r="U220" s="6">
        <v>81</v>
      </c>
      <c r="V220" s="6">
        <f>IF(ISERROR(VLOOKUP($S$220,'TAR FIN'!$A$1:$O$88,15,0)),0,VLOOKUP($S$220,'TAR FIN'!$A$1:$O$88,15,0))</f>
        <v>0</v>
      </c>
      <c r="W220" s="6">
        <f>IF(ISERROR(VLOOKUP($T$220,'TAR FIN'!$A$1:$O$88,15,0)),0,VLOOKUP($T$220,'TAR FIN'!$A$1:$O$88,15,0))</f>
        <v>0</v>
      </c>
      <c r="X220" s="6">
        <f>IF(ISERROR(VLOOKUP($U$220,'TAR FIN'!$A$1:$O$88,15,0)),0,VLOOKUP($U$220,'TAR FIN'!$A$1:$O$88,15,0))</f>
        <v>0</v>
      </c>
      <c r="Y220" s="6"/>
      <c r="Z220" s="6">
        <f ca="1">('TUSD BE'!$AM$45+'TUSD BF_350'!$AM$45+'TUSD CVA'!$AM$45)*1</f>
        <v>679.11</v>
      </c>
      <c r="AA220" s="6">
        <f ca="1">('TE BE'!$AB$36+'TE BF_350'!$AB$36+'TE CVA'!$AB$36)*1</f>
        <v>399.84</v>
      </c>
      <c r="AB220" s="6">
        <f>$K$220*$V$220</f>
        <v>0</v>
      </c>
      <c r="AC220" s="6">
        <f>$M$220*$W$220</f>
        <v>0</v>
      </c>
      <c r="AD220" s="6">
        <f>$O$220*$X$220</f>
        <v>0</v>
      </c>
      <c r="AE220" s="6">
        <f>$K$220*$Y$220</f>
        <v>0</v>
      </c>
      <c r="AF220" s="6">
        <f ca="1">$M$220*$Z$220</f>
        <v>314.42793</v>
      </c>
      <c r="AG220" s="6">
        <f ca="1">$O$220*$AA$220</f>
        <v>185.12592000000001</v>
      </c>
    </row>
    <row r="221" spans="1:33" ht="11.25" customHeight="1" x14ac:dyDescent="0.25">
      <c r="A221" s="4" t="s">
        <v>21</v>
      </c>
      <c r="B221" s="4" t="s">
        <v>32</v>
      </c>
      <c r="C221" s="4" t="s">
        <v>38</v>
      </c>
      <c r="D221" s="4" t="s">
        <v>40</v>
      </c>
      <c r="E221" s="4" t="s">
        <v>25</v>
      </c>
      <c r="F221" s="4" t="s">
        <v>25</v>
      </c>
      <c r="G221" s="4" t="s">
        <v>25</v>
      </c>
      <c r="H221" s="4" t="s">
        <v>36</v>
      </c>
      <c r="I221" s="5">
        <v>44501</v>
      </c>
      <c r="J221" s="6">
        <v>0</v>
      </c>
      <c r="K221" s="6">
        <v>0</v>
      </c>
      <c r="L221" s="6">
        <v>0.51600000000000001</v>
      </c>
      <c r="M221" s="6">
        <v>0.51600000000000001</v>
      </c>
      <c r="N221" s="6">
        <v>0.51600000000000001</v>
      </c>
      <c r="O221" s="6">
        <v>0.51600000000000001</v>
      </c>
      <c r="P221" s="6">
        <v>0</v>
      </c>
      <c r="Q221" s="4" t="s">
        <v>26</v>
      </c>
      <c r="R221" s="4">
        <v>0</v>
      </c>
      <c r="S221" s="6">
        <v>0</v>
      </c>
      <c r="T221" s="6">
        <v>43</v>
      </c>
      <c r="U221" s="6">
        <v>81</v>
      </c>
      <c r="V221" s="6">
        <f>IF(ISERROR(VLOOKUP($S$221,'TAR FIN'!$A$1:$O$88,15,0)),0,VLOOKUP($S$221,'TAR FIN'!$A$1:$O$88,15,0))</f>
        <v>0</v>
      </c>
      <c r="W221" s="6">
        <f>IF(ISERROR(VLOOKUP($T$221,'TAR FIN'!$A$1:$O$88,15,0)),0,VLOOKUP($T$221,'TAR FIN'!$A$1:$O$88,15,0))</f>
        <v>0</v>
      </c>
      <c r="X221" s="6">
        <f>IF(ISERROR(VLOOKUP($U$221,'TAR FIN'!$A$1:$O$88,15,0)),0,VLOOKUP($U$221,'TAR FIN'!$A$1:$O$88,15,0))</f>
        <v>0</v>
      </c>
      <c r="Y221" s="6"/>
      <c r="Z221" s="6">
        <f ca="1">('TUSD BE'!$AM$45+'TUSD BF_350'!$AM$45+'TUSD CVA'!$AM$45)*1</f>
        <v>679.11</v>
      </c>
      <c r="AA221" s="6">
        <f ca="1">('TE BE'!$AB$36+'TE BF_350'!$AB$36+'TE CVA'!$AB$36)*1</f>
        <v>399.84</v>
      </c>
      <c r="AB221" s="6">
        <f>$K$221*$V$221</f>
        <v>0</v>
      </c>
      <c r="AC221" s="6">
        <f>$M$221*$W$221</f>
        <v>0</v>
      </c>
      <c r="AD221" s="6">
        <f>$O$221*$X$221</f>
        <v>0</v>
      </c>
      <c r="AE221" s="6">
        <f>$K$221*$Y$221</f>
        <v>0</v>
      </c>
      <c r="AF221" s="6">
        <f ca="1">$M$221*$Z$221</f>
        <v>350.42076000000003</v>
      </c>
      <c r="AG221" s="6">
        <f ca="1">$O$221*$AA$221</f>
        <v>206.31744</v>
      </c>
    </row>
    <row r="222" spans="1:33" ht="11.25" customHeight="1" x14ac:dyDescent="0.25">
      <c r="A222" s="4" t="s">
        <v>21</v>
      </c>
      <c r="B222" s="4" t="s">
        <v>32</v>
      </c>
      <c r="C222" s="4" t="s">
        <v>38</v>
      </c>
      <c r="D222" s="4" t="s">
        <v>40</v>
      </c>
      <c r="E222" s="4" t="s">
        <v>25</v>
      </c>
      <c r="F222" s="4" t="s">
        <v>25</v>
      </c>
      <c r="G222" s="4" t="s">
        <v>25</v>
      </c>
      <c r="H222" s="4" t="s">
        <v>36</v>
      </c>
      <c r="I222" s="5">
        <v>44531</v>
      </c>
      <c r="J222" s="6">
        <v>0</v>
      </c>
      <c r="K222" s="6">
        <v>0</v>
      </c>
      <c r="L222" s="6">
        <v>0.61199999999999999</v>
      </c>
      <c r="M222" s="6">
        <v>0.61199999999999999</v>
      </c>
      <c r="N222" s="6">
        <v>0.61199999999999999</v>
      </c>
      <c r="O222" s="6">
        <v>0.61199999999999999</v>
      </c>
      <c r="P222" s="6">
        <v>0</v>
      </c>
      <c r="Q222" s="4" t="s">
        <v>26</v>
      </c>
      <c r="R222" s="4">
        <v>0</v>
      </c>
      <c r="S222" s="6">
        <v>0</v>
      </c>
      <c r="T222" s="6">
        <v>43</v>
      </c>
      <c r="U222" s="6">
        <v>81</v>
      </c>
      <c r="V222" s="6">
        <f>IF(ISERROR(VLOOKUP($S$222,'TAR FIN'!$A$1:$O$88,15,0)),0,VLOOKUP($S$222,'TAR FIN'!$A$1:$O$88,15,0))</f>
        <v>0</v>
      </c>
      <c r="W222" s="6">
        <f>IF(ISERROR(VLOOKUP($T$222,'TAR FIN'!$A$1:$O$88,15,0)),0,VLOOKUP($T$222,'TAR FIN'!$A$1:$O$88,15,0))</f>
        <v>0</v>
      </c>
      <c r="X222" s="6">
        <f>IF(ISERROR(VLOOKUP($U$222,'TAR FIN'!$A$1:$O$88,15,0)),0,VLOOKUP($U$222,'TAR FIN'!$A$1:$O$88,15,0))</f>
        <v>0</v>
      </c>
      <c r="Y222" s="6"/>
      <c r="Z222" s="6">
        <f ca="1">('TUSD BE'!$AM$45+'TUSD BF_350'!$AM$45+'TUSD CVA'!$AM$45)*1</f>
        <v>679.11</v>
      </c>
      <c r="AA222" s="6">
        <f ca="1">('TE BE'!$AB$36+'TE BF_350'!$AB$36+'TE CVA'!$AB$36)*1</f>
        <v>399.84</v>
      </c>
      <c r="AB222" s="6">
        <f>$K$222*$V$222</f>
        <v>0</v>
      </c>
      <c r="AC222" s="6">
        <f>$M$222*$W$222</f>
        <v>0</v>
      </c>
      <c r="AD222" s="6">
        <f>$O$222*$X$222</f>
        <v>0</v>
      </c>
      <c r="AE222" s="6">
        <f>$K$222*$Y$222</f>
        <v>0</v>
      </c>
      <c r="AF222" s="6">
        <f ca="1">$M$222*$Z$222</f>
        <v>415.61532</v>
      </c>
      <c r="AG222" s="6">
        <f ca="1">$O$222*$AA$222</f>
        <v>244.70207999999997</v>
      </c>
    </row>
    <row r="223" spans="1:33" ht="11.25" customHeight="1" x14ac:dyDescent="0.25">
      <c r="A223" s="4" t="s">
        <v>21</v>
      </c>
      <c r="B223" s="4" t="s">
        <v>32</v>
      </c>
      <c r="C223" s="4" t="s">
        <v>38</v>
      </c>
      <c r="D223" s="4" t="s">
        <v>40</v>
      </c>
      <c r="E223" s="4" t="s">
        <v>25</v>
      </c>
      <c r="F223" s="4" t="s">
        <v>25</v>
      </c>
      <c r="G223" s="4" t="s">
        <v>25</v>
      </c>
      <c r="H223" s="4" t="s">
        <v>36</v>
      </c>
      <c r="I223" s="5">
        <v>44562</v>
      </c>
      <c r="J223" s="6">
        <v>0</v>
      </c>
      <c r="K223" s="6">
        <v>0</v>
      </c>
      <c r="L223" s="6">
        <v>0.60899999999999999</v>
      </c>
      <c r="M223" s="6">
        <v>0.60899999999999999</v>
      </c>
      <c r="N223" s="6">
        <v>0.60899999999999999</v>
      </c>
      <c r="O223" s="6">
        <v>0.60899999999999999</v>
      </c>
      <c r="P223" s="6">
        <v>0</v>
      </c>
      <c r="Q223" s="4" t="s">
        <v>26</v>
      </c>
      <c r="R223" s="4">
        <v>0</v>
      </c>
      <c r="S223" s="6">
        <v>0</v>
      </c>
      <c r="T223" s="6">
        <v>43</v>
      </c>
      <c r="U223" s="6">
        <v>81</v>
      </c>
      <c r="V223" s="6">
        <f>IF(ISERROR(VLOOKUP($S$223,'TAR FIN'!$A$1:$O$88,15,0)),0,VLOOKUP($S$223,'TAR FIN'!$A$1:$O$88,15,0))</f>
        <v>0</v>
      </c>
      <c r="W223" s="6">
        <f>IF(ISERROR(VLOOKUP($T$223,'TAR FIN'!$A$1:$O$88,15,0)),0,VLOOKUP($T$223,'TAR FIN'!$A$1:$O$88,15,0))</f>
        <v>0</v>
      </c>
      <c r="X223" s="6">
        <f>IF(ISERROR(VLOOKUP($U$223,'TAR FIN'!$A$1:$O$88,15,0)),0,VLOOKUP($U$223,'TAR FIN'!$A$1:$O$88,15,0))</f>
        <v>0</v>
      </c>
      <c r="Y223" s="6"/>
      <c r="Z223" s="6">
        <f ca="1">('TUSD BE'!$AM$45+'TUSD BF_350'!$AM$45+'TUSD CVA'!$AM$45)*1</f>
        <v>679.11</v>
      </c>
      <c r="AA223" s="6">
        <f ca="1">('TE BE'!$AB$36+'TE BF_350'!$AB$36+'TE CVA'!$AB$36)*1</f>
        <v>399.84</v>
      </c>
      <c r="AB223" s="6">
        <f>$K$223*$V$223</f>
        <v>0</v>
      </c>
      <c r="AC223" s="6">
        <f>$M$223*$W$223</f>
        <v>0</v>
      </c>
      <c r="AD223" s="6">
        <f>$O$223*$X$223</f>
        <v>0</v>
      </c>
      <c r="AE223" s="6">
        <f>$K$223*$Y$223</f>
        <v>0</v>
      </c>
      <c r="AF223" s="6">
        <f ca="1">$M$223*$Z$223</f>
        <v>413.57799</v>
      </c>
      <c r="AG223" s="6">
        <f ca="1">$O$223*$AA$223</f>
        <v>243.50255999999999</v>
      </c>
    </row>
    <row r="224" spans="1:33" ht="11.25" customHeight="1" x14ac:dyDescent="0.25">
      <c r="A224" s="4" t="s">
        <v>21</v>
      </c>
      <c r="B224" s="4" t="s">
        <v>32</v>
      </c>
      <c r="C224" s="4" t="s">
        <v>38</v>
      </c>
      <c r="D224" s="4" t="s">
        <v>40</v>
      </c>
      <c r="E224" s="4" t="s">
        <v>25</v>
      </c>
      <c r="F224" s="4" t="s">
        <v>25</v>
      </c>
      <c r="G224" s="4" t="s">
        <v>25</v>
      </c>
      <c r="H224" s="4" t="s">
        <v>36</v>
      </c>
      <c r="I224" s="5">
        <v>44593</v>
      </c>
      <c r="J224" s="6">
        <v>0</v>
      </c>
      <c r="K224" s="6">
        <v>0</v>
      </c>
      <c r="L224" s="6">
        <v>0.30199999999999999</v>
      </c>
      <c r="M224" s="6">
        <v>0.30199999999999999</v>
      </c>
      <c r="N224" s="6">
        <v>0.30199999999999999</v>
      </c>
      <c r="O224" s="6">
        <v>0.30199999999999999</v>
      </c>
      <c r="P224" s="6">
        <v>0</v>
      </c>
      <c r="Q224" s="4" t="s">
        <v>26</v>
      </c>
      <c r="R224" s="4">
        <v>0</v>
      </c>
      <c r="S224" s="6">
        <v>0</v>
      </c>
      <c r="T224" s="6">
        <v>43</v>
      </c>
      <c r="U224" s="6">
        <v>81</v>
      </c>
      <c r="V224" s="6">
        <f>IF(ISERROR(VLOOKUP($S$224,'TAR FIN'!$A$1:$O$88,15,0)),0,VLOOKUP($S$224,'TAR FIN'!$A$1:$O$88,15,0))</f>
        <v>0</v>
      </c>
      <c r="W224" s="6">
        <f>IF(ISERROR(VLOOKUP($T$224,'TAR FIN'!$A$1:$O$88,15,0)),0,VLOOKUP($T$224,'TAR FIN'!$A$1:$O$88,15,0))</f>
        <v>0</v>
      </c>
      <c r="X224" s="6">
        <f>IF(ISERROR(VLOOKUP($U$224,'TAR FIN'!$A$1:$O$88,15,0)),0,VLOOKUP($U$224,'TAR FIN'!$A$1:$O$88,15,0))</f>
        <v>0</v>
      </c>
      <c r="Y224" s="6"/>
      <c r="Z224" s="6">
        <f ca="1">('TUSD BE'!$AM$45+'TUSD BF_350'!$AM$45+'TUSD CVA'!$AM$45)*1</f>
        <v>679.11</v>
      </c>
      <c r="AA224" s="6">
        <f ca="1">('TE BE'!$AB$36+'TE BF_350'!$AB$36+'TE CVA'!$AB$36)*1</f>
        <v>399.84</v>
      </c>
      <c r="AB224" s="6">
        <f>$K$224*$V$224</f>
        <v>0</v>
      </c>
      <c r="AC224" s="6">
        <f>$M$224*$W$224</f>
        <v>0</v>
      </c>
      <c r="AD224" s="6">
        <f>$O$224*$X$224</f>
        <v>0</v>
      </c>
      <c r="AE224" s="6">
        <f>$K$224*$Y$224</f>
        <v>0</v>
      </c>
      <c r="AF224" s="6">
        <f ca="1">$M$224*$Z$224</f>
        <v>205.09121999999999</v>
      </c>
      <c r="AG224" s="6">
        <f ca="1">$O$224*$AA$224</f>
        <v>120.75167999999999</v>
      </c>
    </row>
    <row r="225" spans="1:33" ht="11.25" customHeight="1" x14ac:dyDescent="0.25">
      <c r="A225" s="4" t="s">
        <v>21</v>
      </c>
      <c r="B225" s="4" t="s">
        <v>32</v>
      </c>
      <c r="C225" s="4" t="s">
        <v>38</v>
      </c>
      <c r="D225" s="4" t="s">
        <v>40</v>
      </c>
      <c r="E225" s="4" t="s">
        <v>25</v>
      </c>
      <c r="F225" s="4" t="s">
        <v>25</v>
      </c>
      <c r="G225" s="4" t="s">
        <v>25</v>
      </c>
      <c r="H225" s="4" t="s">
        <v>36</v>
      </c>
      <c r="I225" s="5">
        <v>44621</v>
      </c>
      <c r="J225" s="6">
        <v>0</v>
      </c>
      <c r="K225" s="6">
        <v>0</v>
      </c>
      <c r="L225" s="6">
        <v>0.21199999999999999</v>
      </c>
      <c r="M225" s="6">
        <v>0.21199999999999999</v>
      </c>
      <c r="N225" s="6">
        <v>0.21199999999999999</v>
      </c>
      <c r="O225" s="6">
        <v>0.21199999999999999</v>
      </c>
      <c r="P225" s="6">
        <v>0</v>
      </c>
      <c r="Q225" s="4" t="s">
        <v>26</v>
      </c>
      <c r="R225" s="4">
        <v>0</v>
      </c>
      <c r="S225" s="6">
        <v>0</v>
      </c>
      <c r="T225" s="6">
        <v>43</v>
      </c>
      <c r="U225" s="6">
        <v>81</v>
      </c>
      <c r="V225" s="6">
        <f>IF(ISERROR(VLOOKUP($S$225,'TAR FIN'!$A$1:$O$88,15,0)),0,VLOOKUP($S$225,'TAR FIN'!$A$1:$O$88,15,0))</f>
        <v>0</v>
      </c>
      <c r="W225" s="6">
        <f>IF(ISERROR(VLOOKUP($T$225,'TAR FIN'!$A$1:$O$88,15,0)),0,VLOOKUP($T$225,'TAR FIN'!$A$1:$O$88,15,0))</f>
        <v>0</v>
      </c>
      <c r="X225" s="6">
        <f>IF(ISERROR(VLOOKUP($U$225,'TAR FIN'!$A$1:$O$88,15,0)),0,VLOOKUP($U$225,'TAR FIN'!$A$1:$O$88,15,0))</f>
        <v>0</v>
      </c>
      <c r="Y225" s="6"/>
      <c r="Z225" s="6">
        <f ca="1">('TUSD BE'!$AM$45+'TUSD BF_350'!$AM$45+'TUSD CVA'!$AM$45)*1</f>
        <v>679.11</v>
      </c>
      <c r="AA225" s="6">
        <f ca="1">('TE BE'!$AB$36+'TE BF_350'!$AB$36+'TE CVA'!$AB$36)*1</f>
        <v>399.84</v>
      </c>
      <c r="AB225" s="6">
        <f>$K$225*$V$225</f>
        <v>0</v>
      </c>
      <c r="AC225" s="6">
        <f>$M$225*$W$225</f>
        <v>0</v>
      </c>
      <c r="AD225" s="6">
        <f>$O$225*$X$225</f>
        <v>0</v>
      </c>
      <c r="AE225" s="6">
        <f>$K$225*$Y$225</f>
        <v>0</v>
      </c>
      <c r="AF225" s="6">
        <f ca="1">$M$225*$Z$225</f>
        <v>143.97131999999999</v>
      </c>
      <c r="AG225" s="6">
        <f ca="1">$O$225*$AA$225</f>
        <v>84.766079999999988</v>
      </c>
    </row>
    <row r="226" spans="1:33" ht="11.25" customHeight="1" x14ac:dyDescent="0.25">
      <c r="A226" s="4" t="s">
        <v>21</v>
      </c>
      <c r="B226" s="4" t="s">
        <v>32</v>
      </c>
      <c r="C226" s="4" t="s">
        <v>38</v>
      </c>
      <c r="D226" s="4" t="s">
        <v>40</v>
      </c>
      <c r="E226" s="4" t="s">
        <v>25</v>
      </c>
      <c r="F226" s="4" t="s">
        <v>25</v>
      </c>
      <c r="G226" s="4" t="s">
        <v>25</v>
      </c>
      <c r="H226" s="4" t="s">
        <v>36</v>
      </c>
      <c r="I226" s="5">
        <v>44652</v>
      </c>
      <c r="J226" s="6">
        <v>0</v>
      </c>
      <c r="K226" s="6">
        <v>0</v>
      </c>
      <c r="L226" s="6">
        <v>0.17599999999999999</v>
      </c>
      <c r="M226" s="6">
        <v>0.17599999999999999</v>
      </c>
      <c r="N226" s="6">
        <v>0.17599999999999999</v>
      </c>
      <c r="O226" s="6">
        <v>0.17599999999999999</v>
      </c>
      <c r="P226" s="6">
        <v>0</v>
      </c>
      <c r="Q226" s="4" t="s">
        <v>26</v>
      </c>
      <c r="R226" s="4">
        <v>0</v>
      </c>
      <c r="S226" s="6">
        <v>0</v>
      </c>
      <c r="T226" s="6">
        <v>43</v>
      </c>
      <c r="U226" s="6">
        <v>81</v>
      </c>
      <c r="V226" s="6">
        <f>IF(ISERROR(VLOOKUP($S$226,'TAR FIN'!$A$1:$O$88,15,0)),0,VLOOKUP($S$226,'TAR FIN'!$A$1:$O$88,15,0))</f>
        <v>0</v>
      </c>
      <c r="W226" s="6">
        <f>IF(ISERROR(VLOOKUP($T$226,'TAR FIN'!$A$1:$O$88,15,0)),0,VLOOKUP($T$226,'TAR FIN'!$A$1:$O$88,15,0))</f>
        <v>0</v>
      </c>
      <c r="X226" s="6">
        <f>IF(ISERROR(VLOOKUP($U$226,'TAR FIN'!$A$1:$O$88,15,0)),0,VLOOKUP($U$226,'TAR FIN'!$A$1:$O$88,15,0))</f>
        <v>0</v>
      </c>
      <c r="Y226" s="6"/>
      <c r="Z226" s="6">
        <f ca="1">('TUSD BE'!$AM$45+'TUSD BF_350'!$AM$45+'TUSD CVA'!$AM$45)*1</f>
        <v>679.11</v>
      </c>
      <c r="AA226" s="6">
        <f ca="1">('TE BE'!$AB$36+'TE BF_350'!$AB$36+'TE CVA'!$AB$36)*1</f>
        <v>399.84</v>
      </c>
      <c r="AB226" s="6">
        <f>$K$226*$V$226</f>
        <v>0</v>
      </c>
      <c r="AC226" s="6">
        <f>$M$226*$W$226</f>
        <v>0</v>
      </c>
      <c r="AD226" s="6">
        <f>$O$226*$X$226</f>
        <v>0</v>
      </c>
      <c r="AE226" s="6">
        <f>$K$226*$Y$226</f>
        <v>0</v>
      </c>
      <c r="AF226" s="6">
        <f ca="1">$M$226*$Z$226</f>
        <v>119.52336</v>
      </c>
      <c r="AG226" s="6">
        <f ca="1">$O$226*$AA$226</f>
        <v>70.371839999999992</v>
      </c>
    </row>
    <row r="227" spans="1:33" ht="11.25" customHeight="1" x14ac:dyDescent="0.25">
      <c r="A227" s="4" t="s">
        <v>21</v>
      </c>
      <c r="B227" s="4" t="s">
        <v>32</v>
      </c>
      <c r="C227" s="4" t="s">
        <v>38</v>
      </c>
      <c r="D227" s="4" t="s">
        <v>40</v>
      </c>
      <c r="E227" s="4" t="s">
        <v>25</v>
      </c>
      <c r="F227" s="4" t="s">
        <v>25</v>
      </c>
      <c r="G227" s="4" t="s">
        <v>25</v>
      </c>
      <c r="H227" s="4" t="s">
        <v>36</v>
      </c>
      <c r="I227" s="5">
        <v>44682</v>
      </c>
      <c r="J227" s="6">
        <v>0</v>
      </c>
      <c r="K227" s="6">
        <v>0</v>
      </c>
      <c r="L227" s="6">
        <v>0.13900000000000001</v>
      </c>
      <c r="M227" s="6">
        <v>0.13900000000000001</v>
      </c>
      <c r="N227" s="6">
        <v>0.13900000000000001</v>
      </c>
      <c r="O227" s="6">
        <v>0.13900000000000001</v>
      </c>
      <c r="P227" s="6">
        <v>0</v>
      </c>
      <c r="Q227" s="4" t="s">
        <v>26</v>
      </c>
      <c r="R227" s="4">
        <v>0</v>
      </c>
      <c r="S227" s="6">
        <v>0</v>
      </c>
      <c r="T227" s="6">
        <v>43</v>
      </c>
      <c r="U227" s="6">
        <v>81</v>
      </c>
      <c r="V227" s="6">
        <f>IF(ISERROR(VLOOKUP($S$227,'TAR FIN'!$A$1:$O$88,15,0)),0,VLOOKUP($S$227,'TAR FIN'!$A$1:$O$88,15,0))</f>
        <v>0</v>
      </c>
      <c r="W227" s="6">
        <f>IF(ISERROR(VLOOKUP($T$227,'TAR FIN'!$A$1:$O$88,15,0)),0,VLOOKUP($T$227,'TAR FIN'!$A$1:$O$88,15,0))</f>
        <v>0</v>
      </c>
      <c r="X227" s="6">
        <f>IF(ISERROR(VLOOKUP($U$227,'TAR FIN'!$A$1:$O$88,15,0)),0,VLOOKUP($U$227,'TAR FIN'!$A$1:$O$88,15,0))</f>
        <v>0</v>
      </c>
      <c r="Y227" s="6"/>
      <c r="Z227" s="6">
        <f ca="1">('TUSD BE'!$AM$45+'TUSD BF_350'!$AM$45+'TUSD CVA'!$AM$45)*1</f>
        <v>679.11</v>
      </c>
      <c r="AA227" s="6">
        <f ca="1">('TE BE'!$AB$36+'TE BF_350'!$AB$36+'TE CVA'!$AB$36)*1</f>
        <v>399.84</v>
      </c>
      <c r="AB227" s="6">
        <f>$K$227*$V$227</f>
        <v>0</v>
      </c>
      <c r="AC227" s="6">
        <f>$M$227*$W$227</f>
        <v>0</v>
      </c>
      <c r="AD227" s="6">
        <f>$O$227*$X$227</f>
        <v>0</v>
      </c>
      <c r="AE227" s="6">
        <f>$K$227*$Y$227</f>
        <v>0</v>
      </c>
      <c r="AF227" s="6">
        <f ca="1">$M$227*$Z$227</f>
        <v>94.396290000000008</v>
      </c>
      <c r="AG227" s="6">
        <f ca="1">$O$227*$AA$227</f>
        <v>55.577760000000005</v>
      </c>
    </row>
    <row r="228" spans="1:33" ht="11.25" customHeight="1" x14ac:dyDescent="0.25">
      <c r="A228" s="4" t="s">
        <v>21</v>
      </c>
      <c r="B228" s="4" t="s">
        <v>32</v>
      </c>
      <c r="C228" s="4" t="s">
        <v>38</v>
      </c>
      <c r="D228" s="4" t="s">
        <v>40</v>
      </c>
      <c r="E228" s="4" t="s">
        <v>25</v>
      </c>
      <c r="F228" s="4" t="s">
        <v>25</v>
      </c>
      <c r="G228" s="4" t="s">
        <v>25</v>
      </c>
      <c r="H228" s="4" t="s">
        <v>36</v>
      </c>
      <c r="I228" s="5">
        <v>44713</v>
      </c>
      <c r="J228" s="6">
        <v>0</v>
      </c>
      <c r="K228" s="6">
        <v>0</v>
      </c>
      <c r="L228" s="6">
        <v>0.14699999999999999</v>
      </c>
      <c r="M228" s="6">
        <v>0.14699999999999999</v>
      </c>
      <c r="N228" s="6">
        <v>0.14699999999999999</v>
      </c>
      <c r="O228" s="6">
        <v>0.14699999999999999</v>
      </c>
      <c r="P228" s="6">
        <v>0</v>
      </c>
      <c r="Q228" s="4" t="s">
        <v>26</v>
      </c>
      <c r="R228" s="4">
        <v>0</v>
      </c>
      <c r="S228" s="6">
        <v>0</v>
      </c>
      <c r="T228" s="6">
        <v>43</v>
      </c>
      <c r="U228" s="6">
        <v>81</v>
      </c>
      <c r="V228" s="6">
        <f>IF(ISERROR(VLOOKUP($S$228,'TAR FIN'!$A$1:$O$88,15,0)),0,VLOOKUP($S$228,'TAR FIN'!$A$1:$O$88,15,0))</f>
        <v>0</v>
      </c>
      <c r="W228" s="6">
        <f>IF(ISERROR(VLOOKUP($T$228,'TAR FIN'!$A$1:$O$88,15,0)),0,VLOOKUP($T$228,'TAR FIN'!$A$1:$O$88,15,0))</f>
        <v>0</v>
      </c>
      <c r="X228" s="6">
        <f>IF(ISERROR(VLOOKUP($U$228,'TAR FIN'!$A$1:$O$88,15,0)),0,VLOOKUP($U$228,'TAR FIN'!$A$1:$O$88,15,0))</f>
        <v>0</v>
      </c>
      <c r="Y228" s="6"/>
      <c r="Z228" s="6">
        <f ca="1">('TUSD BE'!$AM$45+'TUSD BF_350'!$AM$45+'TUSD CVA'!$AM$45)*1</f>
        <v>679.11</v>
      </c>
      <c r="AA228" s="6">
        <f ca="1">('TE BE'!$AB$36+'TE BF_350'!$AB$36+'TE CVA'!$AB$36)*1</f>
        <v>399.84</v>
      </c>
      <c r="AB228" s="6">
        <f>$K$228*$V$228</f>
        <v>0</v>
      </c>
      <c r="AC228" s="6">
        <f>$M$228*$W$228</f>
        <v>0</v>
      </c>
      <c r="AD228" s="6">
        <f>$O$228*$X$228</f>
        <v>0</v>
      </c>
      <c r="AE228" s="6">
        <f>$K$228*$Y$228</f>
        <v>0</v>
      </c>
      <c r="AF228" s="6">
        <f ca="1">$M$228*$Z$228</f>
        <v>99.829169999999991</v>
      </c>
      <c r="AG228" s="6">
        <f ca="1">$O$228*$AA$228</f>
        <v>58.776479999999992</v>
      </c>
    </row>
    <row r="229" spans="1:33" ht="11.25" customHeight="1" x14ac:dyDescent="0.25">
      <c r="A229" s="4" t="s">
        <v>21</v>
      </c>
      <c r="B229" s="4" t="s">
        <v>32</v>
      </c>
      <c r="C229" s="4" t="s">
        <v>38</v>
      </c>
      <c r="D229" s="4" t="s">
        <v>40</v>
      </c>
      <c r="E229" s="4" t="s">
        <v>25</v>
      </c>
      <c r="F229" s="4" t="s">
        <v>25</v>
      </c>
      <c r="G229" s="4" t="s">
        <v>25</v>
      </c>
      <c r="H229" s="4" t="s">
        <v>36</v>
      </c>
      <c r="I229" s="5">
        <v>44743</v>
      </c>
      <c r="J229" s="6">
        <v>0</v>
      </c>
      <c r="K229" s="6">
        <v>0</v>
      </c>
      <c r="L229" s="6">
        <v>0.14499999999999999</v>
      </c>
      <c r="M229" s="6">
        <v>0.14499999999999999</v>
      </c>
      <c r="N229" s="6">
        <v>0.14499999999999999</v>
      </c>
      <c r="O229" s="6">
        <v>0.14499999999999999</v>
      </c>
      <c r="P229" s="6">
        <v>0</v>
      </c>
      <c r="Q229" s="4" t="s">
        <v>26</v>
      </c>
      <c r="R229" s="4">
        <v>0</v>
      </c>
      <c r="S229" s="6">
        <v>0</v>
      </c>
      <c r="T229" s="6">
        <v>43</v>
      </c>
      <c r="U229" s="6">
        <v>81</v>
      </c>
      <c r="V229" s="6">
        <f>IF(ISERROR(VLOOKUP($S$229,'TAR FIN'!$A$1:$O$88,15,0)),0,VLOOKUP($S$229,'TAR FIN'!$A$1:$O$88,15,0))</f>
        <v>0</v>
      </c>
      <c r="W229" s="6">
        <f>IF(ISERROR(VLOOKUP($T$229,'TAR FIN'!$A$1:$O$88,15,0)),0,VLOOKUP($T$229,'TAR FIN'!$A$1:$O$88,15,0))</f>
        <v>0</v>
      </c>
      <c r="X229" s="6">
        <f>IF(ISERROR(VLOOKUP($U$229,'TAR FIN'!$A$1:$O$88,15,0)),0,VLOOKUP($U$229,'TAR FIN'!$A$1:$O$88,15,0))</f>
        <v>0</v>
      </c>
      <c r="Y229" s="6"/>
      <c r="Z229" s="6">
        <f ca="1">('TUSD BE'!$AM$45+'TUSD BF_350'!$AM$45+'TUSD CVA'!$AM$45)*1</f>
        <v>679.11</v>
      </c>
      <c r="AA229" s="6">
        <f ca="1">('TE BE'!$AB$36+'TE BF_350'!$AB$36+'TE CVA'!$AB$36)*1</f>
        <v>399.84</v>
      </c>
      <c r="AB229" s="6">
        <f>$K$229*$V$229</f>
        <v>0</v>
      </c>
      <c r="AC229" s="6">
        <f>$M$229*$W$229</f>
        <v>0</v>
      </c>
      <c r="AD229" s="6">
        <f>$O$229*$X$229</f>
        <v>0</v>
      </c>
      <c r="AE229" s="6">
        <f>$K$229*$Y$229</f>
        <v>0</v>
      </c>
      <c r="AF229" s="6">
        <f ca="1">$M$229*$Z$229</f>
        <v>98.470950000000002</v>
      </c>
      <c r="AG229" s="6">
        <f ca="1">$O$229*$AA$229</f>
        <v>57.97679999999999</v>
      </c>
    </row>
    <row r="230" spans="1:33" ht="11.25" customHeight="1" x14ac:dyDescent="0.25">
      <c r="A230" s="4" t="s">
        <v>21</v>
      </c>
      <c r="B230" s="4" t="s">
        <v>32</v>
      </c>
      <c r="C230" s="4" t="s">
        <v>38</v>
      </c>
      <c r="D230" s="4" t="s">
        <v>33</v>
      </c>
      <c r="E230" s="4" t="s">
        <v>25</v>
      </c>
      <c r="F230" s="4" t="s">
        <v>25</v>
      </c>
      <c r="G230" s="4" t="s">
        <v>25</v>
      </c>
      <c r="H230" s="4" t="s">
        <v>37</v>
      </c>
      <c r="I230" s="5">
        <v>44409</v>
      </c>
      <c r="J230" s="6">
        <v>0</v>
      </c>
      <c r="K230" s="6">
        <v>0</v>
      </c>
      <c r="L230" s="6">
        <v>2.0550000000000002</v>
      </c>
      <c r="M230" s="6">
        <v>2.0550000000000002</v>
      </c>
      <c r="N230" s="6">
        <v>2.0550000000000002</v>
      </c>
      <c r="O230" s="6">
        <v>2.0550000000000002</v>
      </c>
      <c r="P230" s="6">
        <v>0</v>
      </c>
      <c r="Q230" s="4" t="s">
        <v>26</v>
      </c>
      <c r="R230" s="4">
        <v>0</v>
      </c>
      <c r="S230" s="6">
        <v>0</v>
      </c>
      <c r="T230" s="6">
        <v>45</v>
      </c>
      <c r="U230" s="6">
        <v>83</v>
      </c>
      <c r="V230" s="6">
        <f>IF(ISERROR(VLOOKUP($S$230,'TAR FIN'!$A$1:$O$88,15,0)),0,VLOOKUP($S$230,'TAR FIN'!$A$1:$O$88,15,0))</f>
        <v>0</v>
      </c>
      <c r="W230" s="6">
        <f>IF(ISERROR(VLOOKUP($T$230,'TAR FIN'!$A$1:$O$88,15,0)),0,VLOOKUP($T$230,'TAR FIN'!$A$1:$O$88,15,0))</f>
        <v>0</v>
      </c>
      <c r="X230" s="6">
        <f>IF(ISERROR(VLOOKUP($U$230,'TAR FIN'!$A$1:$O$88,15,0)),0,VLOOKUP($U$230,'TAR FIN'!$A$1:$O$88,15,0))</f>
        <v>0</v>
      </c>
      <c r="Y230" s="6"/>
      <c r="Z230" s="6">
        <f ca="1">('TUSD BE'!$AM$47+'TUSD BF_350'!$AM$47+'TUSD CVA'!$AM$47)*1</f>
        <v>261.33999999999997</v>
      </c>
      <c r="AA230" s="6">
        <f ca="1">('TE BE'!$AB$38+'TE BF_350'!$AB$38+'TE CVA'!$AB$38)*1</f>
        <v>250.04</v>
      </c>
      <c r="AB230" s="6">
        <f>$K$230*$V$230</f>
        <v>0</v>
      </c>
      <c r="AC230" s="6">
        <f>$M$230*$W$230</f>
        <v>0</v>
      </c>
      <c r="AD230" s="6">
        <f>$O$230*$X$230</f>
        <v>0</v>
      </c>
      <c r="AE230" s="6">
        <f>$K$230*$Y$230</f>
        <v>0</v>
      </c>
      <c r="AF230" s="6">
        <f ca="1">$M$230*$Z$230</f>
        <v>537.05369999999994</v>
      </c>
      <c r="AG230" s="6">
        <f ca="1">$O$230*$AA$230</f>
        <v>513.83220000000006</v>
      </c>
    </row>
    <row r="231" spans="1:33" ht="11.25" customHeight="1" x14ac:dyDescent="0.25">
      <c r="A231" s="4" t="s">
        <v>21</v>
      </c>
      <c r="B231" s="4" t="s">
        <v>32</v>
      </c>
      <c r="C231" s="4" t="s">
        <v>38</v>
      </c>
      <c r="D231" s="4" t="s">
        <v>33</v>
      </c>
      <c r="E231" s="4" t="s">
        <v>25</v>
      </c>
      <c r="F231" s="4" t="s">
        <v>25</v>
      </c>
      <c r="G231" s="4" t="s">
        <v>25</v>
      </c>
      <c r="H231" s="4" t="s">
        <v>37</v>
      </c>
      <c r="I231" s="5">
        <v>44440</v>
      </c>
      <c r="J231" s="6">
        <v>0</v>
      </c>
      <c r="K231" s="6">
        <v>0</v>
      </c>
      <c r="L231" s="6">
        <v>2.2200000000000002</v>
      </c>
      <c r="M231" s="6">
        <v>2.2200000000000002</v>
      </c>
      <c r="N231" s="6">
        <v>2.2200000000000002</v>
      </c>
      <c r="O231" s="6">
        <v>2.2200000000000002</v>
      </c>
      <c r="P231" s="6">
        <v>0</v>
      </c>
      <c r="Q231" s="4" t="s">
        <v>26</v>
      </c>
      <c r="R231" s="4">
        <v>0</v>
      </c>
      <c r="S231" s="6">
        <v>0</v>
      </c>
      <c r="T231" s="6">
        <v>45</v>
      </c>
      <c r="U231" s="6">
        <v>83</v>
      </c>
      <c r="V231" s="6">
        <f>IF(ISERROR(VLOOKUP($S$231,'TAR FIN'!$A$1:$O$88,15,0)),0,VLOOKUP($S$231,'TAR FIN'!$A$1:$O$88,15,0))</f>
        <v>0</v>
      </c>
      <c r="W231" s="6">
        <f>IF(ISERROR(VLOOKUP($T$231,'TAR FIN'!$A$1:$O$88,15,0)),0,VLOOKUP($T$231,'TAR FIN'!$A$1:$O$88,15,0))</f>
        <v>0</v>
      </c>
      <c r="X231" s="6">
        <f>IF(ISERROR(VLOOKUP($U$231,'TAR FIN'!$A$1:$O$88,15,0)),0,VLOOKUP($U$231,'TAR FIN'!$A$1:$O$88,15,0))</f>
        <v>0</v>
      </c>
      <c r="Y231" s="6"/>
      <c r="Z231" s="6">
        <f ca="1">('TUSD BE'!$AM$47+'TUSD BF_350'!$AM$47+'TUSD CVA'!$AM$47)*1</f>
        <v>261.33999999999997</v>
      </c>
      <c r="AA231" s="6">
        <f ca="1">('TE BE'!$AB$38+'TE BF_350'!$AB$38+'TE CVA'!$AB$38)*1</f>
        <v>250.04</v>
      </c>
      <c r="AB231" s="6">
        <f>$K$231*$V$231</f>
        <v>0</v>
      </c>
      <c r="AC231" s="6">
        <f>$M$231*$W$231</f>
        <v>0</v>
      </c>
      <c r="AD231" s="6">
        <f>$O$231*$X$231</f>
        <v>0</v>
      </c>
      <c r="AE231" s="6">
        <f>$K$231*$Y$231</f>
        <v>0</v>
      </c>
      <c r="AF231" s="6">
        <f ca="1">$M$231*$Z$231</f>
        <v>580.1748</v>
      </c>
      <c r="AG231" s="6">
        <f ca="1">$O$231*$AA$231</f>
        <v>555.08879999999999</v>
      </c>
    </row>
    <row r="232" spans="1:33" ht="11.25" customHeight="1" x14ac:dyDescent="0.25">
      <c r="A232" s="4" t="s">
        <v>21</v>
      </c>
      <c r="B232" s="4" t="s">
        <v>32</v>
      </c>
      <c r="C232" s="4" t="s">
        <v>38</v>
      </c>
      <c r="D232" s="4" t="s">
        <v>33</v>
      </c>
      <c r="E232" s="4" t="s">
        <v>25</v>
      </c>
      <c r="F232" s="4" t="s">
        <v>25</v>
      </c>
      <c r="G232" s="4" t="s">
        <v>25</v>
      </c>
      <c r="H232" s="4" t="s">
        <v>37</v>
      </c>
      <c r="I232" s="5">
        <v>44470</v>
      </c>
      <c r="J232" s="6">
        <v>0</v>
      </c>
      <c r="K232" s="6">
        <v>0</v>
      </c>
      <c r="L232" s="6">
        <v>3.2949999999999999</v>
      </c>
      <c r="M232" s="6">
        <v>3.2949999999999999</v>
      </c>
      <c r="N232" s="6">
        <v>3.2949999999999999</v>
      </c>
      <c r="O232" s="6">
        <v>3.2949999999999999</v>
      </c>
      <c r="P232" s="6">
        <v>0</v>
      </c>
      <c r="Q232" s="4" t="s">
        <v>26</v>
      </c>
      <c r="R232" s="4">
        <v>0</v>
      </c>
      <c r="S232" s="6">
        <v>0</v>
      </c>
      <c r="T232" s="6">
        <v>45</v>
      </c>
      <c r="U232" s="6">
        <v>83</v>
      </c>
      <c r="V232" s="6">
        <f>IF(ISERROR(VLOOKUP($S$232,'TAR FIN'!$A$1:$O$88,15,0)),0,VLOOKUP($S$232,'TAR FIN'!$A$1:$O$88,15,0))</f>
        <v>0</v>
      </c>
      <c r="W232" s="6">
        <f>IF(ISERROR(VLOOKUP($T$232,'TAR FIN'!$A$1:$O$88,15,0)),0,VLOOKUP($T$232,'TAR FIN'!$A$1:$O$88,15,0))</f>
        <v>0</v>
      </c>
      <c r="X232" s="6">
        <f>IF(ISERROR(VLOOKUP($U$232,'TAR FIN'!$A$1:$O$88,15,0)),0,VLOOKUP($U$232,'TAR FIN'!$A$1:$O$88,15,0))</f>
        <v>0</v>
      </c>
      <c r="Y232" s="6"/>
      <c r="Z232" s="6">
        <f ca="1">('TUSD BE'!$AM$47+'TUSD BF_350'!$AM$47+'TUSD CVA'!$AM$47)*1</f>
        <v>261.33999999999997</v>
      </c>
      <c r="AA232" s="6">
        <f ca="1">('TE BE'!$AB$38+'TE BF_350'!$AB$38+'TE CVA'!$AB$38)*1</f>
        <v>250.04</v>
      </c>
      <c r="AB232" s="6">
        <f>$K$232*$V$232</f>
        <v>0</v>
      </c>
      <c r="AC232" s="6">
        <f>$M$232*$W$232</f>
        <v>0</v>
      </c>
      <c r="AD232" s="6">
        <f>$O$232*$X$232</f>
        <v>0</v>
      </c>
      <c r="AE232" s="6">
        <f>$K$232*$Y$232</f>
        <v>0</v>
      </c>
      <c r="AF232" s="6">
        <f ca="1">$M$232*$Z$232</f>
        <v>861.11529999999993</v>
      </c>
      <c r="AG232" s="6">
        <f ca="1">$O$232*$AA$232</f>
        <v>823.8818</v>
      </c>
    </row>
    <row r="233" spans="1:33" ht="11.25" customHeight="1" x14ac:dyDescent="0.25">
      <c r="A233" s="4" t="s">
        <v>21</v>
      </c>
      <c r="B233" s="4" t="s">
        <v>32</v>
      </c>
      <c r="C233" s="4" t="s">
        <v>38</v>
      </c>
      <c r="D233" s="4" t="s">
        <v>33</v>
      </c>
      <c r="E233" s="4" t="s">
        <v>25</v>
      </c>
      <c r="F233" s="4" t="s">
        <v>25</v>
      </c>
      <c r="G233" s="4" t="s">
        <v>25</v>
      </c>
      <c r="H233" s="4" t="s">
        <v>37</v>
      </c>
      <c r="I233" s="5">
        <v>44501</v>
      </c>
      <c r="J233" s="6">
        <v>0</v>
      </c>
      <c r="K233" s="6">
        <v>0</v>
      </c>
      <c r="L233" s="6">
        <v>2.5990000000000002</v>
      </c>
      <c r="M233" s="6">
        <v>2.5990000000000002</v>
      </c>
      <c r="N233" s="6">
        <v>2.5990000000000002</v>
      </c>
      <c r="O233" s="6">
        <v>2.5990000000000002</v>
      </c>
      <c r="P233" s="6">
        <v>0</v>
      </c>
      <c r="Q233" s="4" t="s">
        <v>26</v>
      </c>
      <c r="R233" s="4">
        <v>0</v>
      </c>
      <c r="S233" s="6">
        <v>0</v>
      </c>
      <c r="T233" s="6">
        <v>45</v>
      </c>
      <c r="U233" s="6">
        <v>83</v>
      </c>
      <c r="V233" s="6">
        <f>IF(ISERROR(VLOOKUP($S$233,'TAR FIN'!$A$1:$O$88,15,0)),0,VLOOKUP($S$233,'TAR FIN'!$A$1:$O$88,15,0))</f>
        <v>0</v>
      </c>
      <c r="W233" s="6">
        <f>IF(ISERROR(VLOOKUP($T$233,'TAR FIN'!$A$1:$O$88,15,0)),0,VLOOKUP($T$233,'TAR FIN'!$A$1:$O$88,15,0))</f>
        <v>0</v>
      </c>
      <c r="X233" s="6">
        <f>IF(ISERROR(VLOOKUP($U$233,'TAR FIN'!$A$1:$O$88,15,0)),0,VLOOKUP($U$233,'TAR FIN'!$A$1:$O$88,15,0))</f>
        <v>0</v>
      </c>
      <c r="Y233" s="6"/>
      <c r="Z233" s="6">
        <f ca="1">('TUSD BE'!$AM$47+'TUSD BF_350'!$AM$47+'TUSD CVA'!$AM$47)*1</f>
        <v>261.33999999999997</v>
      </c>
      <c r="AA233" s="6">
        <f ca="1">('TE BE'!$AB$38+'TE BF_350'!$AB$38+'TE CVA'!$AB$38)*1</f>
        <v>250.04</v>
      </c>
      <c r="AB233" s="6">
        <f>$K$233*$V$233</f>
        <v>0</v>
      </c>
      <c r="AC233" s="6">
        <f>$M$233*$W$233</f>
        <v>0</v>
      </c>
      <c r="AD233" s="6">
        <f>$O$233*$X$233</f>
        <v>0</v>
      </c>
      <c r="AE233" s="6">
        <f>$K$233*$Y$233</f>
        <v>0</v>
      </c>
      <c r="AF233" s="6">
        <f ca="1">$M$233*$Z$233</f>
        <v>679.22266000000002</v>
      </c>
      <c r="AG233" s="6">
        <f ca="1">$O$233*$AA$233</f>
        <v>649.85396000000003</v>
      </c>
    </row>
    <row r="234" spans="1:33" ht="11.25" customHeight="1" x14ac:dyDescent="0.25">
      <c r="A234" s="4" t="s">
        <v>21</v>
      </c>
      <c r="B234" s="4" t="s">
        <v>32</v>
      </c>
      <c r="C234" s="4" t="s">
        <v>38</v>
      </c>
      <c r="D234" s="4" t="s">
        <v>33</v>
      </c>
      <c r="E234" s="4" t="s">
        <v>25</v>
      </c>
      <c r="F234" s="4" t="s">
        <v>25</v>
      </c>
      <c r="G234" s="4" t="s">
        <v>25</v>
      </c>
      <c r="H234" s="4" t="s">
        <v>37</v>
      </c>
      <c r="I234" s="5">
        <v>44531</v>
      </c>
      <c r="J234" s="6">
        <v>0</v>
      </c>
      <c r="K234" s="6">
        <v>0</v>
      </c>
      <c r="L234" s="6">
        <v>3.3460000000000001</v>
      </c>
      <c r="M234" s="6">
        <v>3.3460000000000001</v>
      </c>
      <c r="N234" s="6">
        <v>3.3460000000000001</v>
      </c>
      <c r="O234" s="6">
        <v>3.3460000000000001</v>
      </c>
      <c r="P234" s="6">
        <v>0</v>
      </c>
      <c r="Q234" s="4" t="s">
        <v>26</v>
      </c>
      <c r="R234" s="4">
        <v>0</v>
      </c>
      <c r="S234" s="6">
        <v>0</v>
      </c>
      <c r="T234" s="6">
        <v>45</v>
      </c>
      <c r="U234" s="6">
        <v>83</v>
      </c>
      <c r="V234" s="6">
        <f>IF(ISERROR(VLOOKUP($S$234,'TAR FIN'!$A$1:$O$88,15,0)),0,VLOOKUP($S$234,'TAR FIN'!$A$1:$O$88,15,0))</f>
        <v>0</v>
      </c>
      <c r="W234" s="6">
        <f>IF(ISERROR(VLOOKUP($T$234,'TAR FIN'!$A$1:$O$88,15,0)),0,VLOOKUP($T$234,'TAR FIN'!$A$1:$O$88,15,0))</f>
        <v>0</v>
      </c>
      <c r="X234" s="6">
        <f>IF(ISERROR(VLOOKUP($U$234,'TAR FIN'!$A$1:$O$88,15,0)),0,VLOOKUP($U$234,'TAR FIN'!$A$1:$O$88,15,0))</f>
        <v>0</v>
      </c>
      <c r="Y234" s="6"/>
      <c r="Z234" s="6">
        <f ca="1">('TUSD BE'!$AM$47+'TUSD BF_350'!$AM$47+'TUSD CVA'!$AM$47)*1</f>
        <v>261.33999999999997</v>
      </c>
      <c r="AA234" s="6">
        <f ca="1">('TE BE'!$AB$38+'TE BF_350'!$AB$38+'TE CVA'!$AB$38)*1</f>
        <v>250.04</v>
      </c>
      <c r="AB234" s="6">
        <f>$K$234*$V$234</f>
        <v>0</v>
      </c>
      <c r="AC234" s="6">
        <f>$M$234*$W$234</f>
        <v>0</v>
      </c>
      <c r="AD234" s="6">
        <f>$O$234*$X$234</f>
        <v>0</v>
      </c>
      <c r="AE234" s="6">
        <f>$K$234*$Y$234</f>
        <v>0</v>
      </c>
      <c r="AF234" s="6">
        <f ca="1">$M$234*$Z$234</f>
        <v>874.44363999999996</v>
      </c>
      <c r="AG234" s="6">
        <f ca="1">$O$234*$AA$234</f>
        <v>836.63383999999996</v>
      </c>
    </row>
    <row r="235" spans="1:33" ht="11.25" customHeight="1" x14ac:dyDescent="0.25">
      <c r="A235" s="4" t="s">
        <v>21</v>
      </c>
      <c r="B235" s="4" t="s">
        <v>32</v>
      </c>
      <c r="C235" s="4" t="s">
        <v>38</v>
      </c>
      <c r="D235" s="4" t="s">
        <v>33</v>
      </c>
      <c r="E235" s="4" t="s">
        <v>25</v>
      </c>
      <c r="F235" s="4" t="s">
        <v>25</v>
      </c>
      <c r="G235" s="4" t="s">
        <v>25</v>
      </c>
      <c r="H235" s="4" t="s">
        <v>37</v>
      </c>
      <c r="I235" s="5">
        <v>44562</v>
      </c>
      <c r="J235" s="6">
        <v>0</v>
      </c>
      <c r="K235" s="6">
        <v>0</v>
      </c>
      <c r="L235" s="6">
        <v>1.5740000000000001</v>
      </c>
      <c r="M235" s="6">
        <v>1.5740000000000001</v>
      </c>
      <c r="N235" s="6">
        <v>1.5740000000000001</v>
      </c>
      <c r="O235" s="6">
        <v>1.5740000000000001</v>
      </c>
      <c r="P235" s="6">
        <v>0</v>
      </c>
      <c r="Q235" s="4" t="s">
        <v>26</v>
      </c>
      <c r="R235" s="4">
        <v>0</v>
      </c>
      <c r="S235" s="6">
        <v>0</v>
      </c>
      <c r="T235" s="6">
        <v>45</v>
      </c>
      <c r="U235" s="6">
        <v>83</v>
      </c>
      <c r="V235" s="6">
        <f>IF(ISERROR(VLOOKUP($S$235,'TAR FIN'!$A$1:$O$88,15,0)),0,VLOOKUP($S$235,'TAR FIN'!$A$1:$O$88,15,0))</f>
        <v>0</v>
      </c>
      <c r="W235" s="6">
        <f>IF(ISERROR(VLOOKUP($T$235,'TAR FIN'!$A$1:$O$88,15,0)),0,VLOOKUP($T$235,'TAR FIN'!$A$1:$O$88,15,0))</f>
        <v>0</v>
      </c>
      <c r="X235" s="6">
        <f>IF(ISERROR(VLOOKUP($U$235,'TAR FIN'!$A$1:$O$88,15,0)),0,VLOOKUP($U$235,'TAR FIN'!$A$1:$O$88,15,0))</f>
        <v>0</v>
      </c>
      <c r="Y235" s="6"/>
      <c r="Z235" s="6">
        <f ca="1">('TUSD BE'!$AM$47+'TUSD BF_350'!$AM$47+'TUSD CVA'!$AM$47)*1</f>
        <v>261.33999999999997</v>
      </c>
      <c r="AA235" s="6">
        <f ca="1">('TE BE'!$AB$38+'TE BF_350'!$AB$38+'TE CVA'!$AB$38)*1</f>
        <v>250.04</v>
      </c>
      <c r="AB235" s="6">
        <f>$K$235*$V$235</f>
        <v>0</v>
      </c>
      <c r="AC235" s="6">
        <f>$M$235*$W$235</f>
        <v>0</v>
      </c>
      <c r="AD235" s="6">
        <f>$O$235*$X$235</f>
        <v>0</v>
      </c>
      <c r="AE235" s="6">
        <f>$K$235*$Y$235</f>
        <v>0</v>
      </c>
      <c r="AF235" s="6">
        <f ca="1">$M$235*$Z$235</f>
        <v>411.34915999999998</v>
      </c>
      <c r="AG235" s="6">
        <f ca="1">$O$235*$AA$235</f>
        <v>393.56295999999998</v>
      </c>
    </row>
    <row r="236" spans="1:33" ht="11.25" customHeight="1" x14ac:dyDescent="0.25">
      <c r="A236" s="4" t="s">
        <v>21</v>
      </c>
      <c r="B236" s="4" t="s">
        <v>32</v>
      </c>
      <c r="C236" s="4" t="s">
        <v>38</v>
      </c>
      <c r="D236" s="4" t="s">
        <v>33</v>
      </c>
      <c r="E236" s="4" t="s">
        <v>25</v>
      </c>
      <c r="F236" s="4" t="s">
        <v>25</v>
      </c>
      <c r="G236" s="4" t="s">
        <v>25</v>
      </c>
      <c r="H236" s="4" t="s">
        <v>39</v>
      </c>
      <c r="I236" s="5">
        <v>44409</v>
      </c>
      <c r="J236" s="6">
        <v>0</v>
      </c>
      <c r="K236" s="6">
        <v>0</v>
      </c>
      <c r="L236" s="6">
        <v>2E-3</v>
      </c>
      <c r="M236" s="6">
        <v>2E-3</v>
      </c>
      <c r="N236" s="6">
        <v>2E-3</v>
      </c>
      <c r="O236" s="6">
        <v>2E-3</v>
      </c>
      <c r="P236" s="6">
        <v>0</v>
      </c>
      <c r="Q236" s="4" t="s">
        <v>26</v>
      </c>
      <c r="R236" s="4">
        <v>0</v>
      </c>
      <c r="S236" s="6">
        <v>0</v>
      </c>
      <c r="T236" s="6">
        <v>44</v>
      </c>
      <c r="U236" s="6">
        <v>82</v>
      </c>
      <c r="V236" s="6">
        <f>IF(ISERROR(VLOOKUP($S$236,'TAR FIN'!$A$1:$O$88,15,0)),0,VLOOKUP($S$236,'TAR FIN'!$A$1:$O$88,15,0))</f>
        <v>0</v>
      </c>
      <c r="W236" s="6">
        <f>IF(ISERROR(VLOOKUP($T$236,'TAR FIN'!$A$1:$O$88,15,0)),0,VLOOKUP($T$236,'TAR FIN'!$A$1:$O$88,15,0))</f>
        <v>0</v>
      </c>
      <c r="X236" s="6">
        <f>IF(ISERROR(VLOOKUP($U$236,'TAR FIN'!$A$1:$O$88,15,0)),0,VLOOKUP($U$236,'TAR FIN'!$A$1:$O$88,15,0))</f>
        <v>0</v>
      </c>
      <c r="Y236" s="6"/>
      <c r="Z236" s="6">
        <f ca="1">('TUSD BE'!$AM$46+'TUSD BF_350'!$AM$46+'TUSD CVA'!$AM$46)*1</f>
        <v>470.22000000000008</v>
      </c>
      <c r="AA236" s="6">
        <f ca="1">('TE BE'!$AB$37+'TE BF_350'!$AB$37+'TE CVA'!$AB$37)*1</f>
        <v>250.04</v>
      </c>
      <c r="AB236" s="6">
        <f>$K$236*$V$236</f>
        <v>0</v>
      </c>
      <c r="AC236" s="6">
        <f>$M$236*$W$236</f>
        <v>0</v>
      </c>
      <c r="AD236" s="6">
        <f>$O$236*$X$236</f>
        <v>0</v>
      </c>
      <c r="AE236" s="6">
        <f>$K$236*$Y$236</f>
        <v>0</v>
      </c>
      <c r="AF236" s="6">
        <f ca="1">$M$236*$Z$236</f>
        <v>0.94044000000000016</v>
      </c>
      <c r="AG236" s="6">
        <f ca="1">$O$236*$AA$236</f>
        <v>0.50007999999999997</v>
      </c>
    </row>
    <row r="237" spans="1:33" ht="11.25" customHeight="1" x14ac:dyDescent="0.25">
      <c r="A237" s="4" t="s">
        <v>21</v>
      </c>
      <c r="B237" s="4" t="s">
        <v>32</v>
      </c>
      <c r="C237" s="4" t="s">
        <v>38</v>
      </c>
      <c r="D237" s="4" t="s">
        <v>33</v>
      </c>
      <c r="E237" s="4" t="s">
        <v>25</v>
      </c>
      <c r="F237" s="4" t="s">
        <v>25</v>
      </c>
      <c r="G237" s="4" t="s">
        <v>25</v>
      </c>
      <c r="H237" s="4" t="s">
        <v>39</v>
      </c>
      <c r="I237" s="5">
        <v>44440</v>
      </c>
      <c r="J237" s="6">
        <v>0</v>
      </c>
      <c r="K237" s="6">
        <v>0</v>
      </c>
      <c r="L237" s="6">
        <v>3.0000000000000001E-3</v>
      </c>
      <c r="M237" s="6">
        <v>3.0000000000000001E-3</v>
      </c>
      <c r="N237" s="6">
        <v>3.0000000000000001E-3</v>
      </c>
      <c r="O237" s="6">
        <v>3.0000000000000001E-3</v>
      </c>
      <c r="P237" s="6">
        <v>0</v>
      </c>
      <c r="Q237" s="4" t="s">
        <v>26</v>
      </c>
      <c r="R237" s="4">
        <v>0</v>
      </c>
      <c r="S237" s="6">
        <v>0</v>
      </c>
      <c r="T237" s="6">
        <v>44</v>
      </c>
      <c r="U237" s="6">
        <v>82</v>
      </c>
      <c r="V237" s="6">
        <f>IF(ISERROR(VLOOKUP($S$237,'TAR FIN'!$A$1:$O$88,15,0)),0,VLOOKUP($S$237,'TAR FIN'!$A$1:$O$88,15,0))</f>
        <v>0</v>
      </c>
      <c r="W237" s="6">
        <f>IF(ISERROR(VLOOKUP($T$237,'TAR FIN'!$A$1:$O$88,15,0)),0,VLOOKUP($T$237,'TAR FIN'!$A$1:$O$88,15,0))</f>
        <v>0</v>
      </c>
      <c r="X237" s="6">
        <f>IF(ISERROR(VLOOKUP($U$237,'TAR FIN'!$A$1:$O$88,15,0)),0,VLOOKUP($U$237,'TAR FIN'!$A$1:$O$88,15,0))</f>
        <v>0</v>
      </c>
      <c r="Y237" s="6"/>
      <c r="Z237" s="6">
        <f ca="1">('TUSD BE'!$AM$46+'TUSD BF_350'!$AM$46+'TUSD CVA'!$AM$46)*1</f>
        <v>470.22000000000008</v>
      </c>
      <c r="AA237" s="6">
        <f ca="1">('TE BE'!$AB$37+'TE BF_350'!$AB$37+'TE CVA'!$AB$37)*1</f>
        <v>250.04</v>
      </c>
      <c r="AB237" s="6">
        <f>$K$237*$V$237</f>
        <v>0</v>
      </c>
      <c r="AC237" s="6">
        <f>$M$237*$W$237</f>
        <v>0</v>
      </c>
      <c r="AD237" s="6">
        <f>$O$237*$X$237</f>
        <v>0</v>
      </c>
      <c r="AE237" s="6">
        <f>$K$237*$Y$237</f>
        <v>0</v>
      </c>
      <c r="AF237" s="6">
        <f ca="1">$M$237*$Z$237</f>
        <v>1.4106600000000002</v>
      </c>
      <c r="AG237" s="6">
        <f ca="1">$O$237*$AA$237</f>
        <v>0.75012000000000001</v>
      </c>
    </row>
    <row r="238" spans="1:33" ht="11.25" customHeight="1" x14ac:dyDescent="0.25">
      <c r="A238" s="4" t="s">
        <v>21</v>
      </c>
      <c r="B238" s="4" t="s">
        <v>32</v>
      </c>
      <c r="C238" s="4" t="s">
        <v>38</v>
      </c>
      <c r="D238" s="4" t="s">
        <v>33</v>
      </c>
      <c r="E238" s="4" t="s">
        <v>25</v>
      </c>
      <c r="F238" s="4" t="s">
        <v>25</v>
      </c>
      <c r="G238" s="4" t="s">
        <v>25</v>
      </c>
      <c r="H238" s="4" t="s">
        <v>39</v>
      </c>
      <c r="I238" s="5">
        <v>44470</v>
      </c>
      <c r="J238" s="6">
        <v>0</v>
      </c>
      <c r="K238" s="6">
        <v>0</v>
      </c>
      <c r="L238" s="6">
        <v>1E-3</v>
      </c>
      <c r="M238" s="6">
        <v>1E-3</v>
      </c>
      <c r="N238" s="6">
        <v>1E-3</v>
      </c>
      <c r="O238" s="6">
        <v>1E-3</v>
      </c>
      <c r="P238" s="6">
        <v>0</v>
      </c>
      <c r="Q238" s="4" t="s">
        <v>26</v>
      </c>
      <c r="R238" s="4">
        <v>0</v>
      </c>
      <c r="S238" s="6">
        <v>0</v>
      </c>
      <c r="T238" s="6">
        <v>44</v>
      </c>
      <c r="U238" s="6">
        <v>82</v>
      </c>
      <c r="V238" s="6">
        <f>IF(ISERROR(VLOOKUP($S$238,'TAR FIN'!$A$1:$O$88,15,0)),0,VLOOKUP($S$238,'TAR FIN'!$A$1:$O$88,15,0))</f>
        <v>0</v>
      </c>
      <c r="W238" s="6">
        <f>IF(ISERROR(VLOOKUP($T$238,'TAR FIN'!$A$1:$O$88,15,0)),0,VLOOKUP($T$238,'TAR FIN'!$A$1:$O$88,15,0))</f>
        <v>0</v>
      </c>
      <c r="X238" s="6">
        <f>IF(ISERROR(VLOOKUP($U$238,'TAR FIN'!$A$1:$O$88,15,0)),0,VLOOKUP($U$238,'TAR FIN'!$A$1:$O$88,15,0))</f>
        <v>0</v>
      </c>
      <c r="Y238" s="6"/>
      <c r="Z238" s="6">
        <f ca="1">('TUSD BE'!$AM$46+'TUSD BF_350'!$AM$46+'TUSD CVA'!$AM$46)*1</f>
        <v>470.22000000000008</v>
      </c>
      <c r="AA238" s="6">
        <f ca="1">('TE BE'!$AB$37+'TE BF_350'!$AB$37+'TE CVA'!$AB$37)*1</f>
        <v>250.04</v>
      </c>
      <c r="AB238" s="6">
        <f>$K$238*$V$238</f>
        <v>0</v>
      </c>
      <c r="AC238" s="6">
        <f>$M$238*$W$238</f>
        <v>0</v>
      </c>
      <c r="AD238" s="6">
        <f>$O$238*$X$238</f>
        <v>0</v>
      </c>
      <c r="AE238" s="6">
        <f>$K$238*$Y$238</f>
        <v>0</v>
      </c>
      <c r="AF238" s="6">
        <f ca="1">$M$238*$Z$238</f>
        <v>0.47022000000000008</v>
      </c>
      <c r="AG238" s="6">
        <f ca="1">$O$238*$AA$238</f>
        <v>0.25003999999999998</v>
      </c>
    </row>
    <row r="239" spans="1:33" ht="11.25" customHeight="1" x14ac:dyDescent="0.25">
      <c r="A239" s="4" t="s">
        <v>21</v>
      </c>
      <c r="B239" s="4" t="s">
        <v>32</v>
      </c>
      <c r="C239" s="4" t="s">
        <v>38</v>
      </c>
      <c r="D239" s="4" t="s">
        <v>33</v>
      </c>
      <c r="E239" s="4" t="s">
        <v>25</v>
      </c>
      <c r="F239" s="4" t="s">
        <v>25</v>
      </c>
      <c r="G239" s="4" t="s">
        <v>25</v>
      </c>
      <c r="H239" s="4" t="s">
        <v>39</v>
      </c>
      <c r="I239" s="5">
        <v>44501</v>
      </c>
      <c r="J239" s="6">
        <v>0</v>
      </c>
      <c r="K239" s="6">
        <v>0</v>
      </c>
      <c r="L239" s="6">
        <v>1E-3</v>
      </c>
      <c r="M239" s="6">
        <v>1E-3</v>
      </c>
      <c r="N239" s="6">
        <v>1E-3</v>
      </c>
      <c r="O239" s="6">
        <v>1E-3</v>
      </c>
      <c r="P239" s="6">
        <v>0</v>
      </c>
      <c r="Q239" s="4" t="s">
        <v>26</v>
      </c>
      <c r="R239" s="4">
        <v>0</v>
      </c>
      <c r="S239" s="6">
        <v>0</v>
      </c>
      <c r="T239" s="6">
        <v>44</v>
      </c>
      <c r="U239" s="6">
        <v>82</v>
      </c>
      <c r="V239" s="6">
        <f>IF(ISERROR(VLOOKUP($S$239,'TAR FIN'!$A$1:$O$88,15,0)),0,VLOOKUP($S$239,'TAR FIN'!$A$1:$O$88,15,0))</f>
        <v>0</v>
      </c>
      <c r="W239" s="6">
        <f>IF(ISERROR(VLOOKUP($T$239,'TAR FIN'!$A$1:$O$88,15,0)),0,VLOOKUP($T$239,'TAR FIN'!$A$1:$O$88,15,0))</f>
        <v>0</v>
      </c>
      <c r="X239" s="6">
        <f>IF(ISERROR(VLOOKUP($U$239,'TAR FIN'!$A$1:$O$88,15,0)),0,VLOOKUP($U$239,'TAR FIN'!$A$1:$O$88,15,0))</f>
        <v>0</v>
      </c>
      <c r="Y239" s="6"/>
      <c r="Z239" s="6">
        <f ca="1">('TUSD BE'!$AM$46+'TUSD BF_350'!$AM$46+'TUSD CVA'!$AM$46)*1</f>
        <v>470.22000000000008</v>
      </c>
      <c r="AA239" s="6">
        <f ca="1">('TE BE'!$AB$37+'TE BF_350'!$AB$37+'TE CVA'!$AB$37)*1</f>
        <v>250.04</v>
      </c>
      <c r="AB239" s="6">
        <f>$K$239*$V$239</f>
        <v>0</v>
      </c>
      <c r="AC239" s="6">
        <f>$M$239*$W$239</f>
        <v>0</v>
      </c>
      <c r="AD239" s="6">
        <f>$O$239*$X$239</f>
        <v>0</v>
      </c>
      <c r="AE239" s="6">
        <f>$K$239*$Y$239</f>
        <v>0</v>
      </c>
      <c r="AF239" s="6">
        <f ca="1">$M$239*$Z$239</f>
        <v>0.47022000000000008</v>
      </c>
      <c r="AG239" s="6">
        <f ca="1">$O$239*$AA$239</f>
        <v>0.25003999999999998</v>
      </c>
    </row>
    <row r="240" spans="1:33" ht="11.25" customHeight="1" x14ac:dyDescent="0.25">
      <c r="A240" s="4" t="s">
        <v>21</v>
      </c>
      <c r="B240" s="4" t="s">
        <v>32</v>
      </c>
      <c r="C240" s="4" t="s">
        <v>38</v>
      </c>
      <c r="D240" s="4" t="s">
        <v>33</v>
      </c>
      <c r="E240" s="4" t="s">
        <v>25</v>
      </c>
      <c r="F240" s="4" t="s">
        <v>25</v>
      </c>
      <c r="G240" s="4" t="s">
        <v>25</v>
      </c>
      <c r="H240" s="4" t="s">
        <v>39</v>
      </c>
      <c r="I240" s="5">
        <v>44531</v>
      </c>
      <c r="J240" s="6">
        <v>0</v>
      </c>
      <c r="K240" s="6">
        <v>0</v>
      </c>
      <c r="L240" s="6">
        <v>2E-3</v>
      </c>
      <c r="M240" s="6">
        <v>2E-3</v>
      </c>
      <c r="N240" s="6">
        <v>2E-3</v>
      </c>
      <c r="O240" s="6">
        <v>2E-3</v>
      </c>
      <c r="P240" s="6">
        <v>0</v>
      </c>
      <c r="Q240" s="4" t="s">
        <v>26</v>
      </c>
      <c r="R240" s="4">
        <v>0</v>
      </c>
      <c r="S240" s="6">
        <v>0</v>
      </c>
      <c r="T240" s="6">
        <v>44</v>
      </c>
      <c r="U240" s="6">
        <v>82</v>
      </c>
      <c r="V240" s="6">
        <f>IF(ISERROR(VLOOKUP($S$240,'TAR FIN'!$A$1:$O$88,15,0)),0,VLOOKUP($S$240,'TAR FIN'!$A$1:$O$88,15,0))</f>
        <v>0</v>
      </c>
      <c r="W240" s="6">
        <f>IF(ISERROR(VLOOKUP($T$240,'TAR FIN'!$A$1:$O$88,15,0)),0,VLOOKUP($T$240,'TAR FIN'!$A$1:$O$88,15,0))</f>
        <v>0</v>
      </c>
      <c r="X240" s="6">
        <f>IF(ISERROR(VLOOKUP($U$240,'TAR FIN'!$A$1:$O$88,15,0)),0,VLOOKUP($U$240,'TAR FIN'!$A$1:$O$88,15,0))</f>
        <v>0</v>
      </c>
      <c r="Y240" s="6"/>
      <c r="Z240" s="6">
        <f ca="1">('TUSD BE'!$AM$46+'TUSD BF_350'!$AM$46+'TUSD CVA'!$AM$46)*1</f>
        <v>470.22000000000008</v>
      </c>
      <c r="AA240" s="6">
        <f ca="1">('TE BE'!$AB$37+'TE BF_350'!$AB$37+'TE CVA'!$AB$37)*1</f>
        <v>250.04</v>
      </c>
      <c r="AB240" s="6">
        <f>$K$240*$V$240</f>
        <v>0</v>
      </c>
      <c r="AC240" s="6">
        <f>$M$240*$W$240</f>
        <v>0</v>
      </c>
      <c r="AD240" s="6">
        <f>$O$240*$X$240</f>
        <v>0</v>
      </c>
      <c r="AE240" s="6">
        <f>$K$240*$Y$240</f>
        <v>0</v>
      </c>
      <c r="AF240" s="6">
        <f ca="1">$M$240*$Z$240</f>
        <v>0.94044000000000016</v>
      </c>
      <c r="AG240" s="6">
        <f ca="1">$O$240*$AA$240</f>
        <v>0.50007999999999997</v>
      </c>
    </row>
    <row r="241" spans="1:33" ht="11.25" customHeight="1" x14ac:dyDescent="0.25">
      <c r="A241" s="4" t="s">
        <v>21</v>
      </c>
      <c r="B241" s="4" t="s">
        <v>32</v>
      </c>
      <c r="C241" s="4" t="s">
        <v>38</v>
      </c>
      <c r="D241" s="4" t="s">
        <v>33</v>
      </c>
      <c r="E241" s="4" t="s">
        <v>25</v>
      </c>
      <c r="F241" s="4" t="s">
        <v>25</v>
      </c>
      <c r="G241" s="4" t="s">
        <v>25</v>
      </c>
      <c r="H241" s="4" t="s">
        <v>39</v>
      </c>
      <c r="I241" s="5">
        <v>44562</v>
      </c>
      <c r="J241" s="6">
        <v>0</v>
      </c>
      <c r="K241" s="6">
        <v>0</v>
      </c>
      <c r="L241" s="6">
        <v>1E-3</v>
      </c>
      <c r="M241" s="6">
        <v>1E-3</v>
      </c>
      <c r="N241" s="6">
        <v>1E-3</v>
      </c>
      <c r="O241" s="6">
        <v>1E-3</v>
      </c>
      <c r="P241" s="6">
        <v>0</v>
      </c>
      <c r="Q241" s="4" t="s">
        <v>26</v>
      </c>
      <c r="R241" s="4">
        <v>0</v>
      </c>
      <c r="S241" s="6">
        <v>0</v>
      </c>
      <c r="T241" s="6">
        <v>44</v>
      </c>
      <c r="U241" s="6">
        <v>82</v>
      </c>
      <c r="V241" s="6">
        <f>IF(ISERROR(VLOOKUP($S$241,'TAR FIN'!$A$1:$O$88,15,0)),0,VLOOKUP($S$241,'TAR FIN'!$A$1:$O$88,15,0))</f>
        <v>0</v>
      </c>
      <c r="W241" s="6">
        <f>IF(ISERROR(VLOOKUP($T$241,'TAR FIN'!$A$1:$O$88,15,0)),0,VLOOKUP($T$241,'TAR FIN'!$A$1:$O$88,15,0))</f>
        <v>0</v>
      </c>
      <c r="X241" s="6">
        <f>IF(ISERROR(VLOOKUP($U$241,'TAR FIN'!$A$1:$O$88,15,0)),0,VLOOKUP($U$241,'TAR FIN'!$A$1:$O$88,15,0))</f>
        <v>0</v>
      </c>
      <c r="Y241" s="6"/>
      <c r="Z241" s="6">
        <f ca="1">('TUSD BE'!$AM$46+'TUSD BF_350'!$AM$46+'TUSD CVA'!$AM$46)*1</f>
        <v>470.22000000000008</v>
      </c>
      <c r="AA241" s="6">
        <f ca="1">('TE BE'!$AB$37+'TE BF_350'!$AB$37+'TE CVA'!$AB$37)*1</f>
        <v>250.04</v>
      </c>
      <c r="AB241" s="6">
        <f>$K$241*$V$241</f>
        <v>0</v>
      </c>
      <c r="AC241" s="6">
        <f>$M$241*$W$241</f>
        <v>0</v>
      </c>
      <c r="AD241" s="6">
        <f>$O$241*$X$241</f>
        <v>0</v>
      </c>
      <c r="AE241" s="6">
        <f>$K$241*$Y$241</f>
        <v>0</v>
      </c>
      <c r="AF241" s="6">
        <f ca="1">$M$241*$Z$241</f>
        <v>0.47022000000000008</v>
      </c>
      <c r="AG241" s="6">
        <f ca="1">$O$241*$AA$241</f>
        <v>0.25003999999999998</v>
      </c>
    </row>
    <row r="242" spans="1:33" ht="11.25" customHeight="1" x14ac:dyDescent="0.25">
      <c r="A242" s="4" t="s">
        <v>21</v>
      </c>
      <c r="B242" s="4" t="s">
        <v>32</v>
      </c>
      <c r="C242" s="4" t="s">
        <v>38</v>
      </c>
      <c r="D242" s="4" t="s">
        <v>33</v>
      </c>
      <c r="E242" s="4" t="s">
        <v>25</v>
      </c>
      <c r="F242" s="4" t="s">
        <v>25</v>
      </c>
      <c r="G242" s="4" t="s">
        <v>25</v>
      </c>
      <c r="H242" s="4" t="s">
        <v>36</v>
      </c>
      <c r="I242" s="5">
        <v>44409</v>
      </c>
      <c r="J242" s="6">
        <v>0</v>
      </c>
      <c r="K242" s="6">
        <v>0</v>
      </c>
      <c r="L242" s="6">
        <v>1E-3</v>
      </c>
      <c r="M242" s="6">
        <v>1E-3</v>
      </c>
      <c r="N242" s="6">
        <v>1E-3</v>
      </c>
      <c r="O242" s="6">
        <v>1E-3</v>
      </c>
      <c r="P242" s="6">
        <v>0</v>
      </c>
      <c r="Q242" s="4" t="s">
        <v>26</v>
      </c>
      <c r="R242" s="4">
        <v>0</v>
      </c>
      <c r="S242" s="6">
        <v>0</v>
      </c>
      <c r="T242" s="6">
        <v>43</v>
      </c>
      <c r="U242" s="6">
        <v>81</v>
      </c>
      <c r="V242" s="6">
        <f>IF(ISERROR(VLOOKUP($S$242,'TAR FIN'!$A$1:$O$88,15,0)),0,VLOOKUP($S$242,'TAR FIN'!$A$1:$O$88,15,0))</f>
        <v>0</v>
      </c>
      <c r="W242" s="6">
        <f>IF(ISERROR(VLOOKUP($T$242,'TAR FIN'!$A$1:$O$88,15,0)),0,VLOOKUP($T$242,'TAR FIN'!$A$1:$O$88,15,0))</f>
        <v>0</v>
      </c>
      <c r="X242" s="6">
        <f>IF(ISERROR(VLOOKUP($U$242,'TAR FIN'!$A$1:$O$88,15,0)),0,VLOOKUP($U$242,'TAR FIN'!$A$1:$O$88,15,0))</f>
        <v>0</v>
      </c>
      <c r="Y242" s="6"/>
      <c r="Z242" s="6">
        <f ca="1">('TUSD BE'!$AM$45+'TUSD BF_350'!$AM$45+'TUSD CVA'!$AM$45)*1</f>
        <v>679.11</v>
      </c>
      <c r="AA242" s="6">
        <f ca="1">('TE BE'!$AB$36+'TE BF_350'!$AB$36+'TE CVA'!$AB$36)*1</f>
        <v>399.84</v>
      </c>
      <c r="AB242" s="6">
        <f>$K$242*$V$242</f>
        <v>0</v>
      </c>
      <c r="AC242" s="6">
        <f>$M$242*$W$242</f>
        <v>0</v>
      </c>
      <c r="AD242" s="6">
        <f>$O$242*$X$242</f>
        <v>0</v>
      </c>
      <c r="AE242" s="6">
        <f>$K$242*$Y$242</f>
        <v>0</v>
      </c>
      <c r="AF242" s="6">
        <f ca="1">$M$242*$Z$242</f>
        <v>0.67910999999999999</v>
      </c>
      <c r="AG242" s="6">
        <f ca="1">$O$242*$AA$242</f>
        <v>0.39983999999999997</v>
      </c>
    </row>
    <row r="243" spans="1:33" ht="11.25" customHeight="1" x14ac:dyDescent="0.25">
      <c r="A243" s="4" t="s">
        <v>21</v>
      </c>
      <c r="B243" s="4" t="s">
        <v>32</v>
      </c>
      <c r="C243" s="4" t="s">
        <v>38</v>
      </c>
      <c r="D243" s="4" t="s">
        <v>33</v>
      </c>
      <c r="E243" s="4" t="s">
        <v>25</v>
      </c>
      <c r="F243" s="4" t="s">
        <v>25</v>
      </c>
      <c r="G243" s="4" t="s">
        <v>25</v>
      </c>
      <c r="H243" s="4" t="s">
        <v>36</v>
      </c>
      <c r="I243" s="5">
        <v>44440</v>
      </c>
      <c r="J243" s="6">
        <v>0</v>
      </c>
      <c r="K243" s="6">
        <v>0</v>
      </c>
      <c r="L243" s="6">
        <v>3.0000000000000001E-3</v>
      </c>
      <c r="M243" s="6">
        <v>3.0000000000000001E-3</v>
      </c>
      <c r="N243" s="6">
        <v>3.0000000000000001E-3</v>
      </c>
      <c r="O243" s="6">
        <v>3.0000000000000001E-3</v>
      </c>
      <c r="P243" s="6">
        <v>0</v>
      </c>
      <c r="Q243" s="4" t="s">
        <v>26</v>
      </c>
      <c r="R243" s="4">
        <v>0</v>
      </c>
      <c r="S243" s="6">
        <v>0</v>
      </c>
      <c r="T243" s="6">
        <v>43</v>
      </c>
      <c r="U243" s="6">
        <v>81</v>
      </c>
      <c r="V243" s="6">
        <f>IF(ISERROR(VLOOKUP($S$243,'TAR FIN'!$A$1:$O$88,15,0)),0,VLOOKUP($S$243,'TAR FIN'!$A$1:$O$88,15,0))</f>
        <v>0</v>
      </c>
      <c r="W243" s="6">
        <f>IF(ISERROR(VLOOKUP($T$243,'TAR FIN'!$A$1:$O$88,15,0)),0,VLOOKUP($T$243,'TAR FIN'!$A$1:$O$88,15,0))</f>
        <v>0</v>
      </c>
      <c r="X243" s="6">
        <f>IF(ISERROR(VLOOKUP($U$243,'TAR FIN'!$A$1:$O$88,15,0)),0,VLOOKUP($U$243,'TAR FIN'!$A$1:$O$88,15,0))</f>
        <v>0</v>
      </c>
      <c r="Y243" s="6"/>
      <c r="Z243" s="6">
        <f ca="1">('TUSD BE'!$AM$45+'TUSD BF_350'!$AM$45+'TUSD CVA'!$AM$45)*1</f>
        <v>679.11</v>
      </c>
      <c r="AA243" s="6">
        <f ca="1">('TE BE'!$AB$36+'TE BF_350'!$AB$36+'TE CVA'!$AB$36)*1</f>
        <v>399.84</v>
      </c>
      <c r="AB243" s="6">
        <f>$K$243*$V$243</f>
        <v>0</v>
      </c>
      <c r="AC243" s="6">
        <f>$M$243*$W$243</f>
        <v>0</v>
      </c>
      <c r="AD243" s="6">
        <f>$O$243*$X$243</f>
        <v>0</v>
      </c>
      <c r="AE243" s="6">
        <f>$K$243*$Y$243</f>
        <v>0</v>
      </c>
      <c r="AF243" s="6">
        <f ca="1">$M$243*$Z$243</f>
        <v>2.0373299999999999</v>
      </c>
      <c r="AG243" s="6">
        <f ca="1">$O$243*$AA$243</f>
        <v>1.1995199999999999</v>
      </c>
    </row>
    <row r="244" spans="1:33" ht="11.25" customHeight="1" x14ac:dyDescent="0.25">
      <c r="A244" s="4" t="s">
        <v>21</v>
      </c>
      <c r="B244" s="4" t="s">
        <v>32</v>
      </c>
      <c r="C244" s="4" t="s">
        <v>38</v>
      </c>
      <c r="D244" s="4" t="s">
        <v>33</v>
      </c>
      <c r="E244" s="4" t="s">
        <v>25</v>
      </c>
      <c r="F244" s="4" t="s">
        <v>25</v>
      </c>
      <c r="G244" s="4" t="s">
        <v>25</v>
      </c>
      <c r="H244" s="4" t="s">
        <v>36</v>
      </c>
      <c r="I244" s="5">
        <v>44470</v>
      </c>
      <c r="J244" s="6">
        <v>0</v>
      </c>
      <c r="K244" s="6">
        <v>0</v>
      </c>
      <c r="L244" s="6">
        <v>1E-3</v>
      </c>
      <c r="M244" s="6">
        <v>1E-3</v>
      </c>
      <c r="N244" s="6">
        <v>1E-3</v>
      </c>
      <c r="O244" s="6">
        <v>1E-3</v>
      </c>
      <c r="P244" s="6">
        <v>0</v>
      </c>
      <c r="Q244" s="4" t="s">
        <v>26</v>
      </c>
      <c r="R244" s="4">
        <v>0</v>
      </c>
      <c r="S244" s="6">
        <v>0</v>
      </c>
      <c r="T244" s="6">
        <v>43</v>
      </c>
      <c r="U244" s="6">
        <v>81</v>
      </c>
      <c r="V244" s="6">
        <f>IF(ISERROR(VLOOKUP($S$244,'TAR FIN'!$A$1:$O$88,15,0)),0,VLOOKUP($S$244,'TAR FIN'!$A$1:$O$88,15,0))</f>
        <v>0</v>
      </c>
      <c r="W244" s="6">
        <f>IF(ISERROR(VLOOKUP($T$244,'TAR FIN'!$A$1:$O$88,15,0)),0,VLOOKUP($T$244,'TAR FIN'!$A$1:$O$88,15,0))</f>
        <v>0</v>
      </c>
      <c r="X244" s="6">
        <f>IF(ISERROR(VLOOKUP($U$244,'TAR FIN'!$A$1:$O$88,15,0)),0,VLOOKUP($U$244,'TAR FIN'!$A$1:$O$88,15,0))</f>
        <v>0</v>
      </c>
      <c r="Y244" s="6"/>
      <c r="Z244" s="6">
        <f ca="1">('TUSD BE'!$AM$45+'TUSD BF_350'!$AM$45+'TUSD CVA'!$AM$45)*1</f>
        <v>679.11</v>
      </c>
      <c r="AA244" s="6">
        <f ca="1">('TE BE'!$AB$36+'TE BF_350'!$AB$36+'TE CVA'!$AB$36)*1</f>
        <v>399.84</v>
      </c>
      <c r="AB244" s="6">
        <f>$K$244*$V$244</f>
        <v>0</v>
      </c>
      <c r="AC244" s="6">
        <f>$M$244*$W$244</f>
        <v>0</v>
      </c>
      <c r="AD244" s="6">
        <f>$O$244*$X$244</f>
        <v>0</v>
      </c>
      <c r="AE244" s="6">
        <f>$K$244*$Y$244</f>
        <v>0</v>
      </c>
      <c r="AF244" s="6">
        <f ca="1">$M$244*$Z$244</f>
        <v>0.67910999999999999</v>
      </c>
      <c r="AG244" s="6">
        <f ca="1">$O$244*$AA$244</f>
        <v>0.39983999999999997</v>
      </c>
    </row>
    <row r="245" spans="1:33" ht="11.25" customHeight="1" x14ac:dyDescent="0.25">
      <c r="A245" s="4" t="s">
        <v>21</v>
      </c>
      <c r="B245" s="4" t="s">
        <v>32</v>
      </c>
      <c r="C245" s="4" t="s">
        <v>38</v>
      </c>
      <c r="D245" s="4" t="s">
        <v>33</v>
      </c>
      <c r="E245" s="4" t="s">
        <v>25</v>
      </c>
      <c r="F245" s="4" t="s">
        <v>25</v>
      </c>
      <c r="G245" s="4" t="s">
        <v>25</v>
      </c>
      <c r="H245" s="4" t="s">
        <v>36</v>
      </c>
      <c r="I245" s="5">
        <v>44501</v>
      </c>
      <c r="J245" s="6">
        <v>0</v>
      </c>
      <c r="K245" s="6">
        <v>0</v>
      </c>
      <c r="L245" s="6">
        <v>1E-3</v>
      </c>
      <c r="M245" s="6">
        <v>1E-3</v>
      </c>
      <c r="N245" s="6">
        <v>1E-3</v>
      </c>
      <c r="O245" s="6">
        <v>1E-3</v>
      </c>
      <c r="P245" s="6">
        <v>0</v>
      </c>
      <c r="Q245" s="4" t="s">
        <v>26</v>
      </c>
      <c r="R245" s="4">
        <v>0</v>
      </c>
      <c r="S245" s="6">
        <v>0</v>
      </c>
      <c r="T245" s="6">
        <v>43</v>
      </c>
      <c r="U245" s="6">
        <v>81</v>
      </c>
      <c r="V245" s="6">
        <f>IF(ISERROR(VLOOKUP($S$245,'TAR FIN'!$A$1:$O$88,15,0)),0,VLOOKUP($S$245,'TAR FIN'!$A$1:$O$88,15,0))</f>
        <v>0</v>
      </c>
      <c r="W245" s="6">
        <f>IF(ISERROR(VLOOKUP($T$245,'TAR FIN'!$A$1:$O$88,15,0)),0,VLOOKUP($T$245,'TAR FIN'!$A$1:$O$88,15,0))</f>
        <v>0</v>
      </c>
      <c r="X245" s="6">
        <f>IF(ISERROR(VLOOKUP($U$245,'TAR FIN'!$A$1:$O$88,15,0)),0,VLOOKUP($U$245,'TAR FIN'!$A$1:$O$88,15,0))</f>
        <v>0</v>
      </c>
      <c r="Y245" s="6"/>
      <c r="Z245" s="6">
        <f ca="1">('TUSD BE'!$AM$45+'TUSD BF_350'!$AM$45+'TUSD CVA'!$AM$45)*1</f>
        <v>679.11</v>
      </c>
      <c r="AA245" s="6">
        <f ca="1">('TE BE'!$AB$36+'TE BF_350'!$AB$36+'TE CVA'!$AB$36)*1</f>
        <v>399.84</v>
      </c>
      <c r="AB245" s="6">
        <f>$K$245*$V$245</f>
        <v>0</v>
      </c>
      <c r="AC245" s="6">
        <f>$M$245*$W$245</f>
        <v>0</v>
      </c>
      <c r="AD245" s="6">
        <f>$O$245*$X$245</f>
        <v>0</v>
      </c>
      <c r="AE245" s="6">
        <f>$K$245*$Y$245</f>
        <v>0</v>
      </c>
      <c r="AF245" s="6">
        <f ca="1">$M$245*$Z$245</f>
        <v>0.67910999999999999</v>
      </c>
      <c r="AG245" s="6">
        <f ca="1">$O$245*$AA$245</f>
        <v>0.39983999999999997</v>
      </c>
    </row>
    <row r="246" spans="1:33" ht="11.25" customHeight="1" x14ac:dyDescent="0.25">
      <c r="A246" s="4" t="s">
        <v>21</v>
      </c>
      <c r="B246" s="4" t="s">
        <v>32</v>
      </c>
      <c r="C246" s="4" t="s">
        <v>38</v>
      </c>
      <c r="D246" s="4" t="s">
        <v>33</v>
      </c>
      <c r="E246" s="4" t="s">
        <v>25</v>
      </c>
      <c r="F246" s="4" t="s">
        <v>25</v>
      </c>
      <c r="G246" s="4" t="s">
        <v>25</v>
      </c>
      <c r="H246" s="4" t="s">
        <v>36</v>
      </c>
      <c r="I246" s="5">
        <v>44531</v>
      </c>
      <c r="J246" s="6">
        <v>0</v>
      </c>
      <c r="K246" s="6">
        <v>0</v>
      </c>
      <c r="L246" s="6">
        <v>8.0000000000000002E-3</v>
      </c>
      <c r="M246" s="6">
        <v>8.0000000000000002E-3</v>
      </c>
      <c r="N246" s="6">
        <v>8.0000000000000002E-3</v>
      </c>
      <c r="O246" s="6">
        <v>8.0000000000000002E-3</v>
      </c>
      <c r="P246" s="6">
        <v>0</v>
      </c>
      <c r="Q246" s="4" t="s">
        <v>26</v>
      </c>
      <c r="R246" s="4">
        <v>0</v>
      </c>
      <c r="S246" s="6">
        <v>0</v>
      </c>
      <c r="T246" s="6">
        <v>43</v>
      </c>
      <c r="U246" s="6">
        <v>81</v>
      </c>
      <c r="V246" s="6">
        <f>IF(ISERROR(VLOOKUP($S$246,'TAR FIN'!$A$1:$O$88,15,0)),0,VLOOKUP($S$246,'TAR FIN'!$A$1:$O$88,15,0))</f>
        <v>0</v>
      </c>
      <c r="W246" s="6">
        <f>IF(ISERROR(VLOOKUP($T$246,'TAR FIN'!$A$1:$O$88,15,0)),0,VLOOKUP($T$246,'TAR FIN'!$A$1:$O$88,15,0))</f>
        <v>0</v>
      </c>
      <c r="X246" s="6">
        <f>IF(ISERROR(VLOOKUP($U$246,'TAR FIN'!$A$1:$O$88,15,0)),0,VLOOKUP($U$246,'TAR FIN'!$A$1:$O$88,15,0))</f>
        <v>0</v>
      </c>
      <c r="Y246" s="6"/>
      <c r="Z246" s="6">
        <f ca="1">('TUSD BE'!$AM$45+'TUSD BF_350'!$AM$45+'TUSD CVA'!$AM$45)*1</f>
        <v>679.11</v>
      </c>
      <c r="AA246" s="6">
        <f ca="1">('TE BE'!$AB$36+'TE BF_350'!$AB$36+'TE CVA'!$AB$36)*1</f>
        <v>399.84</v>
      </c>
      <c r="AB246" s="6">
        <f>$K$246*$V$246</f>
        <v>0</v>
      </c>
      <c r="AC246" s="6">
        <f>$M$246*$W$246</f>
        <v>0</v>
      </c>
      <c r="AD246" s="6">
        <f>$O$246*$X$246</f>
        <v>0</v>
      </c>
      <c r="AE246" s="6">
        <f>$K$246*$Y$246</f>
        <v>0</v>
      </c>
      <c r="AF246" s="6">
        <f ca="1">$M$246*$Z$246</f>
        <v>5.4328799999999999</v>
      </c>
      <c r="AG246" s="6">
        <f ca="1">$O$246*$AA$246</f>
        <v>3.1987199999999998</v>
      </c>
    </row>
    <row r="247" spans="1:33" ht="11.25" customHeight="1" x14ac:dyDescent="0.25">
      <c r="A247" s="4" t="s">
        <v>21</v>
      </c>
      <c r="B247" s="4" t="s">
        <v>32</v>
      </c>
      <c r="C247" s="4" t="s">
        <v>38</v>
      </c>
      <c r="D247" s="4" t="s">
        <v>33</v>
      </c>
      <c r="E247" s="4" t="s">
        <v>25</v>
      </c>
      <c r="F247" s="4" t="s">
        <v>25</v>
      </c>
      <c r="G247" s="4" t="s">
        <v>25</v>
      </c>
      <c r="H247" s="4" t="s">
        <v>36</v>
      </c>
      <c r="I247" s="5">
        <v>44562</v>
      </c>
      <c r="J247" s="6">
        <v>0</v>
      </c>
      <c r="K247" s="6">
        <v>0</v>
      </c>
      <c r="L247" s="6">
        <v>1E-3</v>
      </c>
      <c r="M247" s="6">
        <v>1E-3</v>
      </c>
      <c r="N247" s="6">
        <v>1E-3</v>
      </c>
      <c r="O247" s="6">
        <v>1E-3</v>
      </c>
      <c r="P247" s="6">
        <v>0</v>
      </c>
      <c r="Q247" s="4" t="s">
        <v>26</v>
      </c>
      <c r="R247" s="4">
        <v>0</v>
      </c>
      <c r="S247" s="6">
        <v>0</v>
      </c>
      <c r="T247" s="6">
        <v>43</v>
      </c>
      <c r="U247" s="6">
        <v>81</v>
      </c>
      <c r="V247" s="6">
        <f>IF(ISERROR(VLOOKUP($S$247,'TAR FIN'!$A$1:$O$88,15,0)),0,VLOOKUP($S$247,'TAR FIN'!$A$1:$O$88,15,0))</f>
        <v>0</v>
      </c>
      <c r="W247" s="6">
        <f>IF(ISERROR(VLOOKUP($T$247,'TAR FIN'!$A$1:$O$88,15,0)),0,VLOOKUP($T$247,'TAR FIN'!$A$1:$O$88,15,0))</f>
        <v>0</v>
      </c>
      <c r="X247" s="6">
        <f>IF(ISERROR(VLOOKUP($U$247,'TAR FIN'!$A$1:$O$88,15,0)),0,VLOOKUP($U$247,'TAR FIN'!$A$1:$O$88,15,0))</f>
        <v>0</v>
      </c>
      <c r="Y247" s="6"/>
      <c r="Z247" s="6">
        <f ca="1">('TUSD BE'!$AM$45+'TUSD BF_350'!$AM$45+'TUSD CVA'!$AM$45)*1</f>
        <v>679.11</v>
      </c>
      <c r="AA247" s="6">
        <f ca="1">('TE BE'!$AB$36+'TE BF_350'!$AB$36+'TE CVA'!$AB$36)*1</f>
        <v>399.84</v>
      </c>
      <c r="AB247" s="6">
        <f>$K$247*$V$247</f>
        <v>0</v>
      </c>
      <c r="AC247" s="6">
        <f>$M$247*$W$247</f>
        <v>0</v>
      </c>
      <c r="AD247" s="6">
        <f>$O$247*$X$247</f>
        <v>0</v>
      </c>
      <c r="AE247" s="6">
        <f>$K$247*$Y$247</f>
        <v>0</v>
      </c>
      <c r="AF247" s="6">
        <f ca="1">$M$247*$Z$247</f>
        <v>0.67910999999999999</v>
      </c>
      <c r="AG247" s="6">
        <f ca="1">$O$247*$AA$247</f>
        <v>0.39983999999999997</v>
      </c>
    </row>
    <row r="248" spans="1:33" ht="11.25" customHeight="1" x14ac:dyDescent="0.25">
      <c r="A248" s="4" t="s">
        <v>21</v>
      </c>
      <c r="B248" s="4" t="s">
        <v>32</v>
      </c>
      <c r="C248" s="4" t="s">
        <v>38</v>
      </c>
      <c r="D248" s="4" t="s">
        <v>43</v>
      </c>
      <c r="E248" s="4" t="s">
        <v>25</v>
      </c>
      <c r="F248" s="4" t="s">
        <v>25</v>
      </c>
      <c r="G248" s="4" t="s">
        <v>25</v>
      </c>
      <c r="H248" s="4" t="s">
        <v>37</v>
      </c>
      <c r="I248" s="5">
        <v>44409</v>
      </c>
      <c r="J248" s="6">
        <v>0</v>
      </c>
      <c r="K248" s="6">
        <v>0</v>
      </c>
      <c r="L248" s="6">
        <v>4.6429999999999998</v>
      </c>
      <c r="M248" s="6">
        <v>4.6429999999999998</v>
      </c>
      <c r="N248" s="6">
        <v>4.6429999999999998</v>
      </c>
      <c r="O248" s="6">
        <v>4.6429999999999998</v>
      </c>
      <c r="P248" s="6">
        <v>0</v>
      </c>
      <c r="Q248" s="4" t="s">
        <v>26</v>
      </c>
      <c r="R248" s="4">
        <v>0</v>
      </c>
      <c r="S248" s="6">
        <v>0</v>
      </c>
      <c r="T248" s="6">
        <v>45</v>
      </c>
      <c r="U248" s="6">
        <v>83</v>
      </c>
      <c r="V248" s="6">
        <f>IF(ISERROR(VLOOKUP($S$248,'TAR FIN'!$A$1:$O$88,15,0)),0,VLOOKUP($S$248,'TAR FIN'!$A$1:$O$88,15,0))</f>
        <v>0</v>
      </c>
      <c r="W248" s="6">
        <f>IF(ISERROR(VLOOKUP($T$248,'TAR FIN'!$A$1:$O$88,15,0)),0,VLOOKUP($T$248,'TAR FIN'!$A$1:$O$88,15,0))</f>
        <v>0</v>
      </c>
      <c r="X248" s="6">
        <f>IF(ISERROR(VLOOKUP($U$248,'TAR FIN'!$A$1:$O$88,15,0)),0,VLOOKUP($U$248,'TAR FIN'!$A$1:$O$88,15,0))</f>
        <v>0</v>
      </c>
      <c r="Y248" s="6"/>
      <c r="Z248" s="6">
        <f ca="1">('TUSD BE'!$AM$47+'TUSD BF_350'!$AM$47+'TUSD CVA'!$AM$47)*1</f>
        <v>261.33999999999997</v>
      </c>
      <c r="AA248" s="6">
        <f ca="1">('TE BE'!$AB$38+'TE BF_350'!$AB$38+'TE CVA'!$AB$38)*1</f>
        <v>250.04</v>
      </c>
      <c r="AB248" s="6">
        <f>$K$248*$V$248</f>
        <v>0</v>
      </c>
      <c r="AC248" s="6">
        <f>$M$248*$W$248</f>
        <v>0</v>
      </c>
      <c r="AD248" s="6">
        <f>$O$248*$X$248</f>
        <v>0</v>
      </c>
      <c r="AE248" s="6">
        <f>$K$248*$Y$248</f>
        <v>0</v>
      </c>
      <c r="AF248" s="6">
        <f ca="1">$M$248*$Z$248</f>
        <v>1213.4016199999999</v>
      </c>
      <c r="AG248" s="6">
        <f ca="1">$O$248*$AA$248</f>
        <v>1160.9357199999999</v>
      </c>
    </row>
    <row r="249" spans="1:33" ht="11.25" customHeight="1" x14ac:dyDescent="0.25">
      <c r="A249" s="4" t="s">
        <v>21</v>
      </c>
      <c r="B249" s="4" t="s">
        <v>32</v>
      </c>
      <c r="C249" s="4" t="s">
        <v>38</v>
      </c>
      <c r="D249" s="4" t="s">
        <v>43</v>
      </c>
      <c r="E249" s="4" t="s">
        <v>25</v>
      </c>
      <c r="F249" s="4" t="s">
        <v>25</v>
      </c>
      <c r="G249" s="4" t="s">
        <v>25</v>
      </c>
      <c r="H249" s="4" t="s">
        <v>37</v>
      </c>
      <c r="I249" s="5">
        <v>44440</v>
      </c>
      <c r="J249" s="6">
        <v>0</v>
      </c>
      <c r="K249" s="6">
        <v>0</v>
      </c>
      <c r="L249" s="6">
        <v>4.452</v>
      </c>
      <c r="M249" s="6">
        <v>4.452</v>
      </c>
      <c r="N249" s="6">
        <v>4.452</v>
      </c>
      <c r="O249" s="6">
        <v>4.452</v>
      </c>
      <c r="P249" s="6">
        <v>0</v>
      </c>
      <c r="Q249" s="4" t="s">
        <v>26</v>
      </c>
      <c r="R249" s="4">
        <v>0</v>
      </c>
      <c r="S249" s="6">
        <v>0</v>
      </c>
      <c r="T249" s="6">
        <v>45</v>
      </c>
      <c r="U249" s="6">
        <v>83</v>
      </c>
      <c r="V249" s="6">
        <f>IF(ISERROR(VLOOKUP($S$249,'TAR FIN'!$A$1:$O$88,15,0)),0,VLOOKUP($S$249,'TAR FIN'!$A$1:$O$88,15,0))</f>
        <v>0</v>
      </c>
      <c r="W249" s="6">
        <f>IF(ISERROR(VLOOKUP($T$249,'TAR FIN'!$A$1:$O$88,15,0)),0,VLOOKUP($T$249,'TAR FIN'!$A$1:$O$88,15,0))</f>
        <v>0</v>
      </c>
      <c r="X249" s="6">
        <f>IF(ISERROR(VLOOKUP($U$249,'TAR FIN'!$A$1:$O$88,15,0)),0,VLOOKUP($U$249,'TAR FIN'!$A$1:$O$88,15,0))</f>
        <v>0</v>
      </c>
      <c r="Y249" s="6"/>
      <c r="Z249" s="6">
        <f ca="1">('TUSD BE'!$AM$47+'TUSD BF_350'!$AM$47+'TUSD CVA'!$AM$47)*1</f>
        <v>261.33999999999997</v>
      </c>
      <c r="AA249" s="6">
        <f ca="1">('TE BE'!$AB$38+'TE BF_350'!$AB$38+'TE CVA'!$AB$38)*1</f>
        <v>250.04</v>
      </c>
      <c r="AB249" s="6">
        <f>$K$249*$V$249</f>
        <v>0</v>
      </c>
      <c r="AC249" s="6">
        <f>$M$249*$W$249</f>
        <v>0</v>
      </c>
      <c r="AD249" s="6">
        <f>$O$249*$X$249</f>
        <v>0</v>
      </c>
      <c r="AE249" s="6">
        <f>$K$249*$Y$249</f>
        <v>0</v>
      </c>
      <c r="AF249" s="6">
        <f ca="1">$M$249*$Z$249</f>
        <v>1163.4856799999998</v>
      </c>
      <c r="AG249" s="6">
        <f ca="1">$O$249*$AA$249</f>
        <v>1113.1780799999999</v>
      </c>
    </row>
    <row r="250" spans="1:33" ht="11.25" customHeight="1" x14ac:dyDescent="0.25">
      <c r="A250" s="4" t="s">
        <v>21</v>
      </c>
      <c r="B250" s="4" t="s">
        <v>32</v>
      </c>
      <c r="C250" s="4" t="s">
        <v>38</v>
      </c>
      <c r="D250" s="4" t="s">
        <v>43</v>
      </c>
      <c r="E250" s="4" t="s">
        <v>25</v>
      </c>
      <c r="F250" s="4" t="s">
        <v>25</v>
      </c>
      <c r="G250" s="4" t="s">
        <v>25</v>
      </c>
      <c r="H250" s="4" t="s">
        <v>37</v>
      </c>
      <c r="I250" s="5">
        <v>44470</v>
      </c>
      <c r="J250" s="6">
        <v>0</v>
      </c>
      <c r="K250" s="6">
        <v>0</v>
      </c>
      <c r="L250" s="6">
        <v>4.3840000000000003</v>
      </c>
      <c r="M250" s="6">
        <v>4.3840000000000003</v>
      </c>
      <c r="N250" s="6">
        <v>4.3840000000000003</v>
      </c>
      <c r="O250" s="6">
        <v>4.3840000000000003</v>
      </c>
      <c r="P250" s="6">
        <v>0</v>
      </c>
      <c r="Q250" s="4" t="s">
        <v>26</v>
      </c>
      <c r="R250" s="4">
        <v>0</v>
      </c>
      <c r="S250" s="6">
        <v>0</v>
      </c>
      <c r="T250" s="6">
        <v>45</v>
      </c>
      <c r="U250" s="6">
        <v>83</v>
      </c>
      <c r="V250" s="6">
        <f>IF(ISERROR(VLOOKUP($S$250,'TAR FIN'!$A$1:$O$88,15,0)),0,VLOOKUP($S$250,'TAR FIN'!$A$1:$O$88,15,0))</f>
        <v>0</v>
      </c>
      <c r="W250" s="6">
        <f>IF(ISERROR(VLOOKUP($T$250,'TAR FIN'!$A$1:$O$88,15,0)),0,VLOOKUP($T$250,'TAR FIN'!$A$1:$O$88,15,0))</f>
        <v>0</v>
      </c>
      <c r="X250" s="6">
        <f>IF(ISERROR(VLOOKUP($U$250,'TAR FIN'!$A$1:$O$88,15,0)),0,VLOOKUP($U$250,'TAR FIN'!$A$1:$O$88,15,0))</f>
        <v>0</v>
      </c>
      <c r="Y250" s="6"/>
      <c r="Z250" s="6">
        <f ca="1">('TUSD BE'!$AM$47+'TUSD BF_350'!$AM$47+'TUSD CVA'!$AM$47)*1</f>
        <v>261.33999999999997</v>
      </c>
      <c r="AA250" s="6">
        <f ca="1">('TE BE'!$AB$38+'TE BF_350'!$AB$38+'TE CVA'!$AB$38)*1</f>
        <v>250.04</v>
      </c>
      <c r="AB250" s="6">
        <f>$K$250*$V$250</f>
        <v>0</v>
      </c>
      <c r="AC250" s="6">
        <f>$M$250*$W$250</f>
        <v>0</v>
      </c>
      <c r="AD250" s="6">
        <f>$O$250*$X$250</f>
        <v>0</v>
      </c>
      <c r="AE250" s="6">
        <f>$K$250*$Y$250</f>
        <v>0</v>
      </c>
      <c r="AF250" s="6">
        <f ca="1">$M$250*$Z$250</f>
        <v>1145.7145599999999</v>
      </c>
      <c r="AG250" s="6">
        <f ca="1">$O$250*$AA$250</f>
        <v>1096.17536</v>
      </c>
    </row>
    <row r="251" spans="1:33" ht="11.25" customHeight="1" x14ac:dyDescent="0.25">
      <c r="A251" s="4" t="s">
        <v>21</v>
      </c>
      <c r="B251" s="4" t="s">
        <v>32</v>
      </c>
      <c r="C251" s="4" t="s">
        <v>38</v>
      </c>
      <c r="D251" s="4" t="s">
        <v>43</v>
      </c>
      <c r="E251" s="4" t="s">
        <v>25</v>
      </c>
      <c r="F251" s="4" t="s">
        <v>25</v>
      </c>
      <c r="G251" s="4" t="s">
        <v>25</v>
      </c>
      <c r="H251" s="4" t="s">
        <v>37</v>
      </c>
      <c r="I251" s="5">
        <v>44501</v>
      </c>
      <c r="J251" s="6">
        <v>0</v>
      </c>
      <c r="K251" s="6">
        <v>0</v>
      </c>
      <c r="L251" s="6">
        <v>4.9059999999999997</v>
      </c>
      <c r="M251" s="6">
        <v>4.9059999999999997</v>
      </c>
      <c r="N251" s="6">
        <v>4.9059999999999997</v>
      </c>
      <c r="O251" s="6">
        <v>4.9059999999999997</v>
      </c>
      <c r="P251" s="6">
        <v>0</v>
      </c>
      <c r="Q251" s="4" t="s">
        <v>26</v>
      </c>
      <c r="R251" s="4">
        <v>0</v>
      </c>
      <c r="S251" s="6">
        <v>0</v>
      </c>
      <c r="T251" s="6">
        <v>45</v>
      </c>
      <c r="U251" s="6">
        <v>83</v>
      </c>
      <c r="V251" s="6">
        <f>IF(ISERROR(VLOOKUP($S$251,'TAR FIN'!$A$1:$O$88,15,0)),0,VLOOKUP($S$251,'TAR FIN'!$A$1:$O$88,15,0))</f>
        <v>0</v>
      </c>
      <c r="W251" s="6">
        <f>IF(ISERROR(VLOOKUP($T$251,'TAR FIN'!$A$1:$O$88,15,0)),0,VLOOKUP($T$251,'TAR FIN'!$A$1:$O$88,15,0))</f>
        <v>0</v>
      </c>
      <c r="X251" s="6">
        <f>IF(ISERROR(VLOOKUP($U$251,'TAR FIN'!$A$1:$O$88,15,0)),0,VLOOKUP($U$251,'TAR FIN'!$A$1:$O$88,15,0))</f>
        <v>0</v>
      </c>
      <c r="Y251" s="6"/>
      <c r="Z251" s="6">
        <f ca="1">('TUSD BE'!$AM$47+'TUSD BF_350'!$AM$47+'TUSD CVA'!$AM$47)*1</f>
        <v>261.33999999999997</v>
      </c>
      <c r="AA251" s="6">
        <f ca="1">('TE BE'!$AB$38+'TE BF_350'!$AB$38+'TE CVA'!$AB$38)*1</f>
        <v>250.04</v>
      </c>
      <c r="AB251" s="6">
        <f>$K$251*$V$251</f>
        <v>0</v>
      </c>
      <c r="AC251" s="6">
        <f>$M$251*$W$251</f>
        <v>0</v>
      </c>
      <c r="AD251" s="6">
        <f>$O$251*$X$251</f>
        <v>0</v>
      </c>
      <c r="AE251" s="6">
        <f>$K$251*$Y$251</f>
        <v>0</v>
      </c>
      <c r="AF251" s="6">
        <f ca="1">$M$251*$Z$251</f>
        <v>1282.1340399999997</v>
      </c>
      <c r="AG251" s="6">
        <f ca="1">$O$251*$AA$251</f>
        <v>1226.69624</v>
      </c>
    </row>
    <row r="252" spans="1:33" ht="11.25" customHeight="1" x14ac:dyDescent="0.25">
      <c r="A252" s="4" t="s">
        <v>21</v>
      </c>
      <c r="B252" s="4" t="s">
        <v>32</v>
      </c>
      <c r="C252" s="4" t="s">
        <v>38</v>
      </c>
      <c r="D252" s="4" t="s">
        <v>43</v>
      </c>
      <c r="E252" s="4" t="s">
        <v>25</v>
      </c>
      <c r="F252" s="4" t="s">
        <v>25</v>
      </c>
      <c r="G252" s="4" t="s">
        <v>25</v>
      </c>
      <c r="H252" s="4" t="s">
        <v>37</v>
      </c>
      <c r="I252" s="5">
        <v>44531</v>
      </c>
      <c r="J252" s="6">
        <v>0</v>
      </c>
      <c r="K252" s="6">
        <v>0</v>
      </c>
      <c r="L252" s="6">
        <v>5.53</v>
      </c>
      <c r="M252" s="6">
        <v>5.53</v>
      </c>
      <c r="N252" s="6">
        <v>5.53</v>
      </c>
      <c r="O252" s="6">
        <v>5.53</v>
      </c>
      <c r="P252" s="6">
        <v>0</v>
      </c>
      <c r="Q252" s="4" t="s">
        <v>26</v>
      </c>
      <c r="R252" s="4">
        <v>0</v>
      </c>
      <c r="S252" s="6">
        <v>0</v>
      </c>
      <c r="T252" s="6">
        <v>45</v>
      </c>
      <c r="U252" s="6">
        <v>83</v>
      </c>
      <c r="V252" s="6">
        <f>IF(ISERROR(VLOOKUP($S$252,'TAR FIN'!$A$1:$O$88,15,0)),0,VLOOKUP($S$252,'TAR FIN'!$A$1:$O$88,15,0))</f>
        <v>0</v>
      </c>
      <c r="W252" s="6">
        <f>IF(ISERROR(VLOOKUP($T$252,'TAR FIN'!$A$1:$O$88,15,0)),0,VLOOKUP($T$252,'TAR FIN'!$A$1:$O$88,15,0))</f>
        <v>0</v>
      </c>
      <c r="X252" s="6">
        <f>IF(ISERROR(VLOOKUP($U$252,'TAR FIN'!$A$1:$O$88,15,0)),0,VLOOKUP($U$252,'TAR FIN'!$A$1:$O$88,15,0))</f>
        <v>0</v>
      </c>
      <c r="Y252" s="6"/>
      <c r="Z252" s="6">
        <f ca="1">('TUSD BE'!$AM$47+'TUSD BF_350'!$AM$47+'TUSD CVA'!$AM$47)*1</f>
        <v>261.33999999999997</v>
      </c>
      <c r="AA252" s="6">
        <f ca="1">('TE BE'!$AB$38+'TE BF_350'!$AB$38+'TE CVA'!$AB$38)*1</f>
        <v>250.04</v>
      </c>
      <c r="AB252" s="6">
        <f>$K$252*$V$252</f>
        <v>0</v>
      </c>
      <c r="AC252" s="6">
        <f>$M$252*$W$252</f>
        <v>0</v>
      </c>
      <c r="AD252" s="6">
        <f>$O$252*$X$252</f>
        <v>0</v>
      </c>
      <c r="AE252" s="6">
        <f>$K$252*$Y$252</f>
        <v>0</v>
      </c>
      <c r="AF252" s="6">
        <f ca="1">$M$252*$Z$252</f>
        <v>1445.2102</v>
      </c>
      <c r="AG252" s="6">
        <f ca="1">$O$252*$AA$252</f>
        <v>1382.7212</v>
      </c>
    </row>
    <row r="253" spans="1:33" ht="11.25" customHeight="1" x14ac:dyDescent="0.25">
      <c r="A253" s="4" t="s">
        <v>21</v>
      </c>
      <c r="B253" s="4" t="s">
        <v>32</v>
      </c>
      <c r="C253" s="4" t="s">
        <v>38</v>
      </c>
      <c r="D253" s="4" t="s">
        <v>43</v>
      </c>
      <c r="E253" s="4" t="s">
        <v>25</v>
      </c>
      <c r="F253" s="4" t="s">
        <v>25</v>
      </c>
      <c r="G253" s="4" t="s">
        <v>25</v>
      </c>
      <c r="H253" s="4" t="s">
        <v>37</v>
      </c>
      <c r="I253" s="5">
        <v>44562</v>
      </c>
      <c r="J253" s="6">
        <v>0</v>
      </c>
      <c r="K253" s="6">
        <v>0</v>
      </c>
      <c r="L253" s="6">
        <v>6.5960000000000001</v>
      </c>
      <c r="M253" s="6">
        <v>6.5960000000000001</v>
      </c>
      <c r="N253" s="6">
        <v>6.5960000000000001</v>
      </c>
      <c r="O253" s="6">
        <v>6.5960000000000001</v>
      </c>
      <c r="P253" s="6">
        <v>0</v>
      </c>
      <c r="Q253" s="4" t="s">
        <v>26</v>
      </c>
      <c r="R253" s="4">
        <v>0</v>
      </c>
      <c r="S253" s="6">
        <v>0</v>
      </c>
      <c r="T253" s="6">
        <v>45</v>
      </c>
      <c r="U253" s="6">
        <v>83</v>
      </c>
      <c r="V253" s="6">
        <f>IF(ISERROR(VLOOKUP($S$253,'TAR FIN'!$A$1:$O$88,15,0)),0,VLOOKUP($S$253,'TAR FIN'!$A$1:$O$88,15,0))</f>
        <v>0</v>
      </c>
      <c r="W253" s="6">
        <f>IF(ISERROR(VLOOKUP($T$253,'TAR FIN'!$A$1:$O$88,15,0)),0,VLOOKUP($T$253,'TAR FIN'!$A$1:$O$88,15,0))</f>
        <v>0</v>
      </c>
      <c r="X253" s="6">
        <f>IF(ISERROR(VLOOKUP($U$253,'TAR FIN'!$A$1:$O$88,15,0)),0,VLOOKUP($U$253,'TAR FIN'!$A$1:$O$88,15,0))</f>
        <v>0</v>
      </c>
      <c r="Y253" s="6"/>
      <c r="Z253" s="6">
        <f ca="1">('TUSD BE'!$AM$47+'TUSD BF_350'!$AM$47+'TUSD CVA'!$AM$47)*1</f>
        <v>261.33999999999997</v>
      </c>
      <c r="AA253" s="6">
        <f ca="1">('TE BE'!$AB$38+'TE BF_350'!$AB$38+'TE CVA'!$AB$38)*1</f>
        <v>250.04</v>
      </c>
      <c r="AB253" s="6">
        <f>$K$253*$V$253</f>
        <v>0</v>
      </c>
      <c r="AC253" s="6">
        <f>$M$253*$W$253</f>
        <v>0</v>
      </c>
      <c r="AD253" s="6">
        <f>$O$253*$X$253</f>
        <v>0</v>
      </c>
      <c r="AE253" s="6">
        <f>$K$253*$Y$253</f>
        <v>0</v>
      </c>
      <c r="AF253" s="6">
        <f ca="1">$M$253*$Z$253</f>
        <v>1723.7986399999998</v>
      </c>
      <c r="AG253" s="6">
        <f ca="1">$O$253*$AA$253</f>
        <v>1649.2638400000001</v>
      </c>
    </row>
    <row r="254" spans="1:33" ht="11.25" customHeight="1" x14ac:dyDescent="0.25">
      <c r="A254" s="4" t="s">
        <v>21</v>
      </c>
      <c r="B254" s="4" t="s">
        <v>32</v>
      </c>
      <c r="C254" s="4" t="s">
        <v>38</v>
      </c>
      <c r="D254" s="4" t="s">
        <v>43</v>
      </c>
      <c r="E254" s="4" t="s">
        <v>25</v>
      </c>
      <c r="F254" s="4" t="s">
        <v>25</v>
      </c>
      <c r="G254" s="4" t="s">
        <v>25</v>
      </c>
      <c r="H254" s="4" t="s">
        <v>37</v>
      </c>
      <c r="I254" s="5">
        <v>44593</v>
      </c>
      <c r="J254" s="6">
        <v>0</v>
      </c>
      <c r="K254" s="6">
        <v>0</v>
      </c>
      <c r="L254" s="6">
        <v>8.9149999999999991</v>
      </c>
      <c r="M254" s="6">
        <v>8.9149999999999991</v>
      </c>
      <c r="N254" s="6">
        <v>8.9149999999999991</v>
      </c>
      <c r="O254" s="6">
        <v>8.9149999999999991</v>
      </c>
      <c r="P254" s="6">
        <v>0</v>
      </c>
      <c r="Q254" s="4" t="s">
        <v>26</v>
      </c>
      <c r="R254" s="4">
        <v>0</v>
      </c>
      <c r="S254" s="6">
        <v>0</v>
      </c>
      <c r="T254" s="6">
        <v>45</v>
      </c>
      <c r="U254" s="6">
        <v>83</v>
      </c>
      <c r="V254" s="6">
        <f>IF(ISERROR(VLOOKUP($S$254,'TAR FIN'!$A$1:$O$88,15,0)),0,VLOOKUP($S$254,'TAR FIN'!$A$1:$O$88,15,0))</f>
        <v>0</v>
      </c>
      <c r="W254" s="6">
        <f>IF(ISERROR(VLOOKUP($T$254,'TAR FIN'!$A$1:$O$88,15,0)),0,VLOOKUP($T$254,'TAR FIN'!$A$1:$O$88,15,0))</f>
        <v>0</v>
      </c>
      <c r="X254" s="6">
        <f>IF(ISERROR(VLOOKUP($U$254,'TAR FIN'!$A$1:$O$88,15,0)),0,VLOOKUP($U$254,'TAR FIN'!$A$1:$O$88,15,0))</f>
        <v>0</v>
      </c>
      <c r="Y254" s="6"/>
      <c r="Z254" s="6">
        <f ca="1">('TUSD BE'!$AM$47+'TUSD BF_350'!$AM$47+'TUSD CVA'!$AM$47)*1</f>
        <v>261.33999999999997</v>
      </c>
      <c r="AA254" s="6">
        <f ca="1">('TE BE'!$AB$38+'TE BF_350'!$AB$38+'TE CVA'!$AB$38)*1</f>
        <v>250.04</v>
      </c>
      <c r="AB254" s="6">
        <f>$K$254*$V$254</f>
        <v>0</v>
      </c>
      <c r="AC254" s="6">
        <f>$M$254*$W$254</f>
        <v>0</v>
      </c>
      <c r="AD254" s="6">
        <f>$O$254*$X$254</f>
        <v>0</v>
      </c>
      <c r="AE254" s="6">
        <f>$K$254*$Y$254</f>
        <v>0</v>
      </c>
      <c r="AF254" s="6">
        <f ca="1">$M$254*$Z$254</f>
        <v>2329.8460999999998</v>
      </c>
      <c r="AG254" s="6">
        <f ca="1">$O$254*$AA$254</f>
        <v>2229.1065999999996</v>
      </c>
    </row>
    <row r="255" spans="1:33" ht="11.25" customHeight="1" x14ac:dyDescent="0.25">
      <c r="A255" s="4" t="s">
        <v>21</v>
      </c>
      <c r="B255" s="4" t="s">
        <v>32</v>
      </c>
      <c r="C255" s="4" t="s">
        <v>38</v>
      </c>
      <c r="D255" s="4" t="s">
        <v>43</v>
      </c>
      <c r="E255" s="4" t="s">
        <v>25</v>
      </c>
      <c r="F255" s="4" t="s">
        <v>25</v>
      </c>
      <c r="G255" s="4" t="s">
        <v>25</v>
      </c>
      <c r="H255" s="4" t="s">
        <v>37</v>
      </c>
      <c r="I255" s="5">
        <v>44621</v>
      </c>
      <c r="J255" s="6">
        <v>0</v>
      </c>
      <c r="K255" s="6">
        <v>0</v>
      </c>
      <c r="L255" s="6">
        <v>7.0819999999999999</v>
      </c>
      <c r="M255" s="6">
        <v>7.0819999999999999</v>
      </c>
      <c r="N255" s="6">
        <v>7.0819999999999999</v>
      </c>
      <c r="O255" s="6">
        <v>7.0819999999999999</v>
      </c>
      <c r="P255" s="6">
        <v>0</v>
      </c>
      <c r="Q255" s="4" t="s">
        <v>26</v>
      </c>
      <c r="R255" s="4">
        <v>0</v>
      </c>
      <c r="S255" s="6">
        <v>0</v>
      </c>
      <c r="T255" s="6">
        <v>45</v>
      </c>
      <c r="U255" s="6">
        <v>83</v>
      </c>
      <c r="V255" s="6">
        <f>IF(ISERROR(VLOOKUP($S$255,'TAR FIN'!$A$1:$O$88,15,0)),0,VLOOKUP($S$255,'TAR FIN'!$A$1:$O$88,15,0))</f>
        <v>0</v>
      </c>
      <c r="W255" s="6">
        <f>IF(ISERROR(VLOOKUP($T$255,'TAR FIN'!$A$1:$O$88,15,0)),0,VLOOKUP($T$255,'TAR FIN'!$A$1:$O$88,15,0))</f>
        <v>0</v>
      </c>
      <c r="X255" s="6">
        <f>IF(ISERROR(VLOOKUP($U$255,'TAR FIN'!$A$1:$O$88,15,0)),0,VLOOKUP($U$255,'TAR FIN'!$A$1:$O$88,15,0))</f>
        <v>0</v>
      </c>
      <c r="Y255" s="6"/>
      <c r="Z255" s="6">
        <f ca="1">('TUSD BE'!$AM$47+'TUSD BF_350'!$AM$47+'TUSD CVA'!$AM$47)*1</f>
        <v>261.33999999999997</v>
      </c>
      <c r="AA255" s="6">
        <f ca="1">('TE BE'!$AB$38+'TE BF_350'!$AB$38+'TE CVA'!$AB$38)*1</f>
        <v>250.04</v>
      </c>
      <c r="AB255" s="6">
        <f>$K$255*$V$255</f>
        <v>0</v>
      </c>
      <c r="AC255" s="6">
        <f>$M$255*$W$255</f>
        <v>0</v>
      </c>
      <c r="AD255" s="6">
        <f>$O$255*$X$255</f>
        <v>0</v>
      </c>
      <c r="AE255" s="6">
        <f>$K$255*$Y$255</f>
        <v>0</v>
      </c>
      <c r="AF255" s="6">
        <f ca="1">$M$255*$Z$255</f>
        <v>1850.8098799999998</v>
      </c>
      <c r="AG255" s="6">
        <f ca="1">$O$255*$AA$255</f>
        <v>1770.7832799999999</v>
      </c>
    </row>
    <row r="256" spans="1:33" ht="11.25" customHeight="1" x14ac:dyDescent="0.25">
      <c r="A256" s="4" t="s">
        <v>21</v>
      </c>
      <c r="B256" s="4" t="s">
        <v>32</v>
      </c>
      <c r="C256" s="4" t="s">
        <v>38</v>
      </c>
      <c r="D256" s="4" t="s">
        <v>43</v>
      </c>
      <c r="E256" s="4" t="s">
        <v>25</v>
      </c>
      <c r="F256" s="4" t="s">
        <v>25</v>
      </c>
      <c r="G256" s="4" t="s">
        <v>25</v>
      </c>
      <c r="H256" s="4" t="s">
        <v>37</v>
      </c>
      <c r="I256" s="5">
        <v>44652</v>
      </c>
      <c r="J256" s="6">
        <v>0</v>
      </c>
      <c r="K256" s="6">
        <v>0</v>
      </c>
      <c r="L256" s="6">
        <v>7.0330000000000004</v>
      </c>
      <c r="M256" s="6">
        <v>7.0330000000000004</v>
      </c>
      <c r="N256" s="6">
        <v>7.0330000000000004</v>
      </c>
      <c r="O256" s="6">
        <v>7.0330000000000004</v>
      </c>
      <c r="P256" s="6">
        <v>0</v>
      </c>
      <c r="Q256" s="4" t="s">
        <v>26</v>
      </c>
      <c r="R256" s="4">
        <v>0</v>
      </c>
      <c r="S256" s="6">
        <v>0</v>
      </c>
      <c r="T256" s="6">
        <v>45</v>
      </c>
      <c r="U256" s="6">
        <v>83</v>
      </c>
      <c r="V256" s="6">
        <f>IF(ISERROR(VLOOKUP($S$256,'TAR FIN'!$A$1:$O$88,15,0)),0,VLOOKUP($S$256,'TAR FIN'!$A$1:$O$88,15,0))</f>
        <v>0</v>
      </c>
      <c r="W256" s="6">
        <f>IF(ISERROR(VLOOKUP($T$256,'TAR FIN'!$A$1:$O$88,15,0)),0,VLOOKUP($T$256,'TAR FIN'!$A$1:$O$88,15,0))</f>
        <v>0</v>
      </c>
      <c r="X256" s="6">
        <f>IF(ISERROR(VLOOKUP($U$256,'TAR FIN'!$A$1:$O$88,15,0)),0,VLOOKUP($U$256,'TAR FIN'!$A$1:$O$88,15,0))</f>
        <v>0</v>
      </c>
      <c r="Y256" s="6"/>
      <c r="Z256" s="6">
        <f ca="1">('TUSD BE'!$AM$47+'TUSD BF_350'!$AM$47+'TUSD CVA'!$AM$47)*1</f>
        <v>261.33999999999997</v>
      </c>
      <c r="AA256" s="6">
        <f ca="1">('TE BE'!$AB$38+'TE BF_350'!$AB$38+'TE CVA'!$AB$38)*1</f>
        <v>250.04</v>
      </c>
      <c r="AB256" s="6">
        <f>$K$256*$V$256</f>
        <v>0</v>
      </c>
      <c r="AC256" s="6">
        <f>$M$256*$W$256</f>
        <v>0</v>
      </c>
      <c r="AD256" s="6">
        <f>$O$256*$X$256</f>
        <v>0</v>
      </c>
      <c r="AE256" s="6">
        <f>$K$256*$Y$256</f>
        <v>0</v>
      </c>
      <c r="AF256" s="6">
        <f ca="1">$M$256*$Z$256</f>
        <v>1838.00422</v>
      </c>
      <c r="AG256" s="6">
        <f ca="1">$O$256*$AA$256</f>
        <v>1758.5313200000001</v>
      </c>
    </row>
    <row r="257" spans="1:33" ht="11.25" customHeight="1" x14ac:dyDescent="0.25">
      <c r="A257" s="4" t="s">
        <v>21</v>
      </c>
      <c r="B257" s="4" t="s">
        <v>32</v>
      </c>
      <c r="C257" s="4" t="s">
        <v>38</v>
      </c>
      <c r="D257" s="4" t="s">
        <v>43</v>
      </c>
      <c r="E257" s="4" t="s">
        <v>25</v>
      </c>
      <c r="F257" s="4" t="s">
        <v>25</v>
      </c>
      <c r="G257" s="4" t="s">
        <v>25</v>
      </c>
      <c r="H257" s="4" t="s">
        <v>37</v>
      </c>
      <c r="I257" s="5">
        <v>44682</v>
      </c>
      <c r="J257" s="6">
        <v>0</v>
      </c>
      <c r="K257" s="6">
        <v>0</v>
      </c>
      <c r="L257" s="6">
        <v>5.6379999999999999</v>
      </c>
      <c r="M257" s="6">
        <v>5.6379999999999999</v>
      </c>
      <c r="N257" s="6">
        <v>5.6379999999999999</v>
      </c>
      <c r="O257" s="6">
        <v>5.6379999999999999</v>
      </c>
      <c r="P257" s="6">
        <v>0</v>
      </c>
      <c r="Q257" s="4" t="s">
        <v>26</v>
      </c>
      <c r="R257" s="4">
        <v>0</v>
      </c>
      <c r="S257" s="6">
        <v>0</v>
      </c>
      <c r="T257" s="6">
        <v>45</v>
      </c>
      <c r="U257" s="6">
        <v>83</v>
      </c>
      <c r="V257" s="6">
        <f>IF(ISERROR(VLOOKUP($S$257,'TAR FIN'!$A$1:$O$88,15,0)),0,VLOOKUP($S$257,'TAR FIN'!$A$1:$O$88,15,0))</f>
        <v>0</v>
      </c>
      <c r="W257" s="6">
        <f>IF(ISERROR(VLOOKUP($T$257,'TAR FIN'!$A$1:$O$88,15,0)),0,VLOOKUP($T$257,'TAR FIN'!$A$1:$O$88,15,0))</f>
        <v>0</v>
      </c>
      <c r="X257" s="6">
        <f>IF(ISERROR(VLOOKUP($U$257,'TAR FIN'!$A$1:$O$88,15,0)),0,VLOOKUP($U$257,'TAR FIN'!$A$1:$O$88,15,0))</f>
        <v>0</v>
      </c>
      <c r="Y257" s="6"/>
      <c r="Z257" s="6">
        <f ca="1">('TUSD BE'!$AM$47+'TUSD BF_350'!$AM$47+'TUSD CVA'!$AM$47)*1</f>
        <v>261.33999999999997</v>
      </c>
      <c r="AA257" s="6">
        <f ca="1">('TE BE'!$AB$38+'TE BF_350'!$AB$38+'TE CVA'!$AB$38)*1</f>
        <v>250.04</v>
      </c>
      <c r="AB257" s="6">
        <f>$K$257*$V$257</f>
        <v>0</v>
      </c>
      <c r="AC257" s="6">
        <f>$M$257*$W$257</f>
        <v>0</v>
      </c>
      <c r="AD257" s="6">
        <f>$O$257*$X$257</f>
        <v>0</v>
      </c>
      <c r="AE257" s="6">
        <f>$K$257*$Y$257</f>
        <v>0</v>
      </c>
      <c r="AF257" s="6">
        <f ca="1">$M$257*$Z$257</f>
        <v>1473.4349199999999</v>
      </c>
      <c r="AG257" s="6">
        <f ca="1">$O$257*$AA$257</f>
        <v>1409.72552</v>
      </c>
    </row>
    <row r="258" spans="1:33" ht="11.25" customHeight="1" x14ac:dyDescent="0.25">
      <c r="A258" s="4" t="s">
        <v>21</v>
      </c>
      <c r="B258" s="4" t="s">
        <v>32</v>
      </c>
      <c r="C258" s="4" t="s">
        <v>38</v>
      </c>
      <c r="D258" s="4" t="s">
        <v>43</v>
      </c>
      <c r="E258" s="4" t="s">
        <v>25</v>
      </c>
      <c r="F258" s="4" t="s">
        <v>25</v>
      </c>
      <c r="G258" s="4" t="s">
        <v>25</v>
      </c>
      <c r="H258" s="4" t="s">
        <v>37</v>
      </c>
      <c r="I258" s="5">
        <v>44713</v>
      </c>
      <c r="J258" s="6">
        <v>0</v>
      </c>
      <c r="K258" s="6">
        <v>0</v>
      </c>
      <c r="L258" s="6">
        <v>4.3520000000000003</v>
      </c>
      <c r="M258" s="6">
        <v>4.3520000000000003</v>
      </c>
      <c r="N258" s="6">
        <v>4.3520000000000003</v>
      </c>
      <c r="O258" s="6">
        <v>4.3520000000000003</v>
      </c>
      <c r="P258" s="6">
        <v>0</v>
      </c>
      <c r="Q258" s="4" t="s">
        <v>26</v>
      </c>
      <c r="R258" s="4">
        <v>0</v>
      </c>
      <c r="S258" s="6">
        <v>0</v>
      </c>
      <c r="T258" s="6">
        <v>45</v>
      </c>
      <c r="U258" s="6">
        <v>83</v>
      </c>
      <c r="V258" s="6">
        <f>IF(ISERROR(VLOOKUP($S$258,'TAR FIN'!$A$1:$O$88,15,0)),0,VLOOKUP($S$258,'TAR FIN'!$A$1:$O$88,15,0))</f>
        <v>0</v>
      </c>
      <c r="W258" s="6">
        <f>IF(ISERROR(VLOOKUP($T$258,'TAR FIN'!$A$1:$O$88,15,0)),0,VLOOKUP($T$258,'TAR FIN'!$A$1:$O$88,15,0))</f>
        <v>0</v>
      </c>
      <c r="X258" s="6">
        <f>IF(ISERROR(VLOOKUP($U$258,'TAR FIN'!$A$1:$O$88,15,0)),0,VLOOKUP($U$258,'TAR FIN'!$A$1:$O$88,15,0))</f>
        <v>0</v>
      </c>
      <c r="Y258" s="6"/>
      <c r="Z258" s="6">
        <f ca="1">('TUSD BE'!$AM$47+'TUSD BF_350'!$AM$47+'TUSD CVA'!$AM$47)*1</f>
        <v>261.33999999999997</v>
      </c>
      <c r="AA258" s="6">
        <f ca="1">('TE BE'!$AB$38+'TE BF_350'!$AB$38+'TE CVA'!$AB$38)*1</f>
        <v>250.04</v>
      </c>
      <c r="AB258" s="6">
        <f>$K$258*$V$258</f>
        <v>0</v>
      </c>
      <c r="AC258" s="6">
        <f>$M$258*$W$258</f>
        <v>0</v>
      </c>
      <c r="AD258" s="6">
        <f>$O$258*$X$258</f>
        <v>0</v>
      </c>
      <c r="AE258" s="6">
        <f>$K$258*$Y$258</f>
        <v>0</v>
      </c>
      <c r="AF258" s="6">
        <f ca="1">$M$258*$Z$258</f>
        <v>1137.35168</v>
      </c>
      <c r="AG258" s="6">
        <f ca="1">$O$258*$AA$258</f>
        <v>1088.17408</v>
      </c>
    </row>
    <row r="259" spans="1:33" ht="11.25" customHeight="1" x14ac:dyDescent="0.25">
      <c r="A259" s="4" t="s">
        <v>21</v>
      </c>
      <c r="B259" s="4" t="s">
        <v>32</v>
      </c>
      <c r="C259" s="4" t="s">
        <v>38</v>
      </c>
      <c r="D259" s="4" t="s">
        <v>43</v>
      </c>
      <c r="E259" s="4" t="s">
        <v>25</v>
      </c>
      <c r="F259" s="4" t="s">
        <v>25</v>
      </c>
      <c r="G259" s="4" t="s">
        <v>25</v>
      </c>
      <c r="H259" s="4" t="s">
        <v>37</v>
      </c>
      <c r="I259" s="5">
        <v>44743</v>
      </c>
      <c r="J259" s="6">
        <v>0</v>
      </c>
      <c r="K259" s="6">
        <v>0</v>
      </c>
      <c r="L259" s="6">
        <v>3.7970000000000002</v>
      </c>
      <c r="M259" s="6">
        <v>3.7970000000000002</v>
      </c>
      <c r="N259" s="6">
        <v>3.7970000000000002</v>
      </c>
      <c r="O259" s="6">
        <v>3.7970000000000002</v>
      </c>
      <c r="P259" s="6">
        <v>0</v>
      </c>
      <c r="Q259" s="4" t="s">
        <v>26</v>
      </c>
      <c r="R259" s="4">
        <v>0</v>
      </c>
      <c r="S259" s="6">
        <v>0</v>
      </c>
      <c r="T259" s="6">
        <v>45</v>
      </c>
      <c r="U259" s="6">
        <v>83</v>
      </c>
      <c r="V259" s="6">
        <f>IF(ISERROR(VLOOKUP($S$259,'TAR FIN'!$A$1:$O$88,15,0)),0,VLOOKUP($S$259,'TAR FIN'!$A$1:$O$88,15,0))</f>
        <v>0</v>
      </c>
      <c r="W259" s="6">
        <f>IF(ISERROR(VLOOKUP($T$259,'TAR FIN'!$A$1:$O$88,15,0)),0,VLOOKUP($T$259,'TAR FIN'!$A$1:$O$88,15,0))</f>
        <v>0</v>
      </c>
      <c r="X259" s="6">
        <f>IF(ISERROR(VLOOKUP($U$259,'TAR FIN'!$A$1:$O$88,15,0)),0,VLOOKUP($U$259,'TAR FIN'!$A$1:$O$88,15,0))</f>
        <v>0</v>
      </c>
      <c r="Y259" s="6"/>
      <c r="Z259" s="6">
        <f ca="1">('TUSD BE'!$AM$47+'TUSD BF_350'!$AM$47+'TUSD CVA'!$AM$47)*1</f>
        <v>261.33999999999997</v>
      </c>
      <c r="AA259" s="6">
        <f ca="1">('TE BE'!$AB$38+'TE BF_350'!$AB$38+'TE CVA'!$AB$38)*1</f>
        <v>250.04</v>
      </c>
      <c r="AB259" s="6">
        <f>$K$259*$V$259</f>
        <v>0</v>
      </c>
      <c r="AC259" s="6">
        <f>$M$259*$W$259</f>
        <v>0</v>
      </c>
      <c r="AD259" s="6">
        <f>$O$259*$X$259</f>
        <v>0</v>
      </c>
      <c r="AE259" s="6">
        <f>$K$259*$Y$259</f>
        <v>0</v>
      </c>
      <c r="AF259" s="6">
        <f ca="1">$M$259*$Z$259</f>
        <v>992.30797999999993</v>
      </c>
      <c r="AG259" s="6">
        <f ca="1">$O$259*$AA$259</f>
        <v>949.40188000000001</v>
      </c>
    </row>
    <row r="260" spans="1:33" ht="11.25" customHeight="1" x14ac:dyDescent="0.25">
      <c r="A260" s="4" t="s">
        <v>21</v>
      </c>
      <c r="B260" s="4" t="s">
        <v>32</v>
      </c>
      <c r="C260" s="4" t="s">
        <v>38</v>
      </c>
      <c r="D260" s="4" t="s">
        <v>43</v>
      </c>
      <c r="E260" s="4" t="s">
        <v>25</v>
      </c>
      <c r="F260" s="4" t="s">
        <v>25</v>
      </c>
      <c r="G260" s="4" t="s">
        <v>25</v>
      </c>
      <c r="H260" s="4" t="s">
        <v>39</v>
      </c>
      <c r="I260" s="5">
        <v>44409</v>
      </c>
      <c r="J260" s="6">
        <v>0</v>
      </c>
      <c r="K260" s="6">
        <v>0</v>
      </c>
      <c r="L260" s="6">
        <v>0.29099999999999998</v>
      </c>
      <c r="M260" s="6">
        <v>0.29099999999999998</v>
      </c>
      <c r="N260" s="6">
        <v>0.29099999999999998</v>
      </c>
      <c r="O260" s="6">
        <v>0.29099999999999998</v>
      </c>
      <c r="P260" s="6">
        <v>0</v>
      </c>
      <c r="Q260" s="4" t="s">
        <v>26</v>
      </c>
      <c r="R260" s="4">
        <v>0</v>
      </c>
      <c r="S260" s="6">
        <v>0</v>
      </c>
      <c r="T260" s="6">
        <v>44</v>
      </c>
      <c r="U260" s="6">
        <v>82</v>
      </c>
      <c r="V260" s="6">
        <f>IF(ISERROR(VLOOKUP($S$260,'TAR FIN'!$A$1:$O$88,15,0)),0,VLOOKUP($S$260,'TAR FIN'!$A$1:$O$88,15,0))</f>
        <v>0</v>
      </c>
      <c r="W260" s="6">
        <f>IF(ISERROR(VLOOKUP($T$260,'TAR FIN'!$A$1:$O$88,15,0)),0,VLOOKUP($T$260,'TAR FIN'!$A$1:$O$88,15,0))</f>
        <v>0</v>
      </c>
      <c r="X260" s="6">
        <f>IF(ISERROR(VLOOKUP($U$260,'TAR FIN'!$A$1:$O$88,15,0)),0,VLOOKUP($U$260,'TAR FIN'!$A$1:$O$88,15,0))</f>
        <v>0</v>
      </c>
      <c r="Y260" s="6"/>
      <c r="Z260" s="6">
        <f ca="1">('TUSD BE'!$AM$46+'TUSD BF_350'!$AM$46+'TUSD CVA'!$AM$46)*1</f>
        <v>470.22000000000008</v>
      </c>
      <c r="AA260" s="6">
        <f ca="1">('TE BE'!$AB$37+'TE BF_350'!$AB$37+'TE CVA'!$AB$37)*1</f>
        <v>250.04</v>
      </c>
      <c r="AB260" s="6">
        <f>$K$260*$V$260</f>
        <v>0</v>
      </c>
      <c r="AC260" s="6">
        <f>$M$260*$W$260</f>
        <v>0</v>
      </c>
      <c r="AD260" s="6">
        <f>$O$260*$X$260</f>
        <v>0</v>
      </c>
      <c r="AE260" s="6">
        <f>$K$260*$Y$260</f>
        <v>0</v>
      </c>
      <c r="AF260" s="6">
        <f ca="1">$M$260*$Z$260</f>
        <v>136.83402000000001</v>
      </c>
      <c r="AG260" s="6">
        <f ca="1">$O$260*$AA$260</f>
        <v>72.76164</v>
      </c>
    </row>
    <row r="261" spans="1:33" ht="11.25" customHeight="1" x14ac:dyDescent="0.25">
      <c r="A261" s="4" t="s">
        <v>21</v>
      </c>
      <c r="B261" s="4" t="s">
        <v>32</v>
      </c>
      <c r="C261" s="4" t="s">
        <v>38</v>
      </c>
      <c r="D261" s="4" t="s">
        <v>43</v>
      </c>
      <c r="E261" s="4" t="s">
        <v>25</v>
      </c>
      <c r="F261" s="4" t="s">
        <v>25</v>
      </c>
      <c r="G261" s="4" t="s">
        <v>25</v>
      </c>
      <c r="H261" s="4" t="s">
        <v>39</v>
      </c>
      <c r="I261" s="5">
        <v>44440</v>
      </c>
      <c r="J261" s="6">
        <v>0</v>
      </c>
      <c r="K261" s="6">
        <v>0</v>
      </c>
      <c r="L261" s="6">
        <v>0.27700000000000002</v>
      </c>
      <c r="M261" s="6">
        <v>0.27700000000000002</v>
      </c>
      <c r="N261" s="6">
        <v>0.27700000000000002</v>
      </c>
      <c r="O261" s="6">
        <v>0.27700000000000002</v>
      </c>
      <c r="P261" s="6">
        <v>0</v>
      </c>
      <c r="Q261" s="4" t="s">
        <v>26</v>
      </c>
      <c r="R261" s="4">
        <v>0</v>
      </c>
      <c r="S261" s="6">
        <v>0</v>
      </c>
      <c r="T261" s="6">
        <v>44</v>
      </c>
      <c r="U261" s="6">
        <v>82</v>
      </c>
      <c r="V261" s="6">
        <f>IF(ISERROR(VLOOKUP($S$261,'TAR FIN'!$A$1:$O$88,15,0)),0,VLOOKUP($S$261,'TAR FIN'!$A$1:$O$88,15,0))</f>
        <v>0</v>
      </c>
      <c r="W261" s="6">
        <f>IF(ISERROR(VLOOKUP($T$261,'TAR FIN'!$A$1:$O$88,15,0)),0,VLOOKUP($T$261,'TAR FIN'!$A$1:$O$88,15,0))</f>
        <v>0</v>
      </c>
      <c r="X261" s="6">
        <f>IF(ISERROR(VLOOKUP($U$261,'TAR FIN'!$A$1:$O$88,15,0)),0,VLOOKUP($U$261,'TAR FIN'!$A$1:$O$88,15,0))</f>
        <v>0</v>
      </c>
      <c r="Y261" s="6"/>
      <c r="Z261" s="6">
        <f ca="1">('TUSD BE'!$AM$46+'TUSD BF_350'!$AM$46+'TUSD CVA'!$AM$46)*1</f>
        <v>470.22000000000008</v>
      </c>
      <c r="AA261" s="6">
        <f ca="1">('TE BE'!$AB$37+'TE BF_350'!$AB$37+'TE CVA'!$AB$37)*1</f>
        <v>250.04</v>
      </c>
      <c r="AB261" s="6">
        <f>$K$261*$V$261</f>
        <v>0</v>
      </c>
      <c r="AC261" s="6">
        <f>$M$261*$W$261</f>
        <v>0</v>
      </c>
      <c r="AD261" s="6">
        <f>$O$261*$X$261</f>
        <v>0</v>
      </c>
      <c r="AE261" s="6">
        <f>$K$261*$Y$261</f>
        <v>0</v>
      </c>
      <c r="AF261" s="6">
        <f ca="1">$M$261*$Z$261</f>
        <v>130.25094000000004</v>
      </c>
      <c r="AG261" s="6">
        <f ca="1">$O$261*$AA$261</f>
        <v>69.261080000000007</v>
      </c>
    </row>
    <row r="262" spans="1:33" ht="11.25" customHeight="1" x14ac:dyDescent="0.25">
      <c r="A262" s="4" t="s">
        <v>21</v>
      </c>
      <c r="B262" s="4" t="s">
        <v>32</v>
      </c>
      <c r="C262" s="4" t="s">
        <v>38</v>
      </c>
      <c r="D262" s="4" t="s">
        <v>43</v>
      </c>
      <c r="E262" s="4" t="s">
        <v>25</v>
      </c>
      <c r="F262" s="4" t="s">
        <v>25</v>
      </c>
      <c r="G262" s="4" t="s">
        <v>25</v>
      </c>
      <c r="H262" s="4" t="s">
        <v>39</v>
      </c>
      <c r="I262" s="5">
        <v>44470</v>
      </c>
      <c r="J262" s="6">
        <v>0</v>
      </c>
      <c r="K262" s="6">
        <v>0</v>
      </c>
      <c r="L262" s="6">
        <v>0.24399999999999999</v>
      </c>
      <c r="M262" s="6">
        <v>0.24399999999999999</v>
      </c>
      <c r="N262" s="6">
        <v>0.24399999999999999</v>
      </c>
      <c r="O262" s="6">
        <v>0.24399999999999999</v>
      </c>
      <c r="P262" s="6">
        <v>0</v>
      </c>
      <c r="Q262" s="4" t="s">
        <v>26</v>
      </c>
      <c r="R262" s="4">
        <v>0</v>
      </c>
      <c r="S262" s="6">
        <v>0</v>
      </c>
      <c r="T262" s="6">
        <v>44</v>
      </c>
      <c r="U262" s="6">
        <v>82</v>
      </c>
      <c r="V262" s="6">
        <f>IF(ISERROR(VLOOKUP($S$262,'TAR FIN'!$A$1:$O$88,15,0)),0,VLOOKUP($S$262,'TAR FIN'!$A$1:$O$88,15,0))</f>
        <v>0</v>
      </c>
      <c r="W262" s="6">
        <f>IF(ISERROR(VLOOKUP($T$262,'TAR FIN'!$A$1:$O$88,15,0)),0,VLOOKUP($T$262,'TAR FIN'!$A$1:$O$88,15,0))</f>
        <v>0</v>
      </c>
      <c r="X262" s="6">
        <f>IF(ISERROR(VLOOKUP($U$262,'TAR FIN'!$A$1:$O$88,15,0)),0,VLOOKUP($U$262,'TAR FIN'!$A$1:$O$88,15,0))</f>
        <v>0</v>
      </c>
      <c r="Y262" s="6"/>
      <c r="Z262" s="6">
        <f ca="1">('TUSD BE'!$AM$46+'TUSD BF_350'!$AM$46+'TUSD CVA'!$AM$46)*1</f>
        <v>470.22000000000008</v>
      </c>
      <c r="AA262" s="6">
        <f ca="1">('TE BE'!$AB$37+'TE BF_350'!$AB$37+'TE CVA'!$AB$37)*1</f>
        <v>250.04</v>
      </c>
      <c r="AB262" s="6">
        <f>$K$262*$V$262</f>
        <v>0</v>
      </c>
      <c r="AC262" s="6">
        <f>$M$262*$W$262</f>
        <v>0</v>
      </c>
      <c r="AD262" s="6">
        <f>$O$262*$X$262</f>
        <v>0</v>
      </c>
      <c r="AE262" s="6">
        <f>$K$262*$Y$262</f>
        <v>0</v>
      </c>
      <c r="AF262" s="6">
        <f ca="1">$M$262*$Z$262</f>
        <v>114.73368000000002</v>
      </c>
      <c r="AG262" s="6">
        <f ca="1">$O$262*$AA$262</f>
        <v>61.00976</v>
      </c>
    </row>
    <row r="263" spans="1:33" ht="11.25" customHeight="1" x14ac:dyDescent="0.25">
      <c r="A263" s="4" t="s">
        <v>21</v>
      </c>
      <c r="B263" s="4" t="s">
        <v>32</v>
      </c>
      <c r="C263" s="4" t="s">
        <v>38</v>
      </c>
      <c r="D263" s="4" t="s">
        <v>43</v>
      </c>
      <c r="E263" s="4" t="s">
        <v>25</v>
      </c>
      <c r="F263" s="4" t="s">
        <v>25</v>
      </c>
      <c r="G263" s="4" t="s">
        <v>25</v>
      </c>
      <c r="H263" s="4" t="s">
        <v>39</v>
      </c>
      <c r="I263" s="5">
        <v>44501</v>
      </c>
      <c r="J263" s="6">
        <v>0</v>
      </c>
      <c r="K263" s="6">
        <v>0</v>
      </c>
      <c r="L263" s="6">
        <v>0.24399999999999999</v>
      </c>
      <c r="M263" s="6">
        <v>0.24399999999999999</v>
      </c>
      <c r="N263" s="6">
        <v>0.24399999999999999</v>
      </c>
      <c r="O263" s="6">
        <v>0.24399999999999999</v>
      </c>
      <c r="P263" s="6">
        <v>0</v>
      </c>
      <c r="Q263" s="4" t="s">
        <v>26</v>
      </c>
      <c r="R263" s="4">
        <v>0</v>
      </c>
      <c r="S263" s="6">
        <v>0</v>
      </c>
      <c r="T263" s="6">
        <v>44</v>
      </c>
      <c r="U263" s="6">
        <v>82</v>
      </c>
      <c r="V263" s="6">
        <f>IF(ISERROR(VLOOKUP($S$263,'TAR FIN'!$A$1:$O$88,15,0)),0,VLOOKUP($S$263,'TAR FIN'!$A$1:$O$88,15,0))</f>
        <v>0</v>
      </c>
      <c r="W263" s="6">
        <f>IF(ISERROR(VLOOKUP($T$263,'TAR FIN'!$A$1:$O$88,15,0)),0,VLOOKUP($T$263,'TAR FIN'!$A$1:$O$88,15,0))</f>
        <v>0</v>
      </c>
      <c r="X263" s="6">
        <f>IF(ISERROR(VLOOKUP($U$263,'TAR FIN'!$A$1:$O$88,15,0)),0,VLOOKUP($U$263,'TAR FIN'!$A$1:$O$88,15,0))</f>
        <v>0</v>
      </c>
      <c r="Y263" s="6"/>
      <c r="Z263" s="6">
        <f ca="1">('TUSD BE'!$AM$46+'TUSD BF_350'!$AM$46+'TUSD CVA'!$AM$46)*1</f>
        <v>470.22000000000008</v>
      </c>
      <c r="AA263" s="6">
        <f ca="1">('TE BE'!$AB$37+'TE BF_350'!$AB$37+'TE CVA'!$AB$37)*1</f>
        <v>250.04</v>
      </c>
      <c r="AB263" s="6">
        <f>$K$263*$V$263</f>
        <v>0</v>
      </c>
      <c r="AC263" s="6">
        <f>$M$263*$W$263</f>
        <v>0</v>
      </c>
      <c r="AD263" s="6">
        <f>$O$263*$X$263</f>
        <v>0</v>
      </c>
      <c r="AE263" s="6">
        <f>$K$263*$Y$263</f>
        <v>0</v>
      </c>
      <c r="AF263" s="6">
        <f ca="1">$M$263*$Z$263</f>
        <v>114.73368000000002</v>
      </c>
      <c r="AG263" s="6">
        <f ca="1">$O$263*$AA$263</f>
        <v>61.00976</v>
      </c>
    </row>
    <row r="264" spans="1:33" ht="11.25" customHeight="1" x14ac:dyDescent="0.25">
      <c r="A264" s="4" t="s">
        <v>21</v>
      </c>
      <c r="B264" s="4" t="s">
        <v>32</v>
      </c>
      <c r="C264" s="4" t="s">
        <v>38</v>
      </c>
      <c r="D264" s="4" t="s">
        <v>43</v>
      </c>
      <c r="E264" s="4" t="s">
        <v>25</v>
      </c>
      <c r="F264" s="4" t="s">
        <v>25</v>
      </c>
      <c r="G264" s="4" t="s">
        <v>25</v>
      </c>
      <c r="H264" s="4" t="s">
        <v>39</v>
      </c>
      <c r="I264" s="5">
        <v>44531</v>
      </c>
      <c r="J264" s="6">
        <v>0</v>
      </c>
      <c r="K264" s="6">
        <v>0</v>
      </c>
      <c r="L264" s="6">
        <v>0.34499999999999997</v>
      </c>
      <c r="M264" s="6">
        <v>0.34499999999999997</v>
      </c>
      <c r="N264" s="6">
        <v>0.34499999999999997</v>
      </c>
      <c r="O264" s="6">
        <v>0.34499999999999997</v>
      </c>
      <c r="P264" s="6">
        <v>0</v>
      </c>
      <c r="Q264" s="4" t="s">
        <v>26</v>
      </c>
      <c r="R264" s="4">
        <v>0</v>
      </c>
      <c r="S264" s="6">
        <v>0</v>
      </c>
      <c r="T264" s="6">
        <v>44</v>
      </c>
      <c r="U264" s="6">
        <v>82</v>
      </c>
      <c r="V264" s="6">
        <f>IF(ISERROR(VLOOKUP($S$264,'TAR FIN'!$A$1:$O$88,15,0)),0,VLOOKUP($S$264,'TAR FIN'!$A$1:$O$88,15,0))</f>
        <v>0</v>
      </c>
      <c r="W264" s="6">
        <f>IF(ISERROR(VLOOKUP($T$264,'TAR FIN'!$A$1:$O$88,15,0)),0,VLOOKUP($T$264,'TAR FIN'!$A$1:$O$88,15,0))</f>
        <v>0</v>
      </c>
      <c r="X264" s="6">
        <f>IF(ISERROR(VLOOKUP($U$264,'TAR FIN'!$A$1:$O$88,15,0)),0,VLOOKUP($U$264,'TAR FIN'!$A$1:$O$88,15,0))</f>
        <v>0</v>
      </c>
      <c r="Y264" s="6"/>
      <c r="Z264" s="6">
        <f ca="1">('TUSD BE'!$AM$46+'TUSD BF_350'!$AM$46+'TUSD CVA'!$AM$46)*1</f>
        <v>470.22000000000008</v>
      </c>
      <c r="AA264" s="6">
        <f ca="1">('TE BE'!$AB$37+'TE BF_350'!$AB$37+'TE CVA'!$AB$37)*1</f>
        <v>250.04</v>
      </c>
      <c r="AB264" s="6">
        <f>$K$264*$V$264</f>
        <v>0</v>
      </c>
      <c r="AC264" s="6">
        <f>$M$264*$W$264</f>
        <v>0</v>
      </c>
      <c r="AD264" s="6">
        <f>$O$264*$X$264</f>
        <v>0</v>
      </c>
      <c r="AE264" s="6">
        <f>$K$264*$Y$264</f>
        <v>0</v>
      </c>
      <c r="AF264" s="6">
        <f ca="1">$M$264*$Z$264</f>
        <v>162.22590000000002</v>
      </c>
      <c r="AG264" s="6">
        <f ca="1">$O$264*$AA$264</f>
        <v>86.263799999999989</v>
      </c>
    </row>
    <row r="265" spans="1:33" ht="11.25" customHeight="1" x14ac:dyDescent="0.25">
      <c r="A265" s="4" t="s">
        <v>21</v>
      </c>
      <c r="B265" s="4" t="s">
        <v>32</v>
      </c>
      <c r="C265" s="4" t="s">
        <v>38</v>
      </c>
      <c r="D265" s="4" t="s">
        <v>43</v>
      </c>
      <c r="E265" s="4" t="s">
        <v>25</v>
      </c>
      <c r="F265" s="4" t="s">
        <v>25</v>
      </c>
      <c r="G265" s="4" t="s">
        <v>25</v>
      </c>
      <c r="H265" s="4" t="s">
        <v>39</v>
      </c>
      <c r="I265" s="5">
        <v>44562</v>
      </c>
      <c r="J265" s="6">
        <v>0</v>
      </c>
      <c r="K265" s="6">
        <v>0</v>
      </c>
      <c r="L265" s="6">
        <v>0.44700000000000001</v>
      </c>
      <c r="M265" s="6">
        <v>0.44700000000000001</v>
      </c>
      <c r="N265" s="6">
        <v>0.44700000000000001</v>
      </c>
      <c r="O265" s="6">
        <v>0.44700000000000001</v>
      </c>
      <c r="P265" s="6">
        <v>0</v>
      </c>
      <c r="Q265" s="4" t="s">
        <v>26</v>
      </c>
      <c r="R265" s="4">
        <v>0</v>
      </c>
      <c r="S265" s="6">
        <v>0</v>
      </c>
      <c r="T265" s="6">
        <v>44</v>
      </c>
      <c r="U265" s="6">
        <v>82</v>
      </c>
      <c r="V265" s="6">
        <f>IF(ISERROR(VLOOKUP($S$265,'TAR FIN'!$A$1:$O$88,15,0)),0,VLOOKUP($S$265,'TAR FIN'!$A$1:$O$88,15,0))</f>
        <v>0</v>
      </c>
      <c r="W265" s="6">
        <f>IF(ISERROR(VLOOKUP($T$265,'TAR FIN'!$A$1:$O$88,15,0)),0,VLOOKUP($T$265,'TAR FIN'!$A$1:$O$88,15,0))</f>
        <v>0</v>
      </c>
      <c r="X265" s="6">
        <f>IF(ISERROR(VLOOKUP($U$265,'TAR FIN'!$A$1:$O$88,15,0)),0,VLOOKUP($U$265,'TAR FIN'!$A$1:$O$88,15,0))</f>
        <v>0</v>
      </c>
      <c r="Y265" s="6"/>
      <c r="Z265" s="6">
        <f ca="1">('TUSD BE'!$AM$46+'TUSD BF_350'!$AM$46+'TUSD CVA'!$AM$46)*1</f>
        <v>470.22000000000008</v>
      </c>
      <c r="AA265" s="6">
        <f ca="1">('TE BE'!$AB$37+'TE BF_350'!$AB$37+'TE CVA'!$AB$37)*1</f>
        <v>250.04</v>
      </c>
      <c r="AB265" s="6">
        <f>$K$265*$V$265</f>
        <v>0</v>
      </c>
      <c r="AC265" s="6">
        <f>$M$265*$W$265</f>
        <v>0</v>
      </c>
      <c r="AD265" s="6">
        <f>$O$265*$X$265</f>
        <v>0</v>
      </c>
      <c r="AE265" s="6">
        <f>$K$265*$Y$265</f>
        <v>0</v>
      </c>
      <c r="AF265" s="6">
        <f ca="1">$M$265*$Z$265</f>
        <v>210.18834000000004</v>
      </c>
      <c r="AG265" s="6">
        <f ca="1">$O$265*$AA$265</f>
        <v>111.76788000000001</v>
      </c>
    </row>
    <row r="266" spans="1:33" ht="11.25" customHeight="1" x14ac:dyDescent="0.25">
      <c r="A266" s="4" t="s">
        <v>21</v>
      </c>
      <c r="B266" s="4" t="s">
        <v>32</v>
      </c>
      <c r="C266" s="4" t="s">
        <v>38</v>
      </c>
      <c r="D266" s="4" t="s">
        <v>43</v>
      </c>
      <c r="E266" s="4" t="s">
        <v>25</v>
      </c>
      <c r="F266" s="4" t="s">
        <v>25</v>
      </c>
      <c r="G266" s="4" t="s">
        <v>25</v>
      </c>
      <c r="H266" s="4" t="s">
        <v>39</v>
      </c>
      <c r="I266" s="5">
        <v>44593</v>
      </c>
      <c r="J266" s="6">
        <v>0</v>
      </c>
      <c r="K266" s="6">
        <v>0</v>
      </c>
      <c r="L266" s="6">
        <v>0.55300000000000005</v>
      </c>
      <c r="M266" s="6">
        <v>0.55300000000000005</v>
      </c>
      <c r="N266" s="6">
        <v>0.55300000000000005</v>
      </c>
      <c r="O266" s="6">
        <v>0.55300000000000005</v>
      </c>
      <c r="P266" s="6">
        <v>0</v>
      </c>
      <c r="Q266" s="4" t="s">
        <v>26</v>
      </c>
      <c r="R266" s="4">
        <v>0</v>
      </c>
      <c r="S266" s="6">
        <v>0</v>
      </c>
      <c r="T266" s="6">
        <v>44</v>
      </c>
      <c r="U266" s="6">
        <v>82</v>
      </c>
      <c r="V266" s="6">
        <f>IF(ISERROR(VLOOKUP($S$266,'TAR FIN'!$A$1:$O$88,15,0)),0,VLOOKUP($S$266,'TAR FIN'!$A$1:$O$88,15,0))</f>
        <v>0</v>
      </c>
      <c r="W266" s="6">
        <f>IF(ISERROR(VLOOKUP($T$266,'TAR FIN'!$A$1:$O$88,15,0)),0,VLOOKUP($T$266,'TAR FIN'!$A$1:$O$88,15,0))</f>
        <v>0</v>
      </c>
      <c r="X266" s="6">
        <f>IF(ISERROR(VLOOKUP($U$266,'TAR FIN'!$A$1:$O$88,15,0)),0,VLOOKUP($U$266,'TAR FIN'!$A$1:$O$88,15,0))</f>
        <v>0</v>
      </c>
      <c r="Y266" s="6"/>
      <c r="Z266" s="6">
        <f ca="1">('TUSD BE'!$AM$46+'TUSD BF_350'!$AM$46+'TUSD CVA'!$AM$46)*1</f>
        <v>470.22000000000008</v>
      </c>
      <c r="AA266" s="6">
        <f ca="1">('TE BE'!$AB$37+'TE BF_350'!$AB$37+'TE CVA'!$AB$37)*1</f>
        <v>250.04</v>
      </c>
      <c r="AB266" s="6">
        <f>$K$266*$V$266</f>
        <v>0</v>
      </c>
      <c r="AC266" s="6">
        <f>$M$266*$W$266</f>
        <v>0</v>
      </c>
      <c r="AD266" s="6">
        <f>$O$266*$X$266</f>
        <v>0</v>
      </c>
      <c r="AE266" s="6">
        <f>$K$266*$Y$266</f>
        <v>0</v>
      </c>
      <c r="AF266" s="6">
        <f ca="1">$M$266*$Z$266</f>
        <v>260.03166000000004</v>
      </c>
      <c r="AG266" s="6">
        <f ca="1">$O$266*$AA$266</f>
        <v>138.27212</v>
      </c>
    </row>
    <row r="267" spans="1:33" ht="11.25" customHeight="1" x14ac:dyDescent="0.25">
      <c r="A267" s="4" t="s">
        <v>21</v>
      </c>
      <c r="B267" s="4" t="s">
        <v>32</v>
      </c>
      <c r="C267" s="4" t="s">
        <v>38</v>
      </c>
      <c r="D267" s="4" t="s">
        <v>43</v>
      </c>
      <c r="E267" s="4" t="s">
        <v>25</v>
      </c>
      <c r="F267" s="4" t="s">
        <v>25</v>
      </c>
      <c r="G267" s="4" t="s">
        <v>25</v>
      </c>
      <c r="H267" s="4" t="s">
        <v>39</v>
      </c>
      <c r="I267" s="5">
        <v>44621</v>
      </c>
      <c r="J267" s="6">
        <v>0</v>
      </c>
      <c r="K267" s="6">
        <v>0</v>
      </c>
      <c r="L267" s="6">
        <v>0.23799999999999999</v>
      </c>
      <c r="M267" s="6">
        <v>0.23799999999999999</v>
      </c>
      <c r="N267" s="6">
        <v>0.23799999999999999</v>
      </c>
      <c r="O267" s="6">
        <v>0.23799999999999999</v>
      </c>
      <c r="P267" s="6">
        <v>0</v>
      </c>
      <c r="Q267" s="4" t="s">
        <v>26</v>
      </c>
      <c r="R267" s="4">
        <v>0</v>
      </c>
      <c r="S267" s="6">
        <v>0</v>
      </c>
      <c r="T267" s="6">
        <v>44</v>
      </c>
      <c r="U267" s="6">
        <v>82</v>
      </c>
      <c r="V267" s="6">
        <f>IF(ISERROR(VLOOKUP($S$267,'TAR FIN'!$A$1:$O$88,15,0)),0,VLOOKUP($S$267,'TAR FIN'!$A$1:$O$88,15,0))</f>
        <v>0</v>
      </c>
      <c r="W267" s="6">
        <f>IF(ISERROR(VLOOKUP($T$267,'TAR FIN'!$A$1:$O$88,15,0)),0,VLOOKUP($T$267,'TAR FIN'!$A$1:$O$88,15,0))</f>
        <v>0</v>
      </c>
      <c r="X267" s="6">
        <f>IF(ISERROR(VLOOKUP($U$267,'TAR FIN'!$A$1:$O$88,15,0)),0,VLOOKUP($U$267,'TAR FIN'!$A$1:$O$88,15,0))</f>
        <v>0</v>
      </c>
      <c r="Y267" s="6"/>
      <c r="Z267" s="6">
        <f ca="1">('TUSD BE'!$AM$46+'TUSD BF_350'!$AM$46+'TUSD CVA'!$AM$46)*1</f>
        <v>470.22000000000008</v>
      </c>
      <c r="AA267" s="6">
        <f ca="1">('TE BE'!$AB$37+'TE BF_350'!$AB$37+'TE CVA'!$AB$37)*1</f>
        <v>250.04</v>
      </c>
      <c r="AB267" s="6">
        <f>$K$267*$V$267</f>
        <v>0</v>
      </c>
      <c r="AC267" s="6">
        <f>$M$267*$W$267</f>
        <v>0</v>
      </c>
      <c r="AD267" s="6">
        <f>$O$267*$X$267</f>
        <v>0</v>
      </c>
      <c r="AE267" s="6">
        <f>$K$267*$Y$267</f>
        <v>0</v>
      </c>
      <c r="AF267" s="6">
        <f ca="1">$M$267*$Z$267</f>
        <v>111.91236000000002</v>
      </c>
      <c r="AG267" s="6">
        <f ca="1">$O$267*$AA$267</f>
        <v>59.509519999999995</v>
      </c>
    </row>
    <row r="268" spans="1:33" ht="11.25" customHeight="1" x14ac:dyDescent="0.25">
      <c r="A268" s="4" t="s">
        <v>21</v>
      </c>
      <c r="B268" s="4" t="s">
        <v>32</v>
      </c>
      <c r="C268" s="4" t="s">
        <v>38</v>
      </c>
      <c r="D268" s="4" t="s">
        <v>43</v>
      </c>
      <c r="E268" s="4" t="s">
        <v>25</v>
      </c>
      <c r="F268" s="4" t="s">
        <v>25</v>
      </c>
      <c r="G268" s="4" t="s">
        <v>25</v>
      </c>
      <c r="H268" s="4" t="s">
        <v>39</v>
      </c>
      <c r="I268" s="5">
        <v>44652</v>
      </c>
      <c r="J268" s="6">
        <v>0</v>
      </c>
      <c r="K268" s="6">
        <v>0</v>
      </c>
      <c r="L268" s="6">
        <v>0.3</v>
      </c>
      <c r="M268" s="6">
        <v>0.3</v>
      </c>
      <c r="N268" s="6">
        <v>0.3</v>
      </c>
      <c r="O268" s="6">
        <v>0.3</v>
      </c>
      <c r="P268" s="6">
        <v>0</v>
      </c>
      <c r="Q268" s="4" t="s">
        <v>26</v>
      </c>
      <c r="R268" s="4">
        <v>0</v>
      </c>
      <c r="S268" s="6">
        <v>0</v>
      </c>
      <c r="T268" s="6">
        <v>44</v>
      </c>
      <c r="U268" s="6">
        <v>82</v>
      </c>
      <c r="V268" s="6">
        <f>IF(ISERROR(VLOOKUP($S$268,'TAR FIN'!$A$1:$O$88,15,0)),0,VLOOKUP($S$268,'TAR FIN'!$A$1:$O$88,15,0))</f>
        <v>0</v>
      </c>
      <c r="W268" s="6">
        <f>IF(ISERROR(VLOOKUP($T$268,'TAR FIN'!$A$1:$O$88,15,0)),0,VLOOKUP($T$268,'TAR FIN'!$A$1:$O$88,15,0))</f>
        <v>0</v>
      </c>
      <c r="X268" s="6">
        <f>IF(ISERROR(VLOOKUP($U$268,'TAR FIN'!$A$1:$O$88,15,0)),0,VLOOKUP($U$268,'TAR FIN'!$A$1:$O$88,15,0))</f>
        <v>0</v>
      </c>
      <c r="Y268" s="6"/>
      <c r="Z268" s="6">
        <f ca="1">('TUSD BE'!$AM$46+'TUSD BF_350'!$AM$46+'TUSD CVA'!$AM$46)*1</f>
        <v>470.22000000000008</v>
      </c>
      <c r="AA268" s="6">
        <f ca="1">('TE BE'!$AB$37+'TE BF_350'!$AB$37+'TE CVA'!$AB$37)*1</f>
        <v>250.04</v>
      </c>
      <c r="AB268" s="6">
        <f>$K$268*$V$268</f>
        <v>0</v>
      </c>
      <c r="AC268" s="6">
        <f>$M$268*$W$268</f>
        <v>0</v>
      </c>
      <c r="AD268" s="6">
        <f>$O$268*$X$268</f>
        <v>0</v>
      </c>
      <c r="AE268" s="6">
        <f>$K$268*$Y$268</f>
        <v>0</v>
      </c>
      <c r="AF268" s="6">
        <f ca="1">$M$268*$Z$268</f>
        <v>141.06600000000003</v>
      </c>
      <c r="AG268" s="6">
        <f ca="1">$O$268*$AA$268</f>
        <v>75.012</v>
      </c>
    </row>
    <row r="269" spans="1:33" ht="11.25" customHeight="1" x14ac:dyDescent="0.25">
      <c r="A269" s="4" t="s">
        <v>21</v>
      </c>
      <c r="B269" s="4" t="s">
        <v>32</v>
      </c>
      <c r="C269" s="4" t="s">
        <v>38</v>
      </c>
      <c r="D269" s="4" t="s">
        <v>43</v>
      </c>
      <c r="E269" s="4" t="s">
        <v>25</v>
      </c>
      <c r="F269" s="4" t="s">
        <v>25</v>
      </c>
      <c r="G269" s="4" t="s">
        <v>25</v>
      </c>
      <c r="H269" s="4" t="s">
        <v>39</v>
      </c>
      <c r="I269" s="5">
        <v>44682</v>
      </c>
      <c r="J269" s="6">
        <v>0</v>
      </c>
      <c r="K269" s="6">
        <v>0</v>
      </c>
      <c r="L269" s="6">
        <v>0.19800000000000001</v>
      </c>
      <c r="M269" s="6">
        <v>0.19800000000000001</v>
      </c>
      <c r="N269" s="6">
        <v>0.19800000000000001</v>
      </c>
      <c r="O269" s="6">
        <v>0.19800000000000001</v>
      </c>
      <c r="P269" s="6">
        <v>0</v>
      </c>
      <c r="Q269" s="4" t="s">
        <v>26</v>
      </c>
      <c r="R269" s="4">
        <v>0</v>
      </c>
      <c r="S269" s="6">
        <v>0</v>
      </c>
      <c r="T269" s="6">
        <v>44</v>
      </c>
      <c r="U269" s="6">
        <v>82</v>
      </c>
      <c r="V269" s="6">
        <f>IF(ISERROR(VLOOKUP($S$269,'TAR FIN'!$A$1:$O$88,15,0)),0,VLOOKUP($S$269,'TAR FIN'!$A$1:$O$88,15,0))</f>
        <v>0</v>
      </c>
      <c r="W269" s="6">
        <f>IF(ISERROR(VLOOKUP($T$269,'TAR FIN'!$A$1:$O$88,15,0)),0,VLOOKUP($T$269,'TAR FIN'!$A$1:$O$88,15,0))</f>
        <v>0</v>
      </c>
      <c r="X269" s="6">
        <f>IF(ISERROR(VLOOKUP($U$269,'TAR FIN'!$A$1:$O$88,15,0)),0,VLOOKUP($U$269,'TAR FIN'!$A$1:$O$88,15,0))</f>
        <v>0</v>
      </c>
      <c r="Y269" s="6"/>
      <c r="Z269" s="6">
        <f ca="1">('TUSD BE'!$AM$46+'TUSD BF_350'!$AM$46+'TUSD CVA'!$AM$46)*1</f>
        <v>470.22000000000008</v>
      </c>
      <c r="AA269" s="6">
        <f ca="1">('TE BE'!$AB$37+'TE BF_350'!$AB$37+'TE CVA'!$AB$37)*1</f>
        <v>250.04</v>
      </c>
      <c r="AB269" s="6">
        <f>$K$269*$V$269</f>
        <v>0</v>
      </c>
      <c r="AC269" s="6">
        <f>$M$269*$W$269</f>
        <v>0</v>
      </c>
      <c r="AD269" s="6">
        <f>$O$269*$X$269</f>
        <v>0</v>
      </c>
      <c r="AE269" s="6">
        <f>$K$269*$Y$269</f>
        <v>0</v>
      </c>
      <c r="AF269" s="6">
        <f ca="1">$M$269*$Z$269</f>
        <v>93.103560000000016</v>
      </c>
      <c r="AG269" s="6">
        <f ca="1">$O$269*$AA$269</f>
        <v>49.507919999999999</v>
      </c>
    </row>
    <row r="270" spans="1:33" ht="11.25" customHeight="1" x14ac:dyDescent="0.25">
      <c r="A270" s="4" t="s">
        <v>21</v>
      </c>
      <c r="B270" s="4" t="s">
        <v>32</v>
      </c>
      <c r="C270" s="4" t="s">
        <v>38</v>
      </c>
      <c r="D270" s="4" t="s">
        <v>43</v>
      </c>
      <c r="E270" s="4" t="s">
        <v>25</v>
      </c>
      <c r="F270" s="4" t="s">
        <v>25</v>
      </c>
      <c r="G270" s="4" t="s">
        <v>25</v>
      </c>
      <c r="H270" s="4" t="s">
        <v>39</v>
      </c>
      <c r="I270" s="5">
        <v>44713</v>
      </c>
      <c r="J270" s="6">
        <v>0</v>
      </c>
      <c r="K270" s="6">
        <v>0</v>
      </c>
      <c r="L270" s="6">
        <v>0.19600000000000001</v>
      </c>
      <c r="M270" s="6">
        <v>0.19600000000000001</v>
      </c>
      <c r="N270" s="6">
        <v>0.19600000000000001</v>
      </c>
      <c r="O270" s="6">
        <v>0.19600000000000001</v>
      </c>
      <c r="P270" s="6">
        <v>0</v>
      </c>
      <c r="Q270" s="4" t="s">
        <v>26</v>
      </c>
      <c r="R270" s="4">
        <v>0</v>
      </c>
      <c r="S270" s="6">
        <v>0</v>
      </c>
      <c r="T270" s="6">
        <v>44</v>
      </c>
      <c r="U270" s="6">
        <v>82</v>
      </c>
      <c r="V270" s="6">
        <f>IF(ISERROR(VLOOKUP($S$270,'TAR FIN'!$A$1:$O$88,15,0)),0,VLOOKUP($S$270,'TAR FIN'!$A$1:$O$88,15,0))</f>
        <v>0</v>
      </c>
      <c r="W270" s="6">
        <f>IF(ISERROR(VLOOKUP($T$270,'TAR FIN'!$A$1:$O$88,15,0)),0,VLOOKUP($T$270,'TAR FIN'!$A$1:$O$88,15,0))</f>
        <v>0</v>
      </c>
      <c r="X270" s="6">
        <f>IF(ISERROR(VLOOKUP($U$270,'TAR FIN'!$A$1:$O$88,15,0)),0,VLOOKUP($U$270,'TAR FIN'!$A$1:$O$88,15,0))</f>
        <v>0</v>
      </c>
      <c r="Y270" s="6"/>
      <c r="Z270" s="6">
        <f ca="1">('TUSD BE'!$AM$46+'TUSD BF_350'!$AM$46+'TUSD CVA'!$AM$46)*1</f>
        <v>470.22000000000008</v>
      </c>
      <c r="AA270" s="6">
        <f ca="1">('TE BE'!$AB$37+'TE BF_350'!$AB$37+'TE CVA'!$AB$37)*1</f>
        <v>250.04</v>
      </c>
      <c r="AB270" s="6">
        <f>$K$270*$V$270</f>
        <v>0</v>
      </c>
      <c r="AC270" s="6">
        <f>$M$270*$W$270</f>
        <v>0</v>
      </c>
      <c r="AD270" s="6">
        <f>$O$270*$X$270</f>
        <v>0</v>
      </c>
      <c r="AE270" s="6">
        <f>$K$270*$Y$270</f>
        <v>0</v>
      </c>
      <c r="AF270" s="6">
        <f ca="1">$M$270*$Z$270</f>
        <v>92.163120000000021</v>
      </c>
      <c r="AG270" s="6">
        <f ca="1">$O$270*$AA$270</f>
        <v>49.007840000000002</v>
      </c>
    </row>
    <row r="271" spans="1:33" ht="11.25" customHeight="1" x14ac:dyDescent="0.25">
      <c r="A271" s="4" t="s">
        <v>21</v>
      </c>
      <c r="B271" s="4" t="s">
        <v>32</v>
      </c>
      <c r="C271" s="4" t="s">
        <v>38</v>
      </c>
      <c r="D271" s="4" t="s">
        <v>43</v>
      </c>
      <c r="E271" s="4" t="s">
        <v>25</v>
      </c>
      <c r="F271" s="4" t="s">
        <v>25</v>
      </c>
      <c r="G271" s="4" t="s">
        <v>25</v>
      </c>
      <c r="H271" s="4" t="s">
        <v>39</v>
      </c>
      <c r="I271" s="5">
        <v>44743</v>
      </c>
      <c r="J271" s="6">
        <v>0</v>
      </c>
      <c r="K271" s="6">
        <v>0</v>
      </c>
      <c r="L271" s="6">
        <v>0.19600000000000001</v>
      </c>
      <c r="M271" s="6">
        <v>0.19600000000000001</v>
      </c>
      <c r="N271" s="6">
        <v>0.19600000000000001</v>
      </c>
      <c r="O271" s="6">
        <v>0.19600000000000001</v>
      </c>
      <c r="P271" s="6">
        <v>0</v>
      </c>
      <c r="Q271" s="4" t="s">
        <v>26</v>
      </c>
      <c r="R271" s="4">
        <v>0</v>
      </c>
      <c r="S271" s="6">
        <v>0</v>
      </c>
      <c r="T271" s="6">
        <v>44</v>
      </c>
      <c r="U271" s="6">
        <v>82</v>
      </c>
      <c r="V271" s="6">
        <f>IF(ISERROR(VLOOKUP($S$271,'TAR FIN'!$A$1:$O$88,15,0)),0,VLOOKUP($S$271,'TAR FIN'!$A$1:$O$88,15,0))</f>
        <v>0</v>
      </c>
      <c r="W271" s="6">
        <f>IF(ISERROR(VLOOKUP($T$271,'TAR FIN'!$A$1:$O$88,15,0)),0,VLOOKUP($T$271,'TAR FIN'!$A$1:$O$88,15,0))</f>
        <v>0</v>
      </c>
      <c r="X271" s="6">
        <f>IF(ISERROR(VLOOKUP($U$271,'TAR FIN'!$A$1:$O$88,15,0)),0,VLOOKUP($U$271,'TAR FIN'!$A$1:$O$88,15,0))</f>
        <v>0</v>
      </c>
      <c r="Y271" s="6"/>
      <c r="Z271" s="6">
        <f ca="1">('TUSD BE'!$AM$46+'TUSD BF_350'!$AM$46+'TUSD CVA'!$AM$46)*1</f>
        <v>470.22000000000008</v>
      </c>
      <c r="AA271" s="6">
        <f ca="1">('TE BE'!$AB$37+'TE BF_350'!$AB$37+'TE CVA'!$AB$37)*1</f>
        <v>250.04</v>
      </c>
      <c r="AB271" s="6">
        <f>$K$271*$V$271</f>
        <v>0</v>
      </c>
      <c r="AC271" s="6">
        <f>$M$271*$W$271</f>
        <v>0</v>
      </c>
      <c r="AD271" s="6">
        <f>$O$271*$X$271</f>
        <v>0</v>
      </c>
      <c r="AE271" s="6">
        <f>$K$271*$Y$271</f>
        <v>0</v>
      </c>
      <c r="AF271" s="6">
        <f ca="1">$M$271*$Z$271</f>
        <v>92.163120000000021</v>
      </c>
      <c r="AG271" s="6">
        <f ca="1">$O$271*$AA$271</f>
        <v>49.007840000000002</v>
      </c>
    </row>
    <row r="272" spans="1:33" ht="11.25" customHeight="1" x14ac:dyDescent="0.25">
      <c r="A272" s="4" t="s">
        <v>21</v>
      </c>
      <c r="B272" s="4" t="s">
        <v>32</v>
      </c>
      <c r="C272" s="4" t="s">
        <v>38</v>
      </c>
      <c r="D272" s="4" t="s">
        <v>43</v>
      </c>
      <c r="E272" s="4" t="s">
        <v>25</v>
      </c>
      <c r="F272" s="4" t="s">
        <v>25</v>
      </c>
      <c r="G272" s="4" t="s">
        <v>25</v>
      </c>
      <c r="H272" s="4" t="s">
        <v>36</v>
      </c>
      <c r="I272" s="5">
        <v>44409</v>
      </c>
      <c r="J272" s="6">
        <v>0</v>
      </c>
      <c r="K272" s="6">
        <v>0</v>
      </c>
      <c r="L272" s="6">
        <v>0.38200000000000001</v>
      </c>
      <c r="M272" s="6">
        <v>0.38200000000000001</v>
      </c>
      <c r="N272" s="6">
        <v>0.38200000000000001</v>
      </c>
      <c r="O272" s="6">
        <v>0.38200000000000001</v>
      </c>
      <c r="P272" s="6">
        <v>0</v>
      </c>
      <c r="Q272" s="4" t="s">
        <v>26</v>
      </c>
      <c r="R272" s="4">
        <v>0</v>
      </c>
      <c r="S272" s="6">
        <v>0</v>
      </c>
      <c r="T272" s="6">
        <v>43</v>
      </c>
      <c r="U272" s="6">
        <v>81</v>
      </c>
      <c r="V272" s="6">
        <f>IF(ISERROR(VLOOKUP($S$272,'TAR FIN'!$A$1:$O$88,15,0)),0,VLOOKUP($S$272,'TAR FIN'!$A$1:$O$88,15,0))</f>
        <v>0</v>
      </c>
      <c r="W272" s="6">
        <f>IF(ISERROR(VLOOKUP($T$272,'TAR FIN'!$A$1:$O$88,15,0)),0,VLOOKUP($T$272,'TAR FIN'!$A$1:$O$88,15,0))</f>
        <v>0</v>
      </c>
      <c r="X272" s="6">
        <f>IF(ISERROR(VLOOKUP($U$272,'TAR FIN'!$A$1:$O$88,15,0)),0,VLOOKUP($U$272,'TAR FIN'!$A$1:$O$88,15,0))</f>
        <v>0</v>
      </c>
      <c r="Y272" s="6"/>
      <c r="Z272" s="6">
        <f ca="1">('TUSD BE'!$AM$45+'TUSD BF_350'!$AM$45+'TUSD CVA'!$AM$45)*1</f>
        <v>679.11</v>
      </c>
      <c r="AA272" s="6">
        <f ca="1">('TE BE'!$AB$36+'TE BF_350'!$AB$36+'TE CVA'!$AB$36)*1</f>
        <v>399.84</v>
      </c>
      <c r="AB272" s="6">
        <f>$K$272*$V$272</f>
        <v>0</v>
      </c>
      <c r="AC272" s="6">
        <f>$M$272*$W$272</f>
        <v>0</v>
      </c>
      <c r="AD272" s="6">
        <f>$O$272*$X$272</f>
        <v>0</v>
      </c>
      <c r="AE272" s="6">
        <f>$K$272*$Y$272</f>
        <v>0</v>
      </c>
      <c r="AF272" s="6">
        <f ca="1">$M$272*$Z$272</f>
        <v>259.42002000000002</v>
      </c>
      <c r="AG272" s="6">
        <f ca="1">$O$272*$AA$272</f>
        <v>152.73887999999999</v>
      </c>
    </row>
    <row r="273" spans="1:33" ht="11.25" customHeight="1" x14ac:dyDescent="0.25">
      <c r="A273" s="4" t="s">
        <v>21</v>
      </c>
      <c r="B273" s="4" t="s">
        <v>32</v>
      </c>
      <c r="C273" s="4" t="s">
        <v>38</v>
      </c>
      <c r="D273" s="4" t="s">
        <v>43</v>
      </c>
      <c r="E273" s="4" t="s">
        <v>25</v>
      </c>
      <c r="F273" s="4" t="s">
        <v>25</v>
      </c>
      <c r="G273" s="4" t="s">
        <v>25</v>
      </c>
      <c r="H273" s="4" t="s">
        <v>36</v>
      </c>
      <c r="I273" s="5">
        <v>44440</v>
      </c>
      <c r="J273" s="6">
        <v>0</v>
      </c>
      <c r="K273" s="6">
        <v>0</v>
      </c>
      <c r="L273" s="6">
        <v>0.38300000000000001</v>
      </c>
      <c r="M273" s="6">
        <v>0.38300000000000001</v>
      </c>
      <c r="N273" s="6">
        <v>0.38300000000000001</v>
      </c>
      <c r="O273" s="6">
        <v>0.38300000000000001</v>
      </c>
      <c r="P273" s="6">
        <v>0</v>
      </c>
      <c r="Q273" s="4" t="s">
        <v>26</v>
      </c>
      <c r="R273" s="4">
        <v>0</v>
      </c>
      <c r="S273" s="6">
        <v>0</v>
      </c>
      <c r="T273" s="6">
        <v>43</v>
      </c>
      <c r="U273" s="6">
        <v>81</v>
      </c>
      <c r="V273" s="6">
        <f>IF(ISERROR(VLOOKUP($S$273,'TAR FIN'!$A$1:$O$88,15,0)),0,VLOOKUP($S$273,'TAR FIN'!$A$1:$O$88,15,0))</f>
        <v>0</v>
      </c>
      <c r="W273" s="6">
        <f>IF(ISERROR(VLOOKUP($T$273,'TAR FIN'!$A$1:$O$88,15,0)),0,VLOOKUP($T$273,'TAR FIN'!$A$1:$O$88,15,0))</f>
        <v>0</v>
      </c>
      <c r="X273" s="6">
        <f>IF(ISERROR(VLOOKUP($U$273,'TAR FIN'!$A$1:$O$88,15,0)),0,VLOOKUP($U$273,'TAR FIN'!$A$1:$O$88,15,0))</f>
        <v>0</v>
      </c>
      <c r="Y273" s="6"/>
      <c r="Z273" s="6">
        <f ca="1">('TUSD BE'!$AM$45+'TUSD BF_350'!$AM$45+'TUSD CVA'!$AM$45)*1</f>
        <v>679.11</v>
      </c>
      <c r="AA273" s="6">
        <f ca="1">('TE BE'!$AB$36+'TE BF_350'!$AB$36+'TE CVA'!$AB$36)*1</f>
        <v>399.84</v>
      </c>
      <c r="AB273" s="6">
        <f>$K$273*$V$273</f>
        <v>0</v>
      </c>
      <c r="AC273" s="6">
        <f>$M$273*$W$273</f>
        <v>0</v>
      </c>
      <c r="AD273" s="6">
        <f>$O$273*$X$273</f>
        <v>0</v>
      </c>
      <c r="AE273" s="6">
        <f>$K$273*$Y$273</f>
        <v>0</v>
      </c>
      <c r="AF273" s="6">
        <f ca="1">$M$273*$Z$273</f>
        <v>260.09913</v>
      </c>
      <c r="AG273" s="6">
        <f ca="1">$O$273*$AA$273</f>
        <v>153.13872000000001</v>
      </c>
    </row>
    <row r="274" spans="1:33" ht="11.25" customHeight="1" x14ac:dyDescent="0.25">
      <c r="A274" s="4" t="s">
        <v>21</v>
      </c>
      <c r="B274" s="4" t="s">
        <v>32</v>
      </c>
      <c r="C274" s="4" t="s">
        <v>38</v>
      </c>
      <c r="D274" s="4" t="s">
        <v>43</v>
      </c>
      <c r="E274" s="4" t="s">
        <v>25</v>
      </c>
      <c r="F274" s="4" t="s">
        <v>25</v>
      </c>
      <c r="G274" s="4" t="s">
        <v>25</v>
      </c>
      <c r="H274" s="4" t="s">
        <v>36</v>
      </c>
      <c r="I274" s="5">
        <v>44470</v>
      </c>
      <c r="J274" s="6">
        <v>0</v>
      </c>
      <c r="K274" s="6">
        <v>0</v>
      </c>
      <c r="L274" s="6">
        <v>0.33900000000000002</v>
      </c>
      <c r="M274" s="6">
        <v>0.33900000000000002</v>
      </c>
      <c r="N274" s="6">
        <v>0.33900000000000002</v>
      </c>
      <c r="O274" s="6">
        <v>0.33900000000000002</v>
      </c>
      <c r="P274" s="6">
        <v>0</v>
      </c>
      <c r="Q274" s="4" t="s">
        <v>26</v>
      </c>
      <c r="R274" s="4">
        <v>0</v>
      </c>
      <c r="S274" s="6">
        <v>0</v>
      </c>
      <c r="T274" s="6">
        <v>43</v>
      </c>
      <c r="U274" s="6">
        <v>81</v>
      </c>
      <c r="V274" s="6">
        <f>IF(ISERROR(VLOOKUP($S$274,'TAR FIN'!$A$1:$O$88,15,0)),0,VLOOKUP($S$274,'TAR FIN'!$A$1:$O$88,15,0))</f>
        <v>0</v>
      </c>
      <c r="W274" s="6">
        <f>IF(ISERROR(VLOOKUP($T$274,'TAR FIN'!$A$1:$O$88,15,0)),0,VLOOKUP($T$274,'TAR FIN'!$A$1:$O$88,15,0))</f>
        <v>0</v>
      </c>
      <c r="X274" s="6">
        <f>IF(ISERROR(VLOOKUP($U$274,'TAR FIN'!$A$1:$O$88,15,0)),0,VLOOKUP($U$274,'TAR FIN'!$A$1:$O$88,15,0))</f>
        <v>0</v>
      </c>
      <c r="Y274" s="6"/>
      <c r="Z274" s="6">
        <f ca="1">('TUSD BE'!$AM$45+'TUSD BF_350'!$AM$45+'TUSD CVA'!$AM$45)*1</f>
        <v>679.11</v>
      </c>
      <c r="AA274" s="6">
        <f ca="1">('TE BE'!$AB$36+'TE BF_350'!$AB$36+'TE CVA'!$AB$36)*1</f>
        <v>399.84</v>
      </c>
      <c r="AB274" s="6">
        <f>$K$274*$V$274</f>
        <v>0</v>
      </c>
      <c r="AC274" s="6">
        <f>$M$274*$W$274</f>
        <v>0</v>
      </c>
      <c r="AD274" s="6">
        <f>$O$274*$X$274</f>
        <v>0</v>
      </c>
      <c r="AE274" s="6">
        <f>$K$274*$Y$274</f>
        <v>0</v>
      </c>
      <c r="AF274" s="6">
        <f ca="1">$M$274*$Z$274</f>
        <v>230.21829000000002</v>
      </c>
      <c r="AG274" s="6">
        <f ca="1">$O$274*$AA$274</f>
        <v>135.54576</v>
      </c>
    </row>
    <row r="275" spans="1:33" ht="11.25" customHeight="1" x14ac:dyDescent="0.25">
      <c r="A275" s="4" t="s">
        <v>21</v>
      </c>
      <c r="B275" s="4" t="s">
        <v>32</v>
      </c>
      <c r="C275" s="4" t="s">
        <v>38</v>
      </c>
      <c r="D275" s="4" t="s">
        <v>43</v>
      </c>
      <c r="E275" s="4" t="s">
        <v>25</v>
      </c>
      <c r="F275" s="4" t="s">
        <v>25</v>
      </c>
      <c r="G275" s="4" t="s">
        <v>25</v>
      </c>
      <c r="H275" s="4" t="s">
        <v>36</v>
      </c>
      <c r="I275" s="5">
        <v>44501</v>
      </c>
      <c r="J275" s="6">
        <v>0</v>
      </c>
      <c r="K275" s="6">
        <v>0</v>
      </c>
      <c r="L275" s="6">
        <v>0.33700000000000002</v>
      </c>
      <c r="M275" s="6">
        <v>0.33700000000000002</v>
      </c>
      <c r="N275" s="6">
        <v>0.33700000000000002</v>
      </c>
      <c r="O275" s="6">
        <v>0.33700000000000002</v>
      </c>
      <c r="P275" s="6">
        <v>0</v>
      </c>
      <c r="Q275" s="4" t="s">
        <v>26</v>
      </c>
      <c r="R275" s="4">
        <v>0</v>
      </c>
      <c r="S275" s="6">
        <v>0</v>
      </c>
      <c r="T275" s="6">
        <v>43</v>
      </c>
      <c r="U275" s="6">
        <v>81</v>
      </c>
      <c r="V275" s="6">
        <f>IF(ISERROR(VLOOKUP($S$275,'TAR FIN'!$A$1:$O$88,15,0)),0,VLOOKUP($S$275,'TAR FIN'!$A$1:$O$88,15,0))</f>
        <v>0</v>
      </c>
      <c r="W275" s="6">
        <f>IF(ISERROR(VLOOKUP($T$275,'TAR FIN'!$A$1:$O$88,15,0)),0,VLOOKUP($T$275,'TAR FIN'!$A$1:$O$88,15,0))</f>
        <v>0</v>
      </c>
      <c r="X275" s="6">
        <f>IF(ISERROR(VLOOKUP($U$275,'TAR FIN'!$A$1:$O$88,15,0)),0,VLOOKUP($U$275,'TAR FIN'!$A$1:$O$88,15,0))</f>
        <v>0</v>
      </c>
      <c r="Y275" s="6"/>
      <c r="Z275" s="6">
        <f ca="1">('TUSD BE'!$AM$45+'TUSD BF_350'!$AM$45+'TUSD CVA'!$AM$45)*1</f>
        <v>679.11</v>
      </c>
      <c r="AA275" s="6">
        <f ca="1">('TE BE'!$AB$36+'TE BF_350'!$AB$36+'TE CVA'!$AB$36)*1</f>
        <v>399.84</v>
      </c>
      <c r="AB275" s="6">
        <f>$K$275*$V$275</f>
        <v>0</v>
      </c>
      <c r="AC275" s="6">
        <f>$M$275*$W$275</f>
        <v>0</v>
      </c>
      <c r="AD275" s="6">
        <f>$O$275*$X$275</f>
        <v>0</v>
      </c>
      <c r="AE275" s="6">
        <f>$K$275*$Y$275</f>
        <v>0</v>
      </c>
      <c r="AF275" s="6">
        <f ca="1">$M$275*$Z$275</f>
        <v>228.86007000000001</v>
      </c>
      <c r="AG275" s="6">
        <f ca="1">$O$275*$AA$275</f>
        <v>134.74608000000001</v>
      </c>
    </row>
    <row r="276" spans="1:33" ht="11.25" customHeight="1" x14ac:dyDescent="0.25">
      <c r="A276" s="4" t="s">
        <v>21</v>
      </c>
      <c r="B276" s="4" t="s">
        <v>32</v>
      </c>
      <c r="C276" s="4" t="s">
        <v>38</v>
      </c>
      <c r="D276" s="4" t="s">
        <v>43</v>
      </c>
      <c r="E276" s="4" t="s">
        <v>25</v>
      </c>
      <c r="F276" s="4" t="s">
        <v>25</v>
      </c>
      <c r="G276" s="4" t="s">
        <v>25</v>
      </c>
      <c r="H276" s="4" t="s">
        <v>36</v>
      </c>
      <c r="I276" s="5">
        <v>44531</v>
      </c>
      <c r="J276" s="6">
        <v>0</v>
      </c>
      <c r="K276" s="6">
        <v>0</v>
      </c>
      <c r="L276" s="6">
        <v>0.32800000000000001</v>
      </c>
      <c r="M276" s="6">
        <v>0.32800000000000001</v>
      </c>
      <c r="N276" s="6">
        <v>0.32800000000000001</v>
      </c>
      <c r="O276" s="6">
        <v>0.32800000000000001</v>
      </c>
      <c r="P276" s="6">
        <v>0</v>
      </c>
      <c r="Q276" s="4" t="s">
        <v>26</v>
      </c>
      <c r="R276" s="4">
        <v>0</v>
      </c>
      <c r="S276" s="6">
        <v>0</v>
      </c>
      <c r="T276" s="6">
        <v>43</v>
      </c>
      <c r="U276" s="6">
        <v>81</v>
      </c>
      <c r="V276" s="6">
        <f>IF(ISERROR(VLOOKUP($S$276,'TAR FIN'!$A$1:$O$88,15,0)),0,VLOOKUP($S$276,'TAR FIN'!$A$1:$O$88,15,0))</f>
        <v>0</v>
      </c>
      <c r="W276" s="6">
        <f>IF(ISERROR(VLOOKUP($T$276,'TAR FIN'!$A$1:$O$88,15,0)),0,VLOOKUP($T$276,'TAR FIN'!$A$1:$O$88,15,0))</f>
        <v>0</v>
      </c>
      <c r="X276" s="6">
        <f>IF(ISERROR(VLOOKUP($U$276,'TAR FIN'!$A$1:$O$88,15,0)),0,VLOOKUP($U$276,'TAR FIN'!$A$1:$O$88,15,0))</f>
        <v>0</v>
      </c>
      <c r="Y276" s="6"/>
      <c r="Z276" s="6">
        <f ca="1">('TUSD BE'!$AM$45+'TUSD BF_350'!$AM$45+'TUSD CVA'!$AM$45)*1</f>
        <v>679.11</v>
      </c>
      <c r="AA276" s="6">
        <f ca="1">('TE BE'!$AB$36+'TE BF_350'!$AB$36+'TE CVA'!$AB$36)*1</f>
        <v>399.84</v>
      </c>
      <c r="AB276" s="6">
        <f>$K$276*$V$276</f>
        <v>0</v>
      </c>
      <c r="AC276" s="6">
        <f>$M$276*$W$276</f>
        <v>0</v>
      </c>
      <c r="AD276" s="6">
        <f>$O$276*$X$276</f>
        <v>0</v>
      </c>
      <c r="AE276" s="6">
        <f>$K$276*$Y$276</f>
        <v>0</v>
      </c>
      <c r="AF276" s="6">
        <f ca="1">$M$276*$Z$276</f>
        <v>222.74808000000002</v>
      </c>
      <c r="AG276" s="6">
        <f ca="1">$O$276*$AA$276</f>
        <v>131.14751999999999</v>
      </c>
    </row>
    <row r="277" spans="1:33" ht="11.25" customHeight="1" x14ac:dyDescent="0.25">
      <c r="A277" s="4" t="s">
        <v>21</v>
      </c>
      <c r="B277" s="4" t="s">
        <v>32</v>
      </c>
      <c r="C277" s="4" t="s">
        <v>38</v>
      </c>
      <c r="D277" s="4" t="s">
        <v>43</v>
      </c>
      <c r="E277" s="4" t="s">
        <v>25</v>
      </c>
      <c r="F277" s="4" t="s">
        <v>25</v>
      </c>
      <c r="G277" s="4" t="s">
        <v>25</v>
      </c>
      <c r="H277" s="4" t="s">
        <v>36</v>
      </c>
      <c r="I277" s="5">
        <v>44562</v>
      </c>
      <c r="J277" s="6">
        <v>0</v>
      </c>
      <c r="K277" s="6">
        <v>0</v>
      </c>
      <c r="L277" s="6">
        <v>0.36499999999999999</v>
      </c>
      <c r="M277" s="6">
        <v>0.36499999999999999</v>
      </c>
      <c r="N277" s="6">
        <v>0.36499999999999999</v>
      </c>
      <c r="O277" s="6">
        <v>0.36499999999999999</v>
      </c>
      <c r="P277" s="6">
        <v>0</v>
      </c>
      <c r="Q277" s="4" t="s">
        <v>26</v>
      </c>
      <c r="R277" s="4">
        <v>0</v>
      </c>
      <c r="S277" s="6">
        <v>0</v>
      </c>
      <c r="T277" s="6">
        <v>43</v>
      </c>
      <c r="U277" s="6">
        <v>81</v>
      </c>
      <c r="V277" s="6">
        <f>IF(ISERROR(VLOOKUP($S$277,'TAR FIN'!$A$1:$O$88,15,0)),0,VLOOKUP($S$277,'TAR FIN'!$A$1:$O$88,15,0))</f>
        <v>0</v>
      </c>
      <c r="W277" s="6">
        <f>IF(ISERROR(VLOOKUP($T$277,'TAR FIN'!$A$1:$O$88,15,0)),0,VLOOKUP($T$277,'TAR FIN'!$A$1:$O$88,15,0))</f>
        <v>0</v>
      </c>
      <c r="X277" s="6">
        <f>IF(ISERROR(VLOOKUP($U$277,'TAR FIN'!$A$1:$O$88,15,0)),0,VLOOKUP($U$277,'TAR FIN'!$A$1:$O$88,15,0))</f>
        <v>0</v>
      </c>
      <c r="Y277" s="6"/>
      <c r="Z277" s="6">
        <f ca="1">('TUSD BE'!$AM$45+'TUSD BF_350'!$AM$45+'TUSD CVA'!$AM$45)*1</f>
        <v>679.11</v>
      </c>
      <c r="AA277" s="6">
        <f ca="1">('TE BE'!$AB$36+'TE BF_350'!$AB$36+'TE CVA'!$AB$36)*1</f>
        <v>399.84</v>
      </c>
      <c r="AB277" s="6">
        <f>$K$277*$V$277</f>
        <v>0</v>
      </c>
      <c r="AC277" s="6">
        <f>$M$277*$W$277</f>
        <v>0</v>
      </c>
      <c r="AD277" s="6">
        <f>$O$277*$X$277</f>
        <v>0</v>
      </c>
      <c r="AE277" s="6">
        <f>$K$277*$Y$277</f>
        <v>0</v>
      </c>
      <c r="AF277" s="6">
        <f ca="1">$M$277*$Z$277</f>
        <v>247.87514999999999</v>
      </c>
      <c r="AG277" s="6">
        <f ca="1">$O$277*$AA$277</f>
        <v>145.94159999999999</v>
      </c>
    </row>
    <row r="278" spans="1:33" ht="11.25" customHeight="1" x14ac:dyDescent="0.25">
      <c r="A278" s="4" t="s">
        <v>21</v>
      </c>
      <c r="B278" s="4" t="s">
        <v>32</v>
      </c>
      <c r="C278" s="4" t="s">
        <v>38</v>
      </c>
      <c r="D278" s="4" t="s">
        <v>43</v>
      </c>
      <c r="E278" s="4" t="s">
        <v>25</v>
      </c>
      <c r="F278" s="4" t="s">
        <v>25</v>
      </c>
      <c r="G278" s="4" t="s">
        <v>25</v>
      </c>
      <c r="H278" s="4" t="s">
        <v>36</v>
      </c>
      <c r="I278" s="5">
        <v>44593</v>
      </c>
      <c r="J278" s="6">
        <v>0</v>
      </c>
      <c r="K278" s="6">
        <v>0</v>
      </c>
      <c r="L278" s="6">
        <v>0.48599999999999999</v>
      </c>
      <c r="M278" s="6">
        <v>0.48599999999999999</v>
      </c>
      <c r="N278" s="6">
        <v>0.48599999999999999</v>
      </c>
      <c r="O278" s="6">
        <v>0.48599999999999999</v>
      </c>
      <c r="P278" s="6">
        <v>0</v>
      </c>
      <c r="Q278" s="4" t="s">
        <v>26</v>
      </c>
      <c r="R278" s="4">
        <v>0</v>
      </c>
      <c r="S278" s="6">
        <v>0</v>
      </c>
      <c r="T278" s="6">
        <v>43</v>
      </c>
      <c r="U278" s="6">
        <v>81</v>
      </c>
      <c r="V278" s="6">
        <f>IF(ISERROR(VLOOKUP($S$278,'TAR FIN'!$A$1:$O$88,15,0)),0,VLOOKUP($S$278,'TAR FIN'!$A$1:$O$88,15,0))</f>
        <v>0</v>
      </c>
      <c r="W278" s="6">
        <f>IF(ISERROR(VLOOKUP($T$278,'TAR FIN'!$A$1:$O$88,15,0)),0,VLOOKUP($T$278,'TAR FIN'!$A$1:$O$88,15,0))</f>
        <v>0</v>
      </c>
      <c r="X278" s="6">
        <f>IF(ISERROR(VLOOKUP($U$278,'TAR FIN'!$A$1:$O$88,15,0)),0,VLOOKUP($U$278,'TAR FIN'!$A$1:$O$88,15,0))</f>
        <v>0</v>
      </c>
      <c r="Y278" s="6"/>
      <c r="Z278" s="6">
        <f ca="1">('TUSD BE'!$AM$45+'TUSD BF_350'!$AM$45+'TUSD CVA'!$AM$45)*1</f>
        <v>679.11</v>
      </c>
      <c r="AA278" s="6">
        <f ca="1">('TE BE'!$AB$36+'TE BF_350'!$AB$36+'TE CVA'!$AB$36)*1</f>
        <v>399.84</v>
      </c>
      <c r="AB278" s="6">
        <f>$K$278*$V$278</f>
        <v>0</v>
      </c>
      <c r="AC278" s="6">
        <f>$M$278*$W$278</f>
        <v>0</v>
      </c>
      <c r="AD278" s="6">
        <f>$O$278*$X$278</f>
        <v>0</v>
      </c>
      <c r="AE278" s="6">
        <f>$K$278*$Y$278</f>
        <v>0</v>
      </c>
      <c r="AF278" s="6">
        <f ca="1">$M$278*$Z$278</f>
        <v>330.04746</v>
      </c>
      <c r="AG278" s="6">
        <f ca="1">$O$278*$AA$278</f>
        <v>194.32223999999999</v>
      </c>
    </row>
    <row r="279" spans="1:33" ht="11.25" customHeight="1" x14ac:dyDescent="0.25">
      <c r="A279" s="4" t="s">
        <v>21</v>
      </c>
      <c r="B279" s="4" t="s">
        <v>32</v>
      </c>
      <c r="C279" s="4" t="s">
        <v>38</v>
      </c>
      <c r="D279" s="4" t="s">
        <v>43</v>
      </c>
      <c r="E279" s="4" t="s">
        <v>25</v>
      </c>
      <c r="F279" s="4" t="s">
        <v>25</v>
      </c>
      <c r="G279" s="4" t="s">
        <v>25</v>
      </c>
      <c r="H279" s="4" t="s">
        <v>36</v>
      </c>
      <c r="I279" s="5">
        <v>44621</v>
      </c>
      <c r="J279" s="6">
        <v>0</v>
      </c>
      <c r="K279" s="6">
        <v>0</v>
      </c>
      <c r="L279" s="6">
        <v>0.35199999999999998</v>
      </c>
      <c r="M279" s="6">
        <v>0.35199999999999998</v>
      </c>
      <c r="N279" s="6">
        <v>0.35199999999999998</v>
      </c>
      <c r="O279" s="6">
        <v>0.35199999999999998</v>
      </c>
      <c r="P279" s="6">
        <v>0</v>
      </c>
      <c r="Q279" s="4" t="s">
        <v>26</v>
      </c>
      <c r="R279" s="4">
        <v>0</v>
      </c>
      <c r="S279" s="6">
        <v>0</v>
      </c>
      <c r="T279" s="6">
        <v>43</v>
      </c>
      <c r="U279" s="6">
        <v>81</v>
      </c>
      <c r="V279" s="6">
        <f>IF(ISERROR(VLOOKUP($S$279,'TAR FIN'!$A$1:$O$88,15,0)),0,VLOOKUP($S$279,'TAR FIN'!$A$1:$O$88,15,0))</f>
        <v>0</v>
      </c>
      <c r="W279" s="6">
        <f>IF(ISERROR(VLOOKUP($T$279,'TAR FIN'!$A$1:$O$88,15,0)),0,VLOOKUP($T$279,'TAR FIN'!$A$1:$O$88,15,0))</f>
        <v>0</v>
      </c>
      <c r="X279" s="6">
        <f>IF(ISERROR(VLOOKUP($U$279,'TAR FIN'!$A$1:$O$88,15,0)),0,VLOOKUP($U$279,'TAR FIN'!$A$1:$O$88,15,0))</f>
        <v>0</v>
      </c>
      <c r="Y279" s="6"/>
      <c r="Z279" s="6">
        <f ca="1">('TUSD BE'!$AM$45+'TUSD BF_350'!$AM$45+'TUSD CVA'!$AM$45)*1</f>
        <v>679.11</v>
      </c>
      <c r="AA279" s="6">
        <f ca="1">('TE BE'!$AB$36+'TE BF_350'!$AB$36+'TE CVA'!$AB$36)*1</f>
        <v>399.84</v>
      </c>
      <c r="AB279" s="6">
        <f>$K$279*$V$279</f>
        <v>0</v>
      </c>
      <c r="AC279" s="6">
        <f>$M$279*$W$279</f>
        <v>0</v>
      </c>
      <c r="AD279" s="6">
        <f>$O$279*$X$279</f>
        <v>0</v>
      </c>
      <c r="AE279" s="6">
        <f>$K$279*$Y$279</f>
        <v>0</v>
      </c>
      <c r="AF279" s="6">
        <f ca="1">$M$279*$Z$279</f>
        <v>239.04671999999999</v>
      </c>
      <c r="AG279" s="6">
        <f ca="1">$O$279*$AA$279</f>
        <v>140.74367999999998</v>
      </c>
    </row>
    <row r="280" spans="1:33" ht="11.25" customHeight="1" x14ac:dyDescent="0.25">
      <c r="A280" s="4" t="s">
        <v>21</v>
      </c>
      <c r="B280" s="4" t="s">
        <v>32</v>
      </c>
      <c r="C280" s="4" t="s">
        <v>38</v>
      </c>
      <c r="D280" s="4" t="s">
        <v>43</v>
      </c>
      <c r="E280" s="4" t="s">
        <v>25</v>
      </c>
      <c r="F280" s="4" t="s">
        <v>25</v>
      </c>
      <c r="G280" s="4" t="s">
        <v>25</v>
      </c>
      <c r="H280" s="4" t="s">
        <v>36</v>
      </c>
      <c r="I280" s="5">
        <v>44652</v>
      </c>
      <c r="J280" s="6">
        <v>0</v>
      </c>
      <c r="K280" s="6">
        <v>0</v>
      </c>
      <c r="L280" s="6">
        <v>0.42299999999999999</v>
      </c>
      <c r="M280" s="6">
        <v>0.42299999999999999</v>
      </c>
      <c r="N280" s="6">
        <v>0.42299999999999999</v>
      </c>
      <c r="O280" s="6">
        <v>0.42299999999999999</v>
      </c>
      <c r="P280" s="6">
        <v>0</v>
      </c>
      <c r="Q280" s="4" t="s">
        <v>26</v>
      </c>
      <c r="R280" s="4">
        <v>0</v>
      </c>
      <c r="S280" s="6">
        <v>0</v>
      </c>
      <c r="T280" s="6">
        <v>43</v>
      </c>
      <c r="U280" s="6">
        <v>81</v>
      </c>
      <c r="V280" s="6">
        <f>IF(ISERROR(VLOOKUP($S$280,'TAR FIN'!$A$1:$O$88,15,0)),0,VLOOKUP($S$280,'TAR FIN'!$A$1:$O$88,15,0))</f>
        <v>0</v>
      </c>
      <c r="W280" s="6">
        <f>IF(ISERROR(VLOOKUP($T$280,'TAR FIN'!$A$1:$O$88,15,0)),0,VLOOKUP($T$280,'TAR FIN'!$A$1:$O$88,15,0))</f>
        <v>0</v>
      </c>
      <c r="X280" s="6">
        <f>IF(ISERROR(VLOOKUP($U$280,'TAR FIN'!$A$1:$O$88,15,0)),0,VLOOKUP($U$280,'TAR FIN'!$A$1:$O$88,15,0))</f>
        <v>0</v>
      </c>
      <c r="Y280" s="6"/>
      <c r="Z280" s="6">
        <f ca="1">('TUSD BE'!$AM$45+'TUSD BF_350'!$AM$45+'TUSD CVA'!$AM$45)*1</f>
        <v>679.11</v>
      </c>
      <c r="AA280" s="6">
        <f ca="1">('TE BE'!$AB$36+'TE BF_350'!$AB$36+'TE CVA'!$AB$36)*1</f>
        <v>399.84</v>
      </c>
      <c r="AB280" s="6">
        <f>$K$280*$V$280</f>
        <v>0</v>
      </c>
      <c r="AC280" s="6">
        <f>$M$280*$W$280</f>
        <v>0</v>
      </c>
      <c r="AD280" s="6">
        <f>$O$280*$X$280</f>
        <v>0</v>
      </c>
      <c r="AE280" s="6">
        <f>$K$280*$Y$280</f>
        <v>0</v>
      </c>
      <c r="AF280" s="6">
        <f ca="1">$M$280*$Z$280</f>
        <v>287.26353</v>
      </c>
      <c r="AG280" s="6">
        <f ca="1">$O$280*$AA$280</f>
        <v>169.13231999999999</v>
      </c>
    </row>
    <row r="281" spans="1:33" ht="11.25" customHeight="1" x14ac:dyDescent="0.25">
      <c r="A281" s="4" t="s">
        <v>21</v>
      </c>
      <c r="B281" s="4" t="s">
        <v>32</v>
      </c>
      <c r="C281" s="4" t="s">
        <v>38</v>
      </c>
      <c r="D281" s="4" t="s">
        <v>43</v>
      </c>
      <c r="E281" s="4" t="s">
        <v>25</v>
      </c>
      <c r="F281" s="4" t="s">
        <v>25</v>
      </c>
      <c r="G281" s="4" t="s">
        <v>25</v>
      </c>
      <c r="H281" s="4" t="s">
        <v>36</v>
      </c>
      <c r="I281" s="5">
        <v>44682</v>
      </c>
      <c r="J281" s="6">
        <v>0</v>
      </c>
      <c r="K281" s="6">
        <v>0</v>
      </c>
      <c r="L281" s="6">
        <v>0.29899999999999999</v>
      </c>
      <c r="M281" s="6">
        <v>0.29899999999999999</v>
      </c>
      <c r="N281" s="6">
        <v>0.29899999999999999</v>
      </c>
      <c r="O281" s="6">
        <v>0.29899999999999999</v>
      </c>
      <c r="P281" s="6">
        <v>0</v>
      </c>
      <c r="Q281" s="4" t="s">
        <v>26</v>
      </c>
      <c r="R281" s="4">
        <v>0</v>
      </c>
      <c r="S281" s="6">
        <v>0</v>
      </c>
      <c r="T281" s="6">
        <v>43</v>
      </c>
      <c r="U281" s="6">
        <v>81</v>
      </c>
      <c r="V281" s="6">
        <f>IF(ISERROR(VLOOKUP($S$281,'TAR FIN'!$A$1:$O$88,15,0)),0,VLOOKUP($S$281,'TAR FIN'!$A$1:$O$88,15,0))</f>
        <v>0</v>
      </c>
      <c r="W281" s="6">
        <f>IF(ISERROR(VLOOKUP($T$281,'TAR FIN'!$A$1:$O$88,15,0)),0,VLOOKUP($T$281,'TAR FIN'!$A$1:$O$88,15,0))</f>
        <v>0</v>
      </c>
      <c r="X281" s="6">
        <f>IF(ISERROR(VLOOKUP($U$281,'TAR FIN'!$A$1:$O$88,15,0)),0,VLOOKUP($U$281,'TAR FIN'!$A$1:$O$88,15,0))</f>
        <v>0</v>
      </c>
      <c r="Y281" s="6"/>
      <c r="Z281" s="6">
        <f ca="1">('TUSD BE'!$AM$45+'TUSD BF_350'!$AM$45+'TUSD CVA'!$AM$45)*1</f>
        <v>679.11</v>
      </c>
      <c r="AA281" s="6">
        <f ca="1">('TE BE'!$AB$36+'TE BF_350'!$AB$36+'TE CVA'!$AB$36)*1</f>
        <v>399.84</v>
      </c>
      <c r="AB281" s="6">
        <f>$K$281*$V$281</f>
        <v>0</v>
      </c>
      <c r="AC281" s="6">
        <f>$M$281*$W$281</f>
        <v>0</v>
      </c>
      <c r="AD281" s="6">
        <f>$O$281*$X$281</f>
        <v>0</v>
      </c>
      <c r="AE281" s="6">
        <f>$K$281*$Y$281</f>
        <v>0</v>
      </c>
      <c r="AF281" s="6">
        <f ca="1">$M$281*$Z$281</f>
        <v>203.05389</v>
      </c>
      <c r="AG281" s="6">
        <f ca="1">$O$281*$AA$281</f>
        <v>119.55215999999999</v>
      </c>
    </row>
    <row r="282" spans="1:33" ht="11.25" customHeight="1" x14ac:dyDescent="0.25">
      <c r="A282" s="4" t="s">
        <v>21</v>
      </c>
      <c r="B282" s="4" t="s">
        <v>32</v>
      </c>
      <c r="C282" s="4" t="s">
        <v>38</v>
      </c>
      <c r="D282" s="4" t="s">
        <v>43</v>
      </c>
      <c r="E282" s="4" t="s">
        <v>25</v>
      </c>
      <c r="F282" s="4" t="s">
        <v>25</v>
      </c>
      <c r="G282" s="4" t="s">
        <v>25</v>
      </c>
      <c r="H282" s="4" t="s">
        <v>36</v>
      </c>
      <c r="I282" s="5">
        <v>44713</v>
      </c>
      <c r="J282" s="6">
        <v>0</v>
      </c>
      <c r="K282" s="6">
        <v>0</v>
      </c>
      <c r="L282" s="6">
        <v>0.29499999999999998</v>
      </c>
      <c r="M282" s="6">
        <v>0.29499999999999998</v>
      </c>
      <c r="N282" s="6">
        <v>0.29499999999999998</v>
      </c>
      <c r="O282" s="6">
        <v>0.29499999999999998</v>
      </c>
      <c r="P282" s="6">
        <v>0</v>
      </c>
      <c r="Q282" s="4" t="s">
        <v>26</v>
      </c>
      <c r="R282" s="4">
        <v>0</v>
      </c>
      <c r="S282" s="6">
        <v>0</v>
      </c>
      <c r="T282" s="6">
        <v>43</v>
      </c>
      <c r="U282" s="6">
        <v>81</v>
      </c>
      <c r="V282" s="6">
        <f>IF(ISERROR(VLOOKUP($S$282,'TAR FIN'!$A$1:$O$88,15,0)),0,VLOOKUP($S$282,'TAR FIN'!$A$1:$O$88,15,0))</f>
        <v>0</v>
      </c>
      <c r="W282" s="6">
        <f>IF(ISERROR(VLOOKUP($T$282,'TAR FIN'!$A$1:$O$88,15,0)),0,VLOOKUP($T$282,'TAR FIN'!$A$1:$O$88,15,0))</f>
        <v>0</v>
      </c>
      <c r="X282" s="6">
        <f>IF(ISERROR(VLOOKUP($U$282,'TAR FIN'!$A$1:$O$88,15,0)),0,VLOOKUP($U$282,'TAR FIN'!$A$1:$O$88,15,0))</f>
        <v>0</v>
      </c>
      <c r="Y282" s="6"/>
      <c r="Z282" s="6">
        <f ca="1">('TUSD BE'!$AM$45+'TUSD BF_350'!$AM$45+'TUSD CVA'!$AM$45)*1</f>
        <v>679.11</v>
      </c>
      <c r="AA282" s="6">
        <f ca="1">('TE BE'!$AB$36+'TE BF_350'!$AB$36+'TE CVA'!$AB$36)*1</f>
        <v>399.84</v>
      </c>
      <c r="AB282" s="6">
        <f>$K$282*$V$282</f>
        <v>0</v>
      </c>
      <c r="AC282" s="6">
        <f>$M$282*$W$282</f>
        <v>0</v>
      </c>
      <c r="AD282" s="6">
        <f>$O$282*$X$282</f>
        <v>0</v>
      </c>
      <c r="AE282" s="6">
        <f>$K$282*$Y$282</f>
        <v>0</v>
      </c>
      <c r="AF282" s="6">
        <f ca="1">$M$282*$Z$282</f>
        <v>200.33744999999999</v>
      </c>
      <c r="AG282" s="6">
        <f ca="1">$O$282*$AA$282</f>
        <v>117.95279999999998</v>
      </c>
    </row>
    <row r="283" spans="1:33" ht="11.25" customHeight="1" x14ac:dyDescent="0.25">
      <c r="A283" s="4" t="s">
        <v>21</v>
      </c>
      <c r="B283" s="4" t="s">
        <v>32</v>
      </c>
      <c r="C283" s="4" t="s">
        <v>38</v>
      </c>
      <c r="D283" s="4" t="s">
        <v>43</v>
      </c>
      <c r="E283" s="4" t="s">
        <v>25</v>
      </c>
      <c r="F283" s="4" t="s">
        <v>25</v>
      </c>
      <c r="G283" s="4" t="s">
        <v>25</v>
      </c>
      <c r="H283" s="4" t="s">
        <v>36</v>
      </c>
      <c r="I283" s="5">
        <v>44743</v>
      </c>
      <c r="J283" s="6">
        <v>0</v>
      </c>
      <c r="K283" s="6">
        <v>0</v>
      </c>
      <c r="L283" s="6">
        <v>0.30599999999999999</v>
      </c>
      <c r="M283" s="6">
        <v>0.30599999999999999</v>
      </c>
      <c r="N283" s="6">
        <v>0.30599999999999999</v>
      </c>
      <c r="O283" s="6">
        <v>0.30599999999999999</v>
      </c>
      <c r="P283" s="6">
        <v>0</v>
      </c>
      <c r="Q283" s="4" t="s">
        <v>26</v>
      </c>
      <c r="R283" s="4">
        <v>0</v>
      </c>
      <c r="S283" s="6">
        <v>0</v>
      </c>
      <c r="T283" s="6">
        <v>43</v>
      </c>
      <c r="U283" s="6">
        <v>81</v>
      </c>
      <c r="V283" s="6">
        <f>IF(ISERROR(VLOOKUP($S$283,'TAR FIN'!$A$1:$O$88,15,0)),0,VLOOKUP($S$283,'TAR FIN'!$A$1:$O$88,15,0))</f>
        <v>0</v>
      </c>
      <c r="W283" s="6">
        <f>IF(ISERROR(VLOOKUP($T$283,'TAR FIN'!$A$1:$O$88,15,0)),0,VLOOKUP($T$283,'TAR FIN'!$A$1:$O$88,15,0))</f>
        <v>0</v>
      </c>
      <c r="X283" s="6">
        <f>IF(ISERROR(VLOOKUP($U$283,'TAR FIN'!$A$1:$O$88,15,0)),0,VLOOKUP($U$283,'TAR FIN'!$A$1:$O$88,15,0))</f>
        <v>0</v>
      </c>
      <c r="Y283" s="6"/>
      <c r="Z283" s="6">
        <f ca="1">('TUSD BE'!$AM$45+'TUSD BF_350'!$AM$45+'TUSD CVA'!$AM$45)*1</f>
        <v>679.11</v>
      </c>
      <c r="AA283" s="6">
        <f ca="1">('TE BE'!$AB$36+'TE BF_350'!$AB$36+'TE CVA'!$AB$36)*1</f>
        <v>399.84</v>
      </c>
      <c r="AB283" s="6">
        <f>$K$283*$V$283</f>
        <v>0</v>
      </c>
      <c r="AC283" s="6">
        <f>$M$283*$W$283</f>
        <v>0</v>
      </c>
      <c r="AD283" s="6">
        <f>$O$283*$X$283</f>
        <v>0</v>
      </c>
      <c r="AE283" s="6">
        <f>$K$283*$Y$283</f>
        <v>0</v>
      </c>
      <c r="AF283" s="6">
        <f ca="1">$M$283*$Z$283</f>
        <v>207.80766</v>
      </c>
      <c r="AG283" s="6">
        <f ca="1">$O$283*$AA$283</f>
        <v>122.35103999999998</v>
      </c>
    </row>
    <row r="284" spans="1:33" ht="11.25" customHeight="1" x14ac:dyDescent="0.25">
      <c r="A284" s="4" t="s">
        <v>21</v>
      </c>
      <c r="B284" s="4" t="s">
        <v>32</v>
      </c>
      <c r="C284" s="4" t="s">
        <v>23</v>
      </c>
      <c r="D284" s="4" t="s">
        <v>40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44409</v>
      </c>
      <c r="J284" s="6">
        <v>0</v>
      </c>
      <c r="K284" s="6">
        <v>0</v>
      </c>
      <c r="L284" s="6">
        <v>211.33699999999999</v>
      </c>
      <c r="M284" s="6">
        <v>211.33699999999999</v>
      </c>
      <c r="N284" s="6">
        <v>211.33699999999999</v>
      </c>
      <c r="O284" s="6">
        <v>211.33699999999999</v>
      </c>
      <c r="P284" s="6">
        <v>385</v>
      </c>
      <c r="Q284" s="4" t="s">
        <v>26</v>
      </c>
      <c r="R284" s="4">
        <v>0</v>
      </c>
      <c r="S284" s="6">
        <v>0</v>
      </c>
      <c r="T284" s="6">
        <v>46</v>
      </c>
      <c r="U284" s="6">
        <v>84</v>
      </c>
      <c r="V284" s="6">
        <f>IF(ISERROR(VLOOKUP($S$284,'TAR FIN'!$A$1:$O$88,15,0)),0,VLOOKUP($S$284,'TAR FIN'!$A$1:$O$88,15,0))</f>
        <v>0</v>
      </c>
      <c r="W284" s="6">
        <f>IF(ISERROR(VLOOKUP($T$284,'TAR FIN'!$A$1:$O$88,15,0)),0,VLOOKUP($T$284,'TAR FIN'!$A$1:$O$88,15,0))</f>
        <v>0</v>
      </c>
      <c r="X284" s="6">
        <f>IF(ISERROR(VLOOKUP($U$284,'TAR FIN'!$A$1:$O$88,15,0)),0,VLOOKUP($U$284,'TAR FIN'!$A$1:$O$88,15,0))</f>
        <v>0</v>
      </c>
      <c r="Y284" s="6"/>
      <c r="Z284" s="6">
        <f ca="1">('TUSD BE'!$AM$48+'TUSD BF_350'!$AM$48+'TUSD CVA'!$AM$48)*1</f>
        <v>310.49</v>
      </c>
      <c r="AA284" s="6">
        <f ca="1">('TE BE'!$AB$39+'TE BF_350'!$AB$39+'TE CVA'!$AB$39)*1</f>
        <v>262.52999999999997</v>
      </c>
      <c r="AB284" s="6">
        <f>$K$284*$V$284</f>
        <v>0</v>
      </c>
      <c r="AC284" s="6">
        <f>$M$284*$W$284</f>
        <v>0</v>
      </c>
      <c r="AD284" s="6">
        <f>$O$284*$X$284</f>
        <v>0</v>
      </c>
      <c r="AE284" s="6">
        <f>$K$284*$Y$284</f>
        <v>0</v>
      </c>
      <c r="AF284" s="6">
        <f ca="1">$M$284*$Z$284</f>
        <v>65618.025129999995</v>
      </c>
      <c r="AG284" s="6">
        <f ca="1">$O$284*$AA$284</f>
        <v>55482.302609999992</v>
      </c>
    </row>
    <row r="285" spans="1:33" ht="11.25" customHeight="1" x14ac:dyDescent="0.25">
      <c r="A285" s="4" t="s">
        <v>27</v>
      </c>
      <c r="B285" s="4" t="s">
        <v>32</v>
      </c>
      <c r="C285" s="4" t="s">
        <v>23</v>
      </c>
      <c r="D285" s="4" t="s">
        <v>40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44409</v>
      </c>
      <c r="J285" s="6">
        <v>0</v>
      </c>
      <c r="K285" s="6">
        <v>0</v>
      </c>
      <c r="L285" s="6">
        <v>2.0169999999999999</v>
      </c>
      <c r="M285" s="6">
        <v>2.0169999999999999</v>
      </c>
      <c r="N285" s="6">
        <v>2.0169999999999999</v>
      </c>
      <c r="O285" s="6">
        <v>2.0169999999999999</v>
      </c>
      <c r="P285" s="6">
        <v>8</v>
      </c>
      <c r="Q285" s="4" t="s">
        <v>26</v>
      </c>
      <c r="R285" s="4">
        <v>0</v>
      </c>
      <c r="S285" s="6">
        <v>0</v>
      </c>
      <c r="T285" s="6">
        <v>46</v>
      </c>
      <c r="U285" s="6">
        <v>84</v>
      </c>
      <c r="V285" s="6">
        <f>IF(ISERROR(VLOOKUP($S$285,'TAR FIN'!$A$1:$O$88,15,0)),0,VLOOKUP($S$285,'TAR FIN'!$A$1:$O$88,15,0))</f>
        <v>0</v>
      </c>
      <c r="W285" s="6">
        <f>IF(ISERROR(VLOOKUP($T$285,'TAR FIN'!$A$1:$O$88,15,0)),0,VLOOKUP($T$285,'TAR FIN'!$A$1:$O$88,15,0))</f>
        <v>0</v>
      </c>
      <c r="X285" s="6">
        <f>IF(ISERROR(VLOOKUP($U$285,'TAR FIN'!$A$1:$O$88,15,0)),0,VLOOKUP($U$285,'TAR FIN'!$A$1:$O$88,15,0))</f>
        <v>0</v>
      </c>
      <c r="Y285" s="6"/>
      <c r="Z285" s="6">
        <f ca="1">('TUSD BE'!$AM$48+'TUSD BF_350'!$AM$48+'TUSD CVA'!$AM$48)*1</f>
        <v>310.49</v>
      </c>
      <c r="AA285" s="6">
        <f ca="1">('TE BE'!$AB$39+'TE BF_350'!$AB$39+'TE CVA'!$AB$39)*1</f>
        <v>262.52999999999997</v>
      </c>
      <c r="AB285" s="6">
        <f>$K$285*$V$285</f>
        <v>0</v>
      </c>
      <c r="AC285" s="6">
        <f>$M$285*$W$285</f>
        <v>0</v>
      </c>
      <c r="AD285" s="6">
        <f>$O$285*$X$285</f>
        <v>0</v>
      </c>
      <c r="AE285" s="6">
        <f>$K$285*$Y$285</f>
        <v>0</v>
      </c>
      <c r="AF285" s="6">
        <f ca="1">$M$285*$Z$285</f>
        <v>626.25833</v>
      </c>
      <c r="AG285" s="6">
        <f ca="1">$O$285*$AA$285</f>
        <v>529.52300999999989</v>
      </c>
    </row>
    <row r="286" spans="1:33" ht="11.25" customHeight="1" x14ac:dyDescent="0.25">
      <c r="A286" s="4" t="s">
        <v>21</v>
      </c>
      <c r="B286" s="4" t="s">
        <v>32</v>
      </c>
      <c r="C286" s="4" t="s">
        <v>23</v>
      </c>
      <c r="D286" s="4" t="s">
        <v>40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44440</v>
      </c>
      <c r="J286" s="6">
        <v>0</v>
      </c>
      <c r="K286" s="6">
        <v>0</v>
      </c>
      <c r="L286" s="6">
        <v>202.76599999999999</v>
      </c>
      <c r="M286" s="6">
        <v>202.76599999999999</v>
      </c>
      <c r="N286" s="6">
        <v>202.76599999999999</v>
      </c>
      <c r="O286" s="6">
        <v>202.76599999999999</v>
      </c>
      <c r="P286" s="6">
        <v>390</v>
      </c>
      <c r="Q286" s="4" t="s">
        <v>26</v>
      </c>
      <c r="R286" s="4">
        <v>0</v>
      </c>
      <c r="S286" s="6">
        <v>0</v>
      </c>
      <c r="T286" s="6">
        <v>46</v>
      </c>
      <c r="U286" s="6">
        <v>84</v>
      </c>
      <c r="V286" s="6">
        <f>IF(ISERROR(VLOOKUP($S$286,'TAR FIN'!$A$1:$O$88,15,0)),0,VLOOKUP($S$286,'TAR FIN'!$A$1:$O$88,15,0))</f>
        <v>0</v>
      </c>
      <c r="W286" s="6">
        <f>IF(ISERROR(VLOOKUP($T$286,'TAR FIN'!$A$1:$O$88,15,0)),0,VLOOKUP($T$286,'TAR FIN'!$A$1:$O$88,15,0))</f>
        <v>0</v>
      </c>
      <c r="X286" s="6">
        <f>IF(ISERROR(VLOOKUP($U$286,'TAR FIN'!$A$1:$O$88,15,0)),0,VLOOKUP($U$286,'TAR FIN'!$A$1:$O$88,15,0))</f>
        <v>0</v>
      </c>
      <c r="Y286" s="6"/>
      <c r="Z286" s="6">
        <f ca="1">('TUSD BE'!$AM$48+'TUSD BF_350'!$AM$48+'TUSD CVA'!$AM$48)*1</f>
        <v>310.49</v>
      </c>
      <c r="AA286" s="6">
        <f ca="1">('TE BE'!$AB$39+'TE BF_350'!$AB$39+'TE CVA'!$AB$39)*1</f>
        <v>262.52999999999997</v>
      </c>
      <c r="AB286" s="6">
        <f>$K$286*$V$286</f>
        <v>0</v>
      </c>
      <c r="AC286" s="6">
        <f>$M$286*$W$286</f>
        <v>0</v>
      </c>
      <c r="AD286" s="6">
        <f>$O$286*$X$286</f>
        <v>0</v>
      </c>
      <c r="AE286" s="6">
        <f>$K$286*$Y$286</f>
        <v>0</v>
      </c>
      <c r="AF286" s="6">
        <f ca="1">$M$286*$Z$286</f>
        <v>62956.815340000001</v>
      </c>
      <c r="AG286" s="6">
        <f ca="1">$O$286*$AA$286</f>
        <v>53232.157979999989</v>
      </c>
    </row>
    <row r="287" spans="1:33" ht="11.25" customHeight="1" x14ac:dyDescent="0.25">
      <c r="A287" s="4" t="s">
        <v>27</v>
      </c>
      <c r="B287" s="4" t="s">
        <v>32</v>
      </c>
      <c r="C287" s="4" t="s">
        <v>23</v>
      </c>
      <c r="D287" s="4" t="s">
        <v>40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44440</v>
      </c>
      <c r="J287" s="6">
        <v>0</v>
      </c>
      <c r="K287" s="6">
        <v>0</v>
      </c>
      <c r="L287" s="6">
        <v>2.1030000000000002</v>
      </c>
      <c r="M287" s="6">
        <v>2.1030000000000002</v>
      </c>
      <c r="N287" s="6">
        <v>2.1030000000000002</v>
      </c>
      <c r="O287" s="6">
        <v>2.1030000000000002</v>
      </c>
      <c r="P287" s="6">
        <v>8</v>
      </c>
      <c r="Q287" s="4" t="s">
        <v>26</v>
      </c>
      <c r="R287" s="4">
        <v>0</v>
      </c>
      <c r="S287" s="6">
        <v>0</v>
      </c>
      <c r="T287" s="6">
        <v>46</v>
      </c>
      <c r="U287" s="6">
        <v>84</v>
      </c>
      <c r="V287" s="6">
        <f>IF(ISERROR(VLOOKUP($S$287,'TAR FIN'!$A$1:$O$88,15,0)),0,VLOOKUP($S$287,'TAR FIN'!$A$1:$O$88,15,0))</f>
        <v>0</v>
      </c>
      <c r="W287" s="6">
        <f>IF(ISERROR(VLOOKUP($T$287,'TAR FIN'!$A$1:$O$88,15,0)),0,VLOOKUP($T$287,'TAR FIN'!$A$1:$O$88,15,0))</f>
        <v>0</v>
      </c>
      <c r="X287" s="6">
        <f>IF(ISERROR(VLOOKUP($U$287,'TAR FIN'!$A$1:$O$88,15,0)),0,VLOOKUP($U$287,'TAR FIN'!$A$1:$O$88,15,0))</f>
        <v>0</v>
      </c>
      <c r="Y287" s="6"/>
      <c r="Z287" s="6">
        <f ca="1">('TUSD BE'!$AM$48+'TUSD BF_350'!$AM$48+'TUSD CVA'!$AM$48)*1</f>
        <v>310.49</v>
      </c>
      <c r="AA287" s="6">
        <f ca="1">('TE BE'!$AB$39+'TE BF_350'!$AB$39+'TE CVA'!$AB$39)*1</f>
        <v>262.52999999999997</v>
      </c>
      <c r="AB287" s="6">
        <f>$K$287*$V$287</f>
        <v>0</v>
      </c>
      <c r="AC287" s="6">
        <f>$M$287*$W$287</f>
        <v>0</v>
      </c>
      <c r="AD287" s="6">
        <f>$O$287*$X$287</f>
        <v>0</v>
      </c>
      <c r="AE287" s="6">
        <f>$K$287*$Y$287</f>
        <v>0</v>
      </c>
      <c r="AF287" s="6">
        <f ca="1">$M$287*$Z$287</f>
        <v>652.9604700000001</v>
      </c>
      <c r="AG287" s="6">
        <f ca="1">$O$287*$AA$287</f>
        <v>552.10059000000001</v>
      </c>
    </row>
    <row r="288" spans="1:33" ht="11.25" customHeight="1" x14ac:dyDescent="0.25">
      <c r="A288" s="4" t="s">
        <v>21</v>
      </c>
      <c r="B288" s="4" t="s">
        <v>32</v>
      </c>
      <c r="C288" s="4" t="s">
        <v>23</v>
      </c>
      <c r="D288" s="4" t="s">
        <v>40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44470</v>
      </c>
      <c r="J288" s="6">
        <v>0</v>
      </c>
      <c r="K288" s="6">
        <v>0</v>
      </c>
      <c r="L288" s="6">
        <v>242.50399999999999</v>
      </c>
      <c r="M288" s="6">
        <v>242.50399999999999</v>
      </c>
      <c r="N288" s="6">
        <v>242.50399999999999</v>
      </c>
      <c r="O288" s="6">
        <v>242.50399999999999</v>
      </c>
      <c r="P288" s="6">
        <v>391</v>
      </c>
      <c r="Q288" s="4" t="s">
        <v>26</v>
      </c>
      <c r="R288" s="4">
        <v>0</v>
      </c>
      <c r="S288" s="6">
        <v>0</v>
      </c>
      <c r="T288" s="6">
        <v>46</v>
      </c>
      <c r="U288" s="6">
        <v>84</v>
      </c>
      <c r="V288" s="6">
        <f>IF(ISERROR(VLOOKUP($S$288,'TAR FIN'!$A$1:$O$88,15,0)),0,VLOOKUP($S$288,'TAR FIN'!$A$1:$O$88,15,0))</f>
        <v>0</v>
      </c>
      <c r="W288" s="6">
        <f>IF(ISERROR(VLOOKUP($T$288,'TAR FIN'!$A$1:$O$88,15,0)),0,VLOOKUP($T$288,'TAR FIN'!$A$1:$O$88,15,0))</f>
        <v>0</v>
      </c>
      <c r="X288" s="6">
        <f>IF(ISERROR(VLOOKUP($U$288,'TAR FIN'!$A$1:$O$88,15,0)),0,VLOOKUP($U$288,'TAR FIN'!$A$1:$O$88,15,0))</f>
        <v>0</v>
      </c>
      <c r="Y288" s="6"/>
      <c r="Z288" s="6">
        <f ca="1">('TUSD BE'!$AM$48+'TUSD BF_350'!$AM$48+'TUSD CVA'!$AM$48)*1</f>
        <v>310.49</v>
      </c>
      <c r="AA288" s="6">
        <f ca="1">('TE BE'!$AB$39+'TE BF_350'!$AB$39+'TE CVA'!$AB$39)*1</f>
        <v>262.52999999999997</v>
      </c>
      <c r="AB288" s="6">
        <f>$K$288*$V$288</f>
        <v>0</v>
      </c>
      <c r="AC288" s="6">
        <f>$M$288*$W$288</f>
        <v>0</v>
      </c>
      <c r="AD288" s="6">
        <f>$O$288*$X$288</f>
        <v>0</v>
      </c>
      <c r="AE288" s="6">
        <f>$K$288*$Y$288</f>
        <v>0</v>
      </c>
      <c r="AF288" s="6">
        <f ca="1">$M$288*$Z$288</f>
        <v>75295.066959999996</v>
      </c>
      <c r="AG288" s="6">
        <f ca="1">$O$288*$AA$288</f>
        <v>63664.575119999994</v>
      </c>
    </row>
    <row r="289" spans="1:33" ht="11.25" customHeight="1" x14ac:dyDescent="0.25">
      <c r="A289" s="4" t="s">
        <v>27</v>
      </c>
      <c r="B289" s="4" t="s">
        <v>32</v>
      </c>
      <c r="C289" s="4" t="s">
        <v>23</v>
      </c>
      <c r="D289" s="4" t="s">
        <v>40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44470</v>
      </c>
      <c r="J289" s="6">
        <v>0</v>
      </c>
      <c r="K289" s="6">
        <v>0</v>
      </c>
      <c r="L289" s="6">
        <v>6.4560000000000004</v>
      </c>
      <c r="M289" s="6">
        <v>6.4560000000000004</v>
      </c>
      <c r="N289" s="6">
        <v>6.4560000000000004</v>
      </c>
      <c r="O289" s="6">
        <v>6.4560000000000004</v>
      </c>
      <c r="P289" s="6">
        <v>9</v>
      </c>
      <c r="Q289" s="4" t="s">
        <v>26</v>
      </c>
      <c r="R289" s="4">
        <v>0</v>
      </c>
      <c r="S289" s="6">
        <v>0</v>
      </c>
      <c r="T289" s="6">
        <v>46</v>
      </c>
      <c r="U289" s="6">
        <v>84</v>
      </c>
      <c r="V289" s="6">
        <f>IF(ISERROR(VLOOKUP($S$289,'TAR FIN'!$A$1:$O$88,15,0)),0,VLOOKUP($S$289,'TAR FIN'!$A$1:$O$88,15,0))</f>
        <v>0</v>
      </c>
      <c r="W289" s="6">
        <f>IF(ISERROR(VLOOKUP($T$289,'TAR FIN'!$A$1:$O$88,15,0)),0,VLOOKUP($T$289,'TAR FIN'!$A$1:$O$88,15,0))</f>
        <v>0</v>
      </c>
      <c r="X289" s="6">
        <f>IF(ISERROR(VLOOKUP($U$289,'TAR FIN'!$A$1:$O$88,15,0)),0,VLOOKUP($U$289,'TAR FIN'!$A$1:$O$88,15,0))</f>
        <v>0</v>
      </c>
      <c r="Y289" s="6"/>
      <c r="Z289" s="6">
        <f ca="1">('TUSD BE'!$AM$48+'TUSD BF_350'!$AM$48+'TUSD CVA'!$AM$48)*1</f>
        <v>310.49</v>
      </c>
      <c r="AA289" s="6">
        <f ca="1">('TE BE'!$AB$39+'TE BF_350'!$AB$39+'TE CVA'!$AB$39)*1</f>
        <v>262.52999999999997</v>
      </c>
      <c r="AB289" s="6">
        <f>$K$289*$V$289</f>
        <v>0</v>
      </c>
      <c r="AC289" s="6">
        <f>$M$289*$W$289</f>
        <v>0</v>
      </c>
      <c r="AD289" s="6">
        <f>$O$289*$X$289</f>
        <v>0</v>
      </c>
      <c r="AE289" s="6">
        <f>$K$289*$Y$289</f>
        <v>0</v>
      </c>
      <c r="AF289" s="6">
        <f ca="1">$M$289*$Z$289</f>
        <v>2004.5234400000002</v>
      </c>
      <c r="AG289" s="6">
        <f ca="1">$O$289*$AA$289</f>
        <v>1694.8936799999999</v>
      </c>
    </row>
    <row r="290" spans="1:33" ht="11.25" customHeight="1" x14ac:dyDescent="0.25">
      <c r="A290" s="4" t="s">
        <v>21</v>
      </c>
      <c r="B290" s="4" t="s">
        <v>32</v>
      </c>
      <c r="C290" s="4" t="s">
        <v>23</v>
      </c>
      <c r="D290" s="4" t="s">
        <v>40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44501</v>
      </c>
      <c r="J290" s="6">
        <v>0</v>
      </c>
      <c r="K290" s="6">
        <v>0</v>
      </c>
      <c r="L290" s="6">
        <v>210.94</v>
      </c>
      <c r="M290" s="6">
        <v>210.94</v>
      </c>
      <c r="N290" s="6">
        <v>210.94</v>
      </c>
      <c r="O290" s="6">
        <v>210.94</v>
      </c>
      <c r="P290" s="6">
        <v>393</v>
      </c>
      <c r="Q290" s="4" t="s">
        <v>26</v>
      </c>
      <c r="R290" s="4">
        <v>0</v>
      </c>
      <c r="S290" s="6">
        <v>0</v>
      </c>
      <c r="T290" s="6">
        <v>46</v>
      </c>
      <c r="U290" s="6">
        <v>84</v>
      </c>
      <c r="V290" s="6">
        <f>IF(ISERROR(VLOOKUP($S$290,'TAR FIN'!$A$1:$O$88,15,0)),0,VLOOKUP($S$290,'TAR FIN'!$A$1:$O$88,15,0))</f>
        <v>0</v>
      </c>
      <c r="W290" s="6">
        <f>IF(ISERROR(VLOOKUP($T$290,'TAR FIN'!$A$1:$O$88,15,0)),0,VLOOKUP($T$290,'TAR FIN'!$A$1:$O$88,15,0))</f>
        <v>0</v>
      </c>
      <c r="X290" s="6">
        <f>IF(ISERROR(VLOOKUP($U$290,'TAR FIN'!$A$1:$O$88,15,0)),0,VLOOKUP($U$290,'TAR FIN'!$A$1:$O$88,15,0))</f>
        <v>0</v>
      </c>
      <c r="Y290" s="6"/>
      <c r="Z290" s="6">
        <f ca="1">('TUSD BE'!$AM$48+'TUSD BF_350'!$AM$48+'TUSD CVA'!$AM$48)*1</f>
        <v>310.49</v>
      </c>
      <c r="AA290" s="6">
        <f ca="1">('TE BE'!$AB$39+'TE BF_350'!$AB$39+'TE CVA'!$AB$39)*1</f>
        <v>262.52999999999997</v>
      </c>
      <c r="AB290" s="6">
        <f>$K$290*$V$290</f>
        <v>0</v>
      </c>
      <c r="AC290" s="6">
        <f>$M$290*$W$290</f>
        <v>0</v>
      </c>
      <c r="AD290" s="6">
        <f>$O$290*$X$290</f>
        <v>0</v>
      </c>
      <c r="AE290" s="6">
        <f>$K$290*$Y$290</f>
        <v>0</v>
      </c>
      <c r="AF290" s="6">
        <f ca="1">$M$290*$Z$290</f>
        <v>65494.760600000001</v>
      </c>
      <c r="AG290" s="6">
        <f ca="1">$O$290*$AA$290</f>
        <v>55378.078199999996</v>
      </c>
    </row>
    <row r="291" spans="1:33" ht="11.25" customHeight="1" x14ac:dyDescent="0.25">
      <c r="A291" s="4" t="s">
        <v>27</v>
      </c>
      <c r="B291" s="4" t="s">
        <v>32</v>
      </c>
      <c r="C291" s="4" t="s">
        <v>23</v>
      </c>
      <c r="D291" s="4" t="s">
        <v>40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44501</v>
      </c>
      <c r="J291" s="6">
        <v>0</v>
      </c>
      <c r="K291" s="6">
        <v>0</v>
      </c>
      <c r="L291" s="6">
        <v>1.2330000000000001</v>
      </c>
      <c r="M291" s="6">
        <v>1.2330000000000001</v>
      </c>
      <c r="N291" s="6">
        <v>1.2330000000000001</v>
      </c>
      <c r="O291" s="6">
        <v>1.2330000000000001</v>
      </c>
      <c r="P291" s="6">
        <v>9</v>
      </c>
      <c r="Q291" s="4" t="s">
        <v>26</v>
      </c>
      <c r="R291" s="4">
        <v>0</v>
      </c>
      <c r="S291" s="6">
        <v>0</v>
      </c>
      <c r="T291" s="6">
        <v>46</v>
      </c>
      <c r="U291" s="6">
        <v>84</v>
      </c>
      <c r="V291" s="6">
        <f>IF(ISERROR(VLOOKUP($S$291,'TAR FIN'!$A$1:$O$88,15,0)),0,VLOOKUP($S$291,'TAR FIN'!$A$1:$O$88,15,0))</f>
        <v>0</v>
      </c>
      <c r="W291" s="6">
        <f>IF(ISERROR(VLOOKUP($T$291,'TAR FIN'!$A$1:$O$88,15,0)),0,VLOOKUP($T$291,'TAR FIN'!$A$1:$O$88,15,0))</f>
        <v>0</v>
      </c>
      <c r="X291" s="6">
        <f>IF(ISERROR(VLOOKUP($U$291,'TAR FIN'!$A$1:$O$88,15,0)),0,VLOOKUP($U$291,'TAR FIN'!$A$1:$O$88,15,0))</f>
        <v>0</v>
      </c>
      <c r="Y291" s="6"/>
      <c r="Z291" s="6">
        <f ca="1">('TUSD BE'!$AM$48+'TUSD BF_350'!$AM$48+'TUSD CVA'!$AM$48)*1</f>
        <v>310.49</v>
      </c>
      <c r="AA291" s="6">
        <f ca="1">('TE BE'!$AB$39+'TE BF_350'!$AB$39+'TE CVA'!$AB$39)*1</f>
        <v>262.52999999999997</v>
      </c>
      <c r="AB291" s="6">
        <f>$K$291*$V$291</f>
        <v>0</v>
      </c>
      <c r="AC291" s="6">
        <f>$M$291*$W$291</f>
        <v>0</v>
      </c>
      <c r="AD291" s="6">
        <f>$O$291*$X$291</f>
        <v>0</v>
      </c>
      <c r="AE291" s="6">
        <f>$K$291*$Y$291</f>
        <v>0</v>
      </c>
      <c r="AF291" s="6">
        <f ca="1">$M$291*$Z$291</f>
        <v>382.83417000000003</v>
      </c>
      <c r="AG291" s="6">
        <f ca="1">$O$291*$AA$291</f>
        <v>323.69948999999997</v>
      </c>
    </row>
    <row r="292" spans="1:33" ht="11.25" customHeight="1" x14ac:dyDescent="0.25">
      <c r="A292" s="4" t="s">
        <v>21</v>
      </c>
      <c r="B292" s="4" t="s">
        <v>32</v>
      </c>
      <c r="C292" s="4" t="s">
        <v>23</v>
      </c>
      <c r="D292" s="4" t="s">
        <v>40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44531</v>
      </c>
      <c r="J292" s="6">
        <v>0</v>
      </c>
      <c r="K292" s="6">
        <v>0</v>
      </c>
      <c r="L292" s="6">
        <v>248</v>
      </c>
      <c r="M292" s="6">
        <v>248</v>
      </c>
      <c r="N292" s="6">
        <v>248</v>
      </c>
      <c r="O292" s="6">
        <v>248</v>
      </c>
      <c r="P292" s="6">
        <v>393</v>
      </c>
      <c r="Q292" s="4" t="s">
        <v>26</v>
      </c>
      <c r="R292" s="4">
        <v>0</v>
      </c>
      <c r="S292" s="6">
        <v>0</v>
      </c>
      <c r="T292" s="6">
        <v>46</v>
      </c>
      <c r="U292" s="6">
        <v>84</v>
      </c>
      <c r="V292" s="6">
        <f>IF(ISERROR(VLOOKUP($S$292,'TAR FIN'!$A$1:$O$88,15,0)),0,VLOOKUP($S$292,'TAR FIN'!$A$1:$O$88,15,0))</f>
        <v>0</v>
      </c>
      <c r="W292" s="6">
        <f>IF(ISERROR(VLOOKUP($T$292,'TAR FIN'!$A$1:$O$88,15,0)),0,VLOOKUP($T$292,'TAR FIN'!$A$1:$O$88,15,0))</f>
        <v>0</v>
      </c>
      <c r="X292" s="6">
        <f>IF(ISERROR(VLOOKUP($U$292,'TAR FIN'!$A$1:$O$88,15,0)),0,VLOOKUP($U$292,'TAR FIN'!$A$1:$O$88,15,0))</f>
        <v>0</v>
      </c>
      <c r="Y292" s="6"/>
      <c r="Z292" s="6">
        <f ca="1">('TUSD BE'!$AM$48+'TUSD BF_350'!$AM$48+'TUSD CVA'!$AM$48)*1</f>
        <v>310.49</v>
      </c>
      <c r="AA292" s="6">
        <f ca="1">('TE BE'!$AB$39+'TE BF_350'!$AB$39+'TE CVA'!$AB$39)*1</f>
        <v>262.52999999999997</v>
      </c>
      <c r="AB292" s="6">
        <f>$K$292*$V$292</f>
        <v>0</v>
      </c>
      <c r="AC292" s="6">
        <f>$M$292*$W$292</f>
        <v>0</v>
      </c>
      <c r="AD292" s="6">
        <f>$O$292*$X$292</f>
        <v>0</v>
      </c>
      <c r="AE292" s="6">
        <f>$K$292*$Y$292</f>
        <v>0</v>
      </c>
      <c r="AF292" s="6">
        <f ca="1">$M$292*$Z$292</f>
        <v>77001.52</v>
      </c>
      <c r="AG292" s="6">
        <f ca="1">$O$292*$AA$292</f>
        <v>65107.439999999995</v>
      </c>
    </row>
    <row r="293" spans="1:33" ht="11.25" customHeight="1" x14ac:dyDescent="0.25">
      <c r="A293" s="4" t="s">
        <v>27</v>
      </c>
      <c r="B293" s="4" t="s">
        <v>32</v>
      </c>
      <c r="C293" s="4" t="s">
        <v>23</v>
      </c>
      <c r="D293" s="4" t="s">
        <v>40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44531</v>
      </c>
      <c r="J293" s="6">
        <v>0</v>
      </c>
      <c r="K293" s="6">
        <v>0</v>
      </c>
      <c r="L293" s="6">
        <v>1.462</v>
      </c>
      <c r="M293" s="6">
        <v>1.462</v>
      </c>
      <c r="N293" s="6">
        <v>1.462</v>
      </c>
      <c r="O293" s="6">
        <v>1.462</v>
      </c>
      <c r="P293" s="6">
        <v>10</v>
      </c>
      <c r="Q293" s="4" t="s">
        <v>26</v>
      </c>
      <c r="R293" s="4">
        <v>0</v>
      </c>
      <c r="S293" s="6">
        <v>0</v>
      </c>
      <c r="T293" s="6">
        <v>46</v>
      </c>
      <c r="U293" s="6">
        <v>84</v>
      </c>
      <c r="V293" s="6">
        <f>IF(ISERROR(VLOOKUP($S$293,'TAR FIN'!$A$1:$O$88,15,0)),0,VLOOKUP($S$293,'TAR FIN'!$A$1:$O$88,15,0))</f>
        <v>0</v>
      </c>
      <c r="W293" s="6">
        <f>IF(ISERROR(VLOOKUP($T$293,'TAR FIN'!$A$1:$O$88,15,0)),0,VLOOKUP($T$293,'TAR FIN'!$A$1:$O$88,15,0))</f>
        <v>0</v>
      </c>
      <c r="X293" s="6">
        <f>IF(ISERROR(VLOOKUP($U$293,'TAR FIN'!$A$1:$O$88,15,0)),0,VLOOKUP($U$293,'TAR FIN'!$A$1:$O$88,15,0))</f>
        <v>0</v>
      </c>
      <c r="Y293" s="6"/>
      <c r="Z293" s="6">
        <f ca="1">('TUSD BE'!$AM$48+'TUSD BF_350'!$AM$48+'TUSD CVA'!$AM$48)*1</f>
        <v>310.49</v>
      </c>
      <c r="AA293" s="6">
        <f ca="1">('TE BE'!$AB$39+'TE BF_350'!$AB$39+'TE CVA'!$AB$39)*1</f>
        <v>262.52999999999997</v>
      </c>
      <c r="AB293" s="6">
        <f>$K$293*$V$293</f>
        <v>0</v>
      </c>
      <c r="AC293" s="6">
        <f>$M$293*$W$293</f>
        <v>0</v>
      </c>
      <c r="AD293" s="6">
        <f>$O$293*$X$293</f>
        <v>0</v>
      </c>
      <c r="AE293" s="6">
        <f>$K$293*$Y$293</f>
        <v>0</v>
      </c>
      <c r="AF293" s="6">
        <f ca="1">$M$293*$Z$293</f>
        <v>453.93637999999999</v>
      </c>
      <c r="AG293" s="6">
        <f ca="1">$O$293*$AA$293</f>
        <v>383.81885999999997</v>
      </c>
    </row>
    <row r="294" spans="1:33" ht="11.25" customHeight="1" x14ac:dyDescent="0.25">
      <c r="A294" s="4" t="s">
        <v>21</v>
      </c>
      <c r="B294" s="4" t="s">
        <v>32</v>
      </c>
      <c r="C294" s="4" t="s">
        <v>23</v>
      </c>
      <c r="D294" s="4" t="s">
        <v>40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44562</v>
      </c>
      <c r="J294" s="6">
        <v>0</v>
      </c>
      <c r="K294" s="6">
        <v>0</v>
      </c>
      <c r="L294" s="6">
        <v>247.34299999999999</v>
      </c>
      <c r="M294" s="6">
        <v>247.34299999999999</v>
      </c>
      <c r="N294" s="6">
        <v>247.34299999999999</v>
      </c>
      <c r="O294" s="6">
        <v>247.34299999999999</v>
      </c>
      <c r="P294" s="6">
        <v>402</v>
      </c>
      <c r="Q294" s="4" t="s">
        <v>26</v>
      </c>
      <c r="R294" s="4">
        <v>0</v>
      </c>
      <c r="S294" s="6">
        <v>0</v>
      </c>
      <c r="T294" s="6">
        <v>46</v>
      </c>
      <c r="U294" s="6">
        <v>84</v>
      </c>
      <c r="V294" s="6">
        <f>IF(ISERROR(VLOOKUP($S$294,'TAR FIN'!$A$1:$O$88,15,0)),0,VLOOKUP($S$294,'TAR FIN'!$A$1:$O$88,15,0))</f>
        <v>0</v>
      </c>
      <c r="W294" s="6">
        <f>IF(ISERROR(VLOOKUP($T$294,'TAR FIN'!$A$1:$O$88,15,0)),0,VLOOKUP($T$294,'TAR FIN'!$A$1:$O$88,15,0))</f>
        <v>0</v>
      </c>
      <c r="X294" s="6">
        <f>IF(ISERROR(VLOOKUP($U$294,'TAR FIN'!$A$1:$O$88,15,0)),0,VLOOKUP($U$294,'TAR FIN'!$A$1:$O$88,15,0))</f>
        <v>0</v>
      </c>
      <c r="Y294" s="6"/>
      <c r="Z294" s="6">
        <f ca="1">('TUSD BE'!$AM$48+'TUSD BF_350'!$AM$48+'TUSD CVA'!$AM$48)*1</f>
        <v>310.49</v>
      </c>
      <c r="AA294" s="6">
        <f ca="1">('TE BE'!$AB$39+'TE BF_350'!$AB$39+'TE CVA'!$AB$39)*1</f>
        <v>262.52999999999997</v>
      </c>
      <c r="AB294" s="6">
        <f>$K$294*$V$294</f>
        <v>0</v>
      </c>
      <c r="AC294" s="6">
        <f>$M$294*$W$294</f>
        <v>0</v>
      </c>
      <c r="AD294" s="6">
        <f>$O$294*$X$294</f>
        <v>0</v>
      </c>
      <c r="AE294" s="6">
        <f>$K$294*$Y$294</f>
        <v>0</v>
      </c>
      <c r="AF294" s="6">
        <f ca="1">$M$294*$Z$294</f>
        <v>76797.52807</v>
      </c>
      <c r="AG294" s="6">
        <f ca="1">$O$294*$AA$294</f>
        <v>64934.957789999993</v>
      </c>
    </row>
    <row r="295" spans="1:33" ht="11.25" customHeight="1" x14ac:dyDescent="0.25">
      <c r="A295" s="4" t="s">
        <v>27</v>
      </c>
      <c r="B295" s="4" t="s">
        <v>32</v>
      </c>
      <c r="C295" s="4" t="s">
        <v>23</v>
      </c>
      <c r="D295" s="4" t="s">
        <v>40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44562</v>
      </c>
      <c r="J295" s="6">
        <v>0</v>
      </c>
      <c r="K295" s="6">
        <v>0</v>
      </c>
      <c r="L295" s="6">
        <v>1.47</v>
      </c>
      <c r="M295" s="6">
        <v>1.47</v>
      </c>
      <c r="N295" s="6">
        <v>1.47</v>
      </c>
      <c r="O295" s="6">
        <v>1.47</v>
      </c>
      <c r="P295" s="6">
        <v>10</v>
      </c>
      <c r="Q295" s="4" t="s">
        <v>26</v>
      </c>
      <c r="R295" s="4">
        <v>0</v>
      </c>
      <c r="S295" s="6">
        <v>0</v>
      </c>
      <c r="T295" s="6">
        <v>46</v>
      </c>
      <c r="U295" s="6">
        <v>84</v>
      </c>
      <c r="V295" s="6">
        <f>IF(ISERROR(VLOOKUP($S$295,'TAR FIN'!$A$1:$O$88,15,0)),0,VLOOKUP($S$295,'TAR FIN'!$A$1:$O$88,15,0))</f>
        <v>0</v>
      </c>
      <c r="W295" s="6">
        <f>IF(ISERROR(VLOOKUP($T$295,'TAR FIN'!$A$1:$O$88,15,0)),0,VLOOKUP($T$295,'TAR FIN'!$A$1:$O$88,15,0))</f>
        <v>0</v>
      </c>
      <c r="X295" s="6">
        <f>IF(ISERROR(VLOOKUP($U$295,'TAR FIN'!$A$1:$O$88,15,0)),0,VLOOKUP($U$295,'TAR FIN'!$A$1:$O$88,15,0))</f>
        <v>0</v>
      </c>
      <c r="Y295" s="6"/>
      <c r="Z295" s="6">
        <f ca="1">('TUSD BE'!$AM$48+'TUSD BF_350'!$AM$48+'TUSD CVA'!$AM$48)*1</f>
        <v>310.49</v>
      </c>
      <c r="AA295" s="6">
        <f ca="1">('TE BE'!$AB$39+'TE BF_350'!$AB$39+'TE CVA'!$AB$39)*1</f>
        <v>262.52999999999997</v>
      </c>
      <c r="AB295" s="6">
        <f>$K$295*$V$295</f>
        <v>0</v>
      </c>
      <c r="AC295" s="6">
        <f>$M$295*$W$295</f>
        <v>0</v>
      </c>
      <c r="AD295" s="6">
        <f>$O$295*$X$295</f>
        <v>0</v>
      </c>
      <c r="AE295" s="6">
        <f>$K$295*$Y$295</f>
        <v>0</v>
      </c>
      <c r="AF295" s="6">
        <f ca="1">$M$295*$Z$295</f>
        <v>456.4203</v>
      </c>
      <c r="AG295" s="6">
        <f ca="1">$O$295*$AA$295</f>
        <v>385.91909999999996</v>
      </c>
    </row>
    <row r="296" spans="1:33" ht="11.25" customHeight="1" x14ac:dyDescent="0.25">
      <c r="A296" s="4" t="s">
        <v>21</v>
      </c>
      <c r="B296" s="4" t="s">
        <v>32</v>
      </c>
      <c r="C296" s="4" t="s">
        <v>23</v>
      </c>
      <c r="D296" s="4" t="s">
        <v>40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44593</v>
      </c>
      <c r="J296" s="6">
        <v>0</v>
      </c>
      <c r="K296" s="6">
        <v>0</v>
      </c>
      <c r="L296" s="6">
        <v>309.64100000000002</v>
      </c>
      <c r="M296" s="6">
        <v>309.64100000000002</v>
      </c>
      <c r="N296" s="6">
        <v>309.64100000000002</v>
      </c>
      <c r="O296" s="6">
        <v>309.64100000000002</v>
      </c>
      <c r="P296" s="6">
        <v>400</v>
      </c>
      <c r="Q296" s="4" t="s">
        <v>26</v>
      </c>
      <c r="R296" s="4">
        <v>0</v>
      </c>
      <c r="S296" s="6">
        <v>0</v>
      </c>
      <c r="T296" s="6">
        <v>46</v>
      </c>
      <c r="U296" s="6">
        <v>84</v>
      </c>
      <c r="V296" s="6">
        <f>IF(ISERROR(VLOOKUP($S$296,'TAR FIN'!$A$1:$O$88,15,0)),0,VLOOKUP($S$296,'TAR FIN'!$A$1:$O$88,15,0))</f>
        <v>0</v>
      </c>
      <c r="W296" s="6">
        <f>IF(ISERROR(VLOOKUP($T$296,'TAR FIN'!$A$1:$O$88,15,0)),0,VLOOKUP($T$296,'TAR FIN'!$A$1:$O$88,15,0))</f>
        <v>0</v>
      </c>
      <c r="X296" s="6">
        <f>IF(ISERROR(VLOOKUP($U$296,'TAR FIN'!$A$1:$O$88,15,0)),0,VLOOKUP($U$296,'TAR FIN'!$A$1:$O$88,15,0))</f>
        <v>0</v>
      </c>
      <c r="Y296" s="6"/>
      <c r="Z296" s="6">
        <f ca="1">('TUSD BE'!$AM$48+'TUSD BF_350'!$AM$48+'TUSD CVA'!$AM$48)*1</f>
        <v>310.49</v>
      </c>
      <c r="AA296" s="6">
        <f ca="1">('TE BE'!$AB$39+'TE BF_350'!$AB$39+'TE CVA'!$AB$39)*1</f>
        <v>262.52999999999997</v>
      </c>
      <c r="AB296" s="6">
        <f>$K$296*$V$296</f>
        <v>0</v>
      </c>
      <c r="AC296" s="6">
        <f>$M$296*$W$296</f>
        <v>0</v>
      </c>
      <c r="AD296" s="6">
        <f>$O$296*$X$296</f>
        <v>0</v>
      </c>
      <c r="AE296" s="6">
        <f>$K$296*$Y$296</f>
        <v>0</v>
      </c>
      <c r="AF296" s="6">
        <f ca="1">$M$296*$Z$296</f>
        <v>96140.43409000001</v>
      </c>
      <c r="AG296" s="6">
        <f ca="1">$O$296*$AA$296</f>
        <v>81290.051729999992</v>
      </c>
    </row>
    <row r="297" spans="1:33" ht="11.25" customHeight="1" x14ac:dyDescent="0.25">
      <c r="A297" s="4" t="s">
        <v>27</v>
      </c>
      <c r="B297" s="4" t="s">
        <v>32</v>
      </c>
      <c r="C297" s="4" t="s">
        <v>23</v>
      </c>
      <c r="D297" s="4" t="s">
        <v>40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44593</v>
      </c>
      <c r="J297" s="6">
        <v>0</v>
      </c>
      <c r="K297" s="6">
        <v>0</v>
      </c>
      <c r="L297" s="6">
        <v>3.29</v>
      </c>
      <c r="M297" s="6">
        <v>3.29</v>
      </c>
      <c r="N297" s="6">
        <v>3.29</v>
      </c>
      <c r="O297" s="6">
        <v>3.29</v>
      </c>
      <c r="P297" s="6">
        <v>10</v>
      </c>
      <c r="Q297" s="4" t="s">
        <v>26</v>
      </c>
      <c r="R297" s="4">
        <v>0</v>
      </c>
      <c r="S297" s="6">
        <v>0</v>
      </c>
      <c r="T297" s="6">
        <v>46</v>
      </c>
      <c r="U297" s="6">
        <v>84</v>
      </c>
      <c r="V297" s="6">
        <f>IF(ISERROR(VLOOKUP($S$297,'TAR FIN'!$A$1:$O$88,15,0)),0,VLOOKUP($S$297,'TAR FIN'!$A$1:$O$88,15,0))</f>
        <v>0</v>
      </c>
      <c r="W297" s="6">
        <f>IF(ISERROR(VLOOKUP($T$297,'TAR FIN'!$A$1:$O$88,15,0)),0,VLOOKUP($T$297,'TAR FIN'!$A$1:$O$88,15,0))</f>
        <v>0</v>
      </c>
      <c r="X297" s="6">
        <f>IF(ISERROR(VLOOKUP($U$297,'TAR FIN'!$A$1:$O$88,15,0)),0,VLOOKUP($U$297,'TAR FIN'!$A$1:$O$88,15,0))</f>
        <v>0</v>
      </c>
      <c r="Y297" s="6"/>
      <c r="Z297" s="6">
        <f ca="1">('TUSD BE'!$AM$48+'TUSD BF_350'!$AM$48+'TUSD CVA'!$AM$48)*1</f>
        <v>310.49</v>
      </c>
      <c r="AA297" s="6">
        <f ca="1">('TE BE'!$AB$39+'TE BF_350'!$AB$39+'TE CVA'!$AB$39)*1</f>
        <v>262.52999999999997</v>
      </c>
      <c r="AB297" s="6">
        <f>$K$297*$V$297</f>
        <v>0</v>
      </c>
      <c r="AC297" s="6">
        <f>$M$297*$W$297</f>
        <v>0</v>
      </c>
      <c r="AD297" s="6">
        <f>$O$297*$X$297</f>
        <v>0</v>
      </c>
      <c r="AE297" s="6">
        <f>$K$297*$Y$297</f>
        <v>0</v>
      </c>
      <c r="AF297" s="6">
        <f ca="1">$M$297*$Z$297</f>
        <v>1021.5121</v>
      </c>
      <c r="AG297" s="6">
        <f ca="1">$O$297*$AA$297</f>
        <v>863.72369999999989</v>
      </c>
    </row>
    <row r="298" spans="1:33" ht="11.25" customHeight="1" x14ac:dyDescent="0.25">
      <c r="A298" s="4" t="s">
        <v>21</v>
      </c>
      <c r="B298" s="4" t="s">
        <v>32</v>
      </c>
      <c r="C298" s="4" t="s">
        <v>23</v>
      </c>
      <c r="D298" s="4" t="s">
        <v>40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44621</v>
      </c>
      <c r="J298" s="6">
        <v>0</v>
      </c>
      <c r="K298" s="6">
        <v>0</v>
      </c>
      <c r="L298" s="6">
        <v>276.42200000000003</v>
      </c>
      <c r="M298" s="6">
        <v>276.42200000000003</v>
      </c>
      <c r="N298" s="6">
        <v>276.42200000000003</v>
      </c>
      <c r="O298" s="6">
        <v>276.42200000000003</v>
      </c>
      <c r="P298" s="6">
        <v>396</v>
      </c>
      <c r="Q298" s="4" t="s">
        <v>26</v>
      </c>
      <c r="R298" s="4">
        <v>0</v>
      </c>
      <c r="S298" s="6">
        <v>0</v>
      </c>
      <c r="T298" s="6">
        <v>46</v>
      </c>
      <c r="U298" s="6">
        <v>84</v>
      </c>
      <c r="V298" s="6">
        <f>IF(ISERROR(VLOOKUP($S$298,'TAR FIN'!$A$1:$O$88,15,0)),0,VLOOKUP($S$298,'TAR FIN'!$A$1:$O$88,15,0))</f>
        <v>0</v>
      </c>
      <c r="W298" s="6">
        <f>IF(ISERROR(VLOOKUP($T$298,'TAR FIN'!$A$1:$O$88,15,0)),0,VLOOKUP($T$298,'TAR FIN'!$A$1:$O$88,15,0))</f>
        <v>0</v>
      </c>
      <c r="X298" s="6">
        <f>IF(ISERROR(VLOOKUP($U$298,'TAR FIN'!$A$1:$O$88,15,0)),0,VLOOKUP($U$298,'TAR FIN'!$A$1:$O$88,15,0))</f>
        <v>0</v>
      </c>
      <c r="Y298" s="6"/>
      <c r="Z298" s="6">
        <f ca="1">('TUSD BE'!$AM$48+'TUSD BF_350'!$AM$48+'TUSD CVA'!$AM$48)*1</f>
        <v>310.49</v>
      </c>
      <c r="AA298" s="6">
        <f ca="1">('TE BE'!$AB$39+'TE BF_350'!$AB$39+'TE CVA'!$AB$39)*1</f>
        <v>262.52999999999997</v>
      </c>
      <c r="AB298" s="6">
        <f>$K$298*$V$298</f>
        <v>0</v>
      </c>
      <c r="AC298" s="6">
        <f>$M$298*$W$298</f>
        <v>0</v>
      </c>
      <c r="AD298" s="6">
        <f>$O$298*$X$298</f>
        <v>0</v>
      </c>
      <c r="AE298" s="6">
        <f>$K$298*$Y$298</f>
        <v>0</v>
      </c>
      <c r="AF298" s="6">
        <f ca="1">$M$298*$Z$298</f>
        <v>85826.266780000005</v>
      </c>
      <c r="AG298" s="6">
        <f ca="1">$O$298*$AA$298</f>
        <v>72569.067660000001</v>
      </c>
    </row>
    <row r="299" spans="1:33" ht="11.25" customHeight="1" x14ac:dyDescent="0.25">
      <c r="A299" s="4" t="s">
        <v>27</v>
      </c>
      <c r="B299" s="4" t="s">
        <v>32</v>
      </c>
      <c r="C299" s="4" t="s">
        <v>23</v>
      </c>
      <c r="D299" s="4" t="s">
        <v>40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44621</v>
      </c>
      <c r="J299" s="6">
        <v>0</v>
      </c>
      <c r="K299" s="6">
        <v>0</v>
      </c>
      <c r="L299" s="6">
        <v>2.8769999999999998</v>
      </c>
      <c r="M299" s="6">
        <v>2.8769999999999998</v>
      </c>
      <c r="N299" s="6">
        <v>2.8769999999999998</v>
      </c>
      <c r="O299" s="6">
        <v>2.8769999999999998</v>
      </c>
      <c r="P299" s="6">
        <v>10</v>
      </c>
      <c r="Q299" s="4" t="s">
        <v>26</v>
      </c>
      <c r="R299" s="4">
        <v>0</v>
      </c>
      <c r="S299" s="6">
        <v>0</v>
      </c>
      <c r="T299" s="6">
        <v>46</v>
      </c>
      <c r="U299" s="6">
        <v>84</v>
      </c>
      <c r="V299" s="6">
        <f>IF(ISERROR(VLOOKUP($S$299,'TAR FIN'!$A$1:$O$88,15,0)),0,VLOOKUP($S$299,'TAR FIN'!$A$1:$O$88,15,0))</f>
        <v>0</v>
      </c>
      <c r="W299" s="6">
        <f>IF(ISERROR(VLOOKUP($T$299,'TAR FIN'!$A$1:$O$88,15,0)),0,VLOOKUP($T$299,'TAR FIN'!$A$1:$O$88,15,0))</f>
        <v>0</v>
      </c>
      <c r="X299" s="6">
        <f>IF(ISERROR(VLOOKUP($U$299,'TAR FIN'!$A$1:$O$88,15,0)),0,VLOOKUP($U$299,'TAR FIN'!$A$1:$O$88,15,0))</f>
        <v>0</v>
      </c>
      <c r="Y299" s="6"/>
      <c r="Z299" s="6">
        <f ca="1">('TUSD BE'!$AM$48+'TUSD BF_350'!$AM$48+'TUSD CVA'!$AM$48)*1</f>
        <v>310.49</v>
      </c>
      <c r="AA299" s="6">
        <f ca="1">('TE BE'!$AB$39+'TE BF_350'!$AB$39+'TE CVA'!$AB$39)*1</f>
        <v>262.52999999999997</v>
      </c>
      <c r="AB299" s="6">
        <f>$K$299*$V$299</f>
        <v>0</v>
      </c>
      <c r="AC299" s="6">
        <f>$M$299*$W$299</f>
        <v>0</v>
      </c>
      <c r="AD299" s="6">
        <f>$O$299*$X$299</f>
        <v>0</v>
      </c>
      <c r="AE299" s="6">
        <f>$K$299*$Y$299</f>
        <v>0</v>
      </c>
      <c r="AF299" s="6">
        <f ca="1">$M$299*$Z$299</f>
        <v>893.27972999999997</v>
      </c>
      <c r="AG299" s="6">
        <f ca="1">$O$299*$AA$299</f>
        <v>755.29880999999989</v>
      </c>
    </row>
    <row r="300" spans="1:33" ht="11.25" customHeight="1" x14ac:dyDescent="0.25">
      <c r="A300" s="4" t="s">
        <v>21</v>
      </c>
      <c r="B300" s="4" t="s">
        <v>32</v>
      </c>
      <c r="C300" s="4" t="s">
        <v>23</v>
      </c>
      <c r="D300" s="4" t="s">
        <v>40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44652</v>
      </c>
      <c r="J300" s="6">
        <v>0</v>
      </c>
      <c r="K300" s="6">
        <v>0</v>
      </c>
      <c r="L300" s="6">
        <v>281.46800000000002</v>
      </c>
      <c r="M300" s="6">
        <v>281.46800000000002</v>
      </c>
      <c r="N300" s="6">
        <v>281.46800000000002</v>
      </c>
      <c r="O300" s="6">
        <v>281.46800000000002</v>
      </c>
      <c r="P300" s="6">
        <v>398</v>
      </c>
      <c r="Q300" s="4" t="s">
        <v>26</v>
      </c>
      <c r="R300" s="4">
        <v>0</v>
      </c>
      <c r="S300" s="6">
        <v>0</v>
      </c>
      <c r="T300" s="6">
        <v>46</v>
      </c>
      <c r="U300" s="6">
        <v>84</v>
      </c>
      <c r="V300" s="6">
        <f>IF(ISERROR(VLOOKUP($S$300,'TAR FIN'!$A$1:$O$88,15,0)),0,VLOOKUP($S$300,'TAR FIN'!$A$1:$O$88,15,0))</f>
        <v>0</v>
      </c>
      <c r="W300" s="6">
        <f>IF(ISERROR(VLOOKUP($T$300,'TAR FIN'!$A$1:$O$88,15,0)),0,VLOOKUP($T$300,'TAR FIN'!$A$1:$O$88,15,0))</f>
        <v>0</v>
      </c>
      <c r="X300" s="6">
        <f>IF(ISERROR(VLOOKUP($U$300,'TAR FIN'!$A$1:$O$88,15,0)),0,VLOOKUP($U$300,'TAR FIN'!$A$1:$O$88,15,0))</f>
        <v>0</v>
      </c>
      <c r="Y300" s="6"/>
      <c r="Z300" s="6">
        <f ca="1">('TUSD BE'!$AM$48+'TUSD BF_350'!$AM$48+'TUSD CVA'!$AM$48)*1</f>
        <v>310.49</v>
      </c>
      <c r="AA300" s="6">
        <f ca="1">('TE BE'!$AB$39+'TE BF_350'!$AB$39+'TE CVA'!$AB$39)*1</f>
        <v>262.52999999999997</v>
      </c>
      <c r="AB300" s="6">
        <f>$K$300*$V$300</f>
        <v>0</v>
      </c>
      <c r="AC300" s="6">
        <f>$M$300*$W$300</f>
        <v>0</v>
      </c>
      <c r="AD300" s="6">
        <f>$O$300*$X$300</f>
        <v>0</v>
      </c>
      <c r="AE300" s="6">
        <f>$K$300*$Y$300</f>
        <v>0</v>
      </c>
      <c r="AF300" s="6">
        <f ca="1">$M$300*$Z$300</f>
        <v>87392.999320000003</v>
      </c>
      <c r="AG300" s="6">
        <f ca="1">$O$300*$AA$300</f>
        <v>73893.794039999993</v>
      </c>
    </row>
    <row r="301" spans="1:33" ht="11.25" customHeight="1" x14ac:dyDescent="0.25">
      <c r="A301" s="4" t="s">
        <v>27</v>
      </c>
      <c r="B301" s="4" t="s">
        <v>32</v>
      </c>
      <c r="C301" s="4" t="s">
        <v>23</v>
      </c>
      <c r="D301" s="4" t="s">
        <v>40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44652</v>
      </c>
      <c r="J301" s="6">
        <v>0</v>
      </c>
      <c r="K301" s="6">
        <v>0</v>
      </c>
      <c r="L301" s="6">
        <v>7.234</v>
      </c>
      <c r="M301" s="6">
        <v>7.234</v>
      </c>
      <c r="N301" s="6">
        <v>7.234</v>
      </c>
      <c r="O301" s="6">
        <v>7.234</v>
      </c>
      <c r="P301" s="6">
        <v>13</v>
      </c>
      <c r="Q301" s="4" t="s">
        <v>26</v>
      </c>
      <c r="R301" s="4">
        <v>0</v>
      </c>
      <c r="S301" s="6">
        <v>0</v>
      </c>
      <c r="T301" s="6">
        <v>46</v>
      </c>
      <c r="U301" s="6">
        <v>84</v>
      </c>
      <c r="V301" s="6">
        <f>IF(ISERROR(VLOOKUP($S$301,'TAR FIN'!$A$1:$O$88,15,0)),0,VLOOKUP($S$301,'TAR FIN'!$A$1:$O$88,15,0))</f>
        <v>0</v>
      </c>
      <c r="W301" s="6">
        <f>IF(ISERROR(VLOOKUP($T$301,'TAR FIN'!$A$1:$O$88,15,0)),0,VLOOKUP($T$301,'TAR FIN'!$A$1:$O$88,15,0))</f>
        <v>0</v>
      </c>
      <c r="X301" s="6">
        <f>IF(ISERROR(VLOOKUP($U$301,'TAR FIN'!$A$1:$O$88,15,0)),0,VLOOKUP($U$301,'TAR FIN'!$A$1:$O$88,15,0))</f>
        <v>0</v>
      </c>
      <c r="Y301" s="6"/>
      <c r="Z301" s="6">
        <f ca="1">('TUSD BE'!$AM$48+'TUSD BF_350'!$AM$48+'TUSD CVA'!$AM$48)*1</f>
        <v>310.49</v>
      </c>
      <c r="AA301" s="6">
        <f ca="1">('TE BE'!$AB$39+'TE BF_350'!$AB$39+'TE CVA'!$AB$39)*1</f>
        <v>262.52999999999997</v>
      </c>
      <c r="AB301" s="6">
        <f>$K$301*$V$301</f>
        <v>0</v>
      </c>
      <c r="AC301" s="6">
        <f>$M$301*$W$301</f>
        <v>0</v>
      </c>
      <c r="AD301" s="6">
        <f>$O$301*$X$301</f>
        <v>0</v>
      </c>
      <c r="AE301" s="6">
        <f>$K$301*$Y$301</f>
        <v>0</v>
      </c>
      <c r="AF301" s="6">
        <f ca="1">$M$301*$Z$301</f>
        <v>2246.08466</v>
      </c>
      <c r="AG301" s="6">
        <f ca="1">$O$301*$AA$301</f>
        <v>1899.1420199999998</v>
      </c>
    </row>
    <row r="302" spans="1:33" ht="11.25" customHeight="1" x14ac:dyDescent="0.25">
      <c r="A302" s="4" t="s">
        <v>21</v>
      </c>
      <c r="B302" s="4" t="s">
        <v>32</v>
      </c>
      <c r="C302" s="4" t="s">
        <v>23</v>
      </c>
      <c r="D302" s="4" t="s">
        <v>40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44682</v>
      </c>
      <c r="J302" s="6">
        <v>0</v>
      </c>
      <c r="K302" s="6">
        <v>0</v>
      </c>
      <c r="L302" s="6">
        <v>242.637</v>
      </c>
      <c r="M302" s="6">
        <v>242.637</v>
      </c>
      <c r="N302" s="6">
        <v>242.637</v>
      </c>
      <c r="O302" s="6">
        <v>242.637</v>
      </c>
      <c r="P302" s="6">
        <v>398</v>
      </c>
      <c r="Q302" s="4" t="s">
        <v>26</v>
      </c>
      <c r="R302" s="4">
        <v>0</v>
      </c>
      <c r="S302" s="6">
        <v>0</v>
      </c>
      <c r="T302" s="6">
        <v>46</v>
      </c>
      <c r="U302" s="6">
        <v>84</v>
      </c>
      <c r="V302" s="6">
        <f>IF(ISERROR(VLOOKUP($S$302,'TAR FIN'!$A$1:$O$88,15,0)),0,VLOOKUP($S$302,'TAR FIN'!$A$1:$O$88,15,0))</f>
        <v>0</v>
      </c>
      <c r="W302" s="6">
        <f>IF(ISERROR(VLOOKUP($T$302,'TAR FIN'!$A$1:$O$88,15,0)),0,VLOOKUP($T$302,'TAR FIN'!$A$1:$O$88,15,0))</f>
        <v>0</v>
      </c>
      <c r="X302" s="6">
        <f>IF(ISERROR(VLOOKUP($U$302,'TAR FIN'!$A$1:$O$88,15,0)),0,VLOOKUP($U$302,'TAR FIN'!$A$1:$O$88,15,0))</f>
        <v>0</v>
      </c>
      <c r="Y302" s="6"/>
      <c r="Z302" s="6">
        <f ca="1">('TUSD BE'!$AM$48+'TUSD BF_350'!$AM$48+'TUSD CVA'!$AM$48)*1</f>
        <v>310.49</v>
      </c>
      <c r="AA302" s="6">
        <f ca="1">('TE BE'!$AB$39+'TE BF_350'!$AB$39+'TE CVA'!$AB$39)*1</f>
        <v>262.52999999999997</v>
      </c>
      <c r="AB302" s="6">
        <f>$K$302*$V$302</f>
        <v>0</v>
      </c>
      <c r="AC302" s="6">
        <f>$M$302*$W$302</f>
        <v>0</v>
      </c>
      <c r="AD302" s="6">
        <f>$O$302*$X$302</f>
        <v>0</v>
      </c>
      <c r="AE302" s="6">
        <f>$K$302*$Y$302</f>
        <v>0</v>
      </c>
      <c r="AF302" s="6">
        <f ca="1">$M$302*$Z$302</f>
        <v>75336.362130000009</v>
      </c>
      <c r="AG302" s="6">
        <f ca="1">$O$302*$AA$302</f>
        <v>63699.49160999999</v>
      </c>
    </row>
    <row r="303" spans="1:33" ht="11.25" customHeight="1" x14ac:dyDescent="0.25">
      <c r="A303" s="4" t="s">
        <v>27</v>
      </c>
      <c r="B303" s="4" t="s">
        <v>32</v>
      </c>
      <c r="C303" s="4" t="s">
        <v>23</v>
      </c>
      <c r="D303" s="4" t="s">
        <v>40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44682</v>
      </c>
      <c r="J303" s="6">
        <v>0</v>
      </c>
      <c r="K303" s="6">
        <v>0</v>
      </c>
      <c r="L303" s="6">
        <v>5.7510000000000003</v>
      </c>
      <c r="M303" s="6">
        <v>5.7510000000000003</v>
      </c>
      <c r="N303" s="6">
        <v>5.7510000000000003</v>
      </c>
      <c r="O303" s="6">
        <v>5.7510000000000003</v>
      </c>
      <c r="P303" s="6">
        <v>15</v>
      </c>
      <c r="Q303" s="4" t="s">
        <v>26</v>
      </c>
      <c r="R303" s="4">
        <v>0</v>
      </c>
      <c r="S303" s="6">
        <v>0</v>
      </c>
      <c r="T303" s="6">
        <v>46</v>
      </c>
      <c r="U303" s="6">
        <v>84</v>
      </c>
      <c r="V303" s="6">
        <f>IF(ISERROR(VLOOKUP($S$303,'TAR FIN'!$A$1:$O$88,15,0)),0,VLOOKUP($S$303,'TAR FIN'!$A$1:$O$88,15,0))</f>
        <v>0</v>
      </c>
      <c r="W303" s="6">
        <f>IF(ISERROR(VLOOKUP($T$303,'TAR FIN'!$A$1:$O$88,15,0)),0,VLOOKUP($T$303,'TAR FIN'!$A$1:$O$88,15,0))</f>
        <v>0</v>
      </c>
      <c r="X303" s="6">
        <f>IF(ISERROR(VLOOKUP($U$303,'TAR FIN'!$A$1:$O$88,15,0)),0,VLOOKUP($U$303,'TAR FIN'!$A$1:$O$88,15,0))</f>
        <v>0</v>
      </c>
      <c r="Y303" s="6"/>
      <c r="Z303" s="6">
        <f ca="1">('TUSD BE'!$AM$48+'TUSD BF_350'!$AM$48+'TUSD CVA'!$AM$48)*1</f>
        <v>310.49</v>
      </c>
      <c r="AA303" s="6">
        <f ca="1">('TE BE'!$AB$39+'TE BF_350'!$AB$39+'TE CVA'!$AB$39)*1</f>
        <v>262.52999999999997</v>
      </c>
      <c r="AB303" s="6">
        <f>$K$303*$V$303</f>
        <v>0</v>
      </c>
      <c r="AC303" s="6">
        <f>$M$303*$W$303</f>
        <v>0</v>
      </c>
      <c r="AD303" s="6">
        <f>$O$303*$X$303</f>
        <v>0</v>
      </c>
      <c r="AE303" s="6">
        <f>$K$303*$Y$303</f>
        <v>0</v>
      </c>
      <c r="AF303" s="6">
        <f ca="1">$M$303*$Z$303</f>
        <v>1785.6279900000002</v>
      </c>
      <c r="AG303" s="6">
        <f ca="1">$O$303*$AA$303</f>
        <v>1509.8100299999999</v>
      </c>
    </row>
    <row r="304" spans="1:33" ht="11.25" customHeight="1" x14ac:dyDescent="0.25">
      <c r="A304" s="4" t="s">
        <v>21</v>
      </c>
      <c r="B304" s="4" t="s">
        <v>32</v>
      </c>
      <c r="C304" s="4" t="s">
        <v>23</v>
      </c>
      <c r="D304" s="4" t="s">
        <v>40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44713</v>
      </c>
      <c r="J304" s="6">
        <v>0</v>
      </c>
      <c r="K304" s="6">
        <v>0</v>
      </c>
      <c r="L304" s="6">
        <v>223.96899999999999</v>
      </c>
      <c r="M304" s="6">
        <v>223.96899999999999</v>
      </c>
      <c r="N304" s="6">
        <v>223.96899999999999</v>
      </c>
      <c r="O304" s="6">
        <v>223.96899999999999</v>
      </c>
      <c r="P304" s="6">
        <v>400</v>
      </c>
      <c r="Q304" s="4" t="s">
        <v>26</v>
      </c>
      <c r="R304" s="4">
        <v>0</v>
      </c>
      <c r="S304" s="6">
        <v>0</v>
      </c>
      <c r="T304" s="6">
        <v>46</v>
      </c>
      <c r="U304" s="6">
        <v>84</v>
      </c>
      <c r="V304" s="6">
        <f>IF(ISERROR(VLOOKUP($S$304,'TAR FIN'!$A$1:$O$88,15,0)),0,VLOOKUP($S$304,'TAR FIN'!$A$1:$O$88,15,0))</f>
        <v>0</v>
      </c>
      <c r="W304" s="6">
        <f>IF(ISERROR(VLOOKUP($T$304,'TAR FIN'!$A$1:$O$88,15,0)),0,VLOOKUP($T$304,'TAR FIN'!$A$1:$O$88,15,0))</f>
        <v>0</v>
      </c>
      <c r="X304" s="6">
        <f>IF(ISERROR(VLOOKUP($U$304,'TAR FIN'!$A$1:$O$88,15,0)),0,VLOOKUP($U$304,'TAR FIN'!$A$1:$O$88,15,0))</f>
        <v>0</v>
      </c>
      <c r="Y304" s="6"/>
      <c r="Z304" s="6">
        <f ca="1">('TUSD BE'!$AM$48+'TUSD BF_350'!$AM$48+'TUSD CVA'!$AM$48)*1</f>
        <v>310.49</v>
      </c>
      <c r="AA304" s="6">
        <f ca="1">('TE BE'!$AB$39+'TE BF_350'!$AB$39+'TE CVA'!$AB$39)*1</f>
        <v>262.52999999999997</v>
      </c>
      <c r="AB304" s="6">
        <f>$K$304*$V$304</f>
        <v>0</v>
      </c>
      <c r="AC304" s="6">
        <f>$M$304*$W$304</f>
        <v>0</v>
      </c>
      <c r="AD304" s="6">
        <f>$O$304*$X$304</f>
        <v>0</v>
      </c>
      <c r="AE304" s="6">
        <f>$K$304*$Y$304</f>
        <v>0</v>
      </c>
      <c r="AF304" s="6">
        <f ca="1">$M$304*$Z$304</f>
        <v>69540.134810000003</v>
      </c>
      <c r="AG304" s="6">
        <f ca="1">$O$304*$AA$304</f>
        <v>58798.581569999995</v>
      </c>
    </row>
    <row r="305" spans="1:33" ht="11.25" customHeight="1" x14ac:dyDescent="0.25">
      <c r="A305" s="4" t="s">
        <v>27</v>
      </c>
      <c r="B305" s="4" t="s">
        <v>32</v>
      </c>
      <c r="C305" s="4" t="s">
        <v>23</v>
      </c>
      <c r="D305" s="4" t="s">
        <v>40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44713</v>
      </c>
      <c r="J305" s="6">
        <v>0</v>
      </c>
      <c r="K305" s="6">
        <v>0</v>
      </c>
      <c r="L305" s="6">
        <v>4.484</v>
      </c>
      <c r="M305" s="6">
        <v>4.484</v>
      </c>
      <c r="N305" s="6">
        <v>4.484</v>
      </c>
      <c r="O305" s="6">
        <v>4.484</v>
      </c>
      <c r="P305" s="6">
        <v>15</v>
      </c>
      <c r="Q305" s="4" t="s">
        <v>26</v>
      </c>
      <c r="R305" s="4">
        <v>0</v>
      </c>
      <c r="S305" s="6">
        <v>0</v>
      </c>
      <c r="T305" s="6">
        <v>46</v>
      </c>
      <c r="U305" s="6">
        <v>84</v>
      </c>
      <c r="V305" s="6">
        <f>IF(ISERROR(VLOOKUP($S$305,'TAR FIN'!$A$1:$O$88,15,0)),0,VLOOKUP($S$305,'TAR FIN'!$A$1:$O$88,15,0))</f>
        <v>0</v>
      </c>
      <c r="W305" s="6">
        <f>IF(ISERROR(VLOOKUP($T$305,'TAR FIN'!$A$1:$O$88,15,0)),0,VLOOKUP($T$305,'TAR FIN'!$A$1:$O$88,15,0))</f>
        <v>0</v>
      </c>
      <c r="X305" s="6">
        <f>IF(ISERROR(VLOOKUP($U$305,'TAR FIN'!$A$1:$O$88,15,0)),0,VLOOKUP($U$305,'TAR FIN'!$A$1:$O$88,15,0))</f>
        <v>0</v>
      </c>
      <c r="Y305" s="6"/>
      <c r="Z305" s="6">
        <f ca="1">('TUSD BE'!$AM$48+'TUSD BF_350'!$AM$48+'TUSD CVA'!$AM$48)*1</f>
        <v>310.49</v>
      </c>
      <c r="AA305" s="6">
        <f ca="1">('TE BE'!$AB$39+'TE BF_350'!$AB$39+'TE CVA'!$AB$39)*1</f>
        <v>262.52999999999997</v>
      </c>
      <c r="AB305" s="6">
        <f>$K$305*$V$305</f>
        <v>0</v>
      </c>
      <c r="AC305" s="6">
        <f>$M$305*$W$305</f>
        <v>0</v>
      </c>
      <c r="AD305" s="6">
        <f>$O$305*$X$305</f>
        <v>0</v>
      </c>
      <c r="AE305" s="6">
        <f>$K$305*$Y$305</f>
        <v>0</v>
      </c>
      <c r="AF305" s="6">
        <f ca="1">$M$305*$Z$305</f>
        <v>1392.2371600000001</v>
      </c>
      <c r="AG305" s="6">
        <f ca="1">$O$305*$AA$305</f>
        <v>1177.1845199999998</v>
      </c>
    </row>
    <row r="306" spans="1:33" ht="11.25" customHeight="1" x14ac:dyDescent="0.25">
      <c r="A306" s="4" t="s">
        <v>21</v>
      </c>
      <c r="B306" s="4" t="s">
        <v>32</v>
      </c>
      <c r="C306" s="4" t="s">
        <v>23</v>
      </c>
      <c r="D306" s="4" t="s">
        <v>40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44743</v>
      </c>
      <c r="J306" s="6">
        <v>0</v>
      </c>
      <c r="K306" s="6">
        <v>0</v>
      </c>
      <c r="L306" s="6">
        <v>235.97399999999999</v>
      </c>
      <c r="M306" s="6">
        <v>235.97399999999999</v>
      </c>
      <c r="N306" s="6">
        <v>235.97399999999999</v>
      </c>
      <c r="O306" s="6">
        <v>235.97399999999999</v>
      </c>
      <c r="P306" s="6">
        <v>404</v>
      </c>
      <c r="Q306" s="4" t="s">
        <v>26</v>
      </c>
      <c r="R306" s="4">
        <v>0</v>
      </c>
      <c r="S306" s="6">
        <v>0</v>
      </c>
      <c r="T306" s="6">
        <v>46</v>
      </c>
      <c r="U306" s="6">
        <v>84</v>
      </c>
      <c r="V306" s="6">
        <f>IF(ISERROR(VLOOKUP($S$306,'TAR FIN'!$A$1:$O$88,15,0)),0,VLOOKUP($S$306,'TAR FIN'!$A$1:$O$88,15,0))</f>
        <v>0</v>
      </c>
      <c r="W306" s="6">
        <f>IF(ISERROR(VLOOKUP($T$306,'TAR FIN'!$A$1:$O$88,15,0)),0,VLOOKUP($T$306,'TAR FIN'!$A$1:$O$88,15,0))</f>
        <v>0</v>
      </c>
      <c r="X306" s="6">
        <f>IF(ISERROR(VLOOKUP($U$306,'TAR FIN'!$A$1:$O$88,15,0)),0,VLOOKUP($U$306,'TAR FIN'!$A$1:$O$88,15,0))</f>
        <v>0</v>
      </c>
      <c r="Y306" s="6"/>
      <c r="Z306" s="6">
        <f ca="1">('TUSD BE'!$AM$48+'TUSD BF_350'!$AM$48+'TUSD CVA'!$AM$48)*1</f>
        <v>310.49</v>
      </c>
      <c r="AA306" s="6">
        <f ca="1">('TE BE'!$AB$39+'TE BF_350'!$AB$39+'TE CVA'!$AB$39)*1</f>
        <v>262.52999999999997</v>
      </c>
      <c r="AB306" s="6">
        <f>$K$306*$V$306</f>
        <v>0</v>
      </c>
      <c r="AC306" s="6">
        <f>$M$306*$W$306</f>
        <v>0</v>
      </c>
      <c r="AD306" s="6">
        <f>$O$306*$X$306</f>
        <v>0</v>
      </c>
      <c r="AE306" s="6">
        <f>$K$306*$Y$306</f>
        <v>0</v>
      </c>
      <c r="AF306" s="6">
        <f ca="1">$M$306*$Z$306</f>
        <v>73267.567259999996</v>
      </c>
      <c r="AG306" s="6">
        <f ca="1">$O$306*$AA$306</f>
        <v>61950.254219999988</v>
      </c>
    </row>
    <row r="307" spans="1:33" ht="11.25" customHeight="1" x14ac:dyDescent="0.25">
      <c r="A307" s="4" t="s">
        <v>27</v>
      </c>
      <c r="B307" s="4" t="s">
        <v>32</v>
      </c>
      <c r="C307" s="4" t="s">
        <v>23</v>
      </c>
      <c r="D307" s="4" t="s">
        <v>40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44743</v>
      </c>
      <c r="J307" s="6">
        <v>0</v>
      </c>
      <c r="K307" s="6">
        <v>0</v>
      </c>
      <c r="L307" s="6">
        <v>7.6879999999999997</v>
      </c>
      <c r="M307" s="6">
        <v>7.6879999999999997</v>
      </c>
      <c r="N307" s="6">
        <v>7.6879999999999997</v>
      </c>
      <c r="O307" s="6">
        <v>7.6879999999999997</v>
      </c>
      <c r="P307" s="6">
        <v>15</v>
      </c>
      <c r="Q307" s="4" t="s">
        <v>26</v>
      </c>
      <c r="R307" s="4">
        <v>0</v>
      </c>
      <c r="S307" s="6">
        <v>0</v>
      </c>
      <c r="T307" s="6">
        <v>46</v>
      </c>
      <c r="U307" s="6">
        <v>84</v>
      </c>
      <c r="V307" s="6">
        <f>IF(ISERROR(VLOOKUP($S$307,'TAR FIN'!$A$1:$O$88,15,0)),0,VLOOKUP($S$307,'TAR FIN'!$A$1:$O$88,15,0))</f>
        <v>0</v>
      </c>
      <c r="W307" s="6">
        <f>IF(ISERROR(VLOOKUP($T$307,'TAR FIN'!$A$1:$O$88,15,0)),0,VLOOKUP($T$307,'TAR FIN'!$A$1:$O$88,15,0))</f>
        <v>0</v>
      </c>
      <c r="X307" s="6">
        <f>IF(ISERROR(VLOOKUP($U$307,'TAR FIN'!$A$1:$O$88,15,0)),0,VLOOKUP($U$307,'TAR FIN'!$A$1:$O$88,15,0))</f>
        <v>0</v>
      </c>
      <c r="Y307" s="6"/>
      <c r="Z307" s="6">
        <f ca="1">('TUSD BE'!$AM$48+'TUSD BF_350'!$AM$48+'TUSD CVA'!$AM$48)*1</f>
        <v>310.49</v>
      </c>
      <c r="AA307" s="6">
        <f ca="1">('TE BE'!$AB$39+'TE BF_350'!$AB$39+'TE CVA'!$AB$39)*1</f>
        <v>262.52999999999997</v>
      </c>
      <c r="AB307" s="6">
        <f>$K$307*$V$307</f>
        <v>0</v>
      </c>
      <c r="AC307" s="6">
        <f>$M$307*$W$307</f>
        <v>0</v>
      </c>
      <c r="AD307" s="6">
        <f>$O$307*$X$307</f>
        <v>0</v>
      </c>
      <c r="AE307" s="6">
        <f>$K$307*$Y$307</f>
        <v>0</v>
      </c>
      <c r="AF307" s="6">
        <f ca="1">$M$307*$Z$307</f>
        <v>2387.0471200000002</v>
      </c>
      <c r="AG307" s="6">
        <f ca="1">$O$307*$AA$307</f>
        <v>2018.3306399999997</v>
      </c>
    </row>
    <row r="308" spans="1:33" ht="11.25" customHeight="1" x14ac:dyDescent="0.25">
      <c r="A308" s="4" t="s">
        <v>21</v>
      </c>
      <c r="B308" s="4" t="s">
        <v>32</v>
      </c>
      <c r="C308" s="4" t="s">
        <v>23</v>
      </c>
      <c r="D308" s="4" t="s">
        <v>49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44409</v>
      </c>
      <c r="J308" s="6">
        <v>0</v>
      </c>
      <c r="K308" s="6">
        <v>0</v>
      </c>
      <c r="L308" s="6">
        <v>1.2250000000000001</v>
      </c>
      <c r="M308" s="6">
        <v>1.2250000000000001</v>
      </c>
      <c r="N308" s="6">
        <v>1.2250000000000001</v>
      </c>
      <c r="O308" s="6">
        <v>1.2250000000000001</v>
      </c>
      <c r="P308" s="6">
        <v>3</v>
      </c>
      <c r="Q308" s="4" t="s">
        <v>26</v>
      </c>
      <c r="R308" s="4">
        <v>0</v>
      </c>
      <c r="S308" s="6">
        <v>0</v>
      </c>
      <c r="T308" s="6">
        <v>46</v>
      </c>
      <c r="U308" s="6">
        <v>84</v>
      </c>
      <c r="V308" s="6">
        <f>IF(ISERROR(VLOOKUP($S$308,'TAR FIN'!$A$1:$O$88,15,0)),0,VLOOKUP($S$308,'TAR FIN'!$A$1:$O$88,15,0))</f>
        <v>0</v>
      </c>
      <c r="W308" s="6">
        <f>IF(ISERROR(VLOOKUP($T$308,'TAR FIN'!$A$1:$O$88,15,0)),0,VLOOKUP($T$308,'TAR FIN'!$A$1:$O$88,15,0))</f>
        <v>0</v>
      </c>
      <c r="X308" s="6">
        <f>IF(ISERROR(VLOOKUP($U$308,'TAR FIN'!$A$1:$O$88,15,0)),0,VLOOKUP($U$308,'TAR FIN'!$A$1:$O$88,15,0))</f>
        <v>0</v>
      </c>
      <c r="Y308" s="6"/>
      <c r="Z308" s="6">
        <f ca="1">('TUSD BE'!$AM$48+'TUSD BF_350'!$AM$48+'TUSD CVA'!$AM$48)*1</f>
        <v>310.49</v>
      </c>
      <c r="AA308" s="6">
        <f ca="1">('TE BE'!$AB$39+'TE BF_350'!$AB$39+'TE CVA'!$AB$39)*1</f>
        <v>262.52999999999997</v>
      </c>
      <c r="AB308" s="6">
        <f>$K$308*$V$308</f>
        <v>0</v>
      </c>
      <c r="AC308" s="6">
        <f>$M$308*$W$308</f>
        <v>0</v>
      </c>
      <c r="AD308" s="6">
        <f>$O$308*$X$308</f>
        <v>0</v>
      </c>
      <c r="AE308" s="6">
        <f>$K$308*$Y$308</f>
        <v>0</v>
      </c>
      <c r="AF308" s="6">
        <f ca="1">$M$308*$Z$308</f>
        <v>380.35025000000002</v>
      </c>
      <c r="AG308" s="6">
        <f ca="1">$O$308*$AA$308</f>
        <v>321.59924999999998</v>
      </c>
    </row>
    <row r="309" spans="1:33" ht="11.25" customHeight="1" x14ac:dyDescent="0.25">
      <c r="A309" s="4" t="s">
        <v>21</v>
      </c>
      <c r="B309" s="4" t="s">
        <v>32</v>
      </c>
      <c r="C309" s="4" t="s">
        <v>23</v>
      </c>
      <c r="D309" s="4" t="s">
        <v>49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44440</v>
      </c>
      <c r="J309" s="6">
        <v>0</v>
      </c>
      <c r="K309" s="6">
        <v>0</v>
      </c>
      <c r="L309" s="6">
        <v>1.1579999999999999</v>
      </c>
      <c r="M309" s="6">
        <v>1.1579999999999999</v>
      </c>
      <c r="N309" s="6">
        <v>1.1579999999999999</v>
      </c>
      <c r="O309" s="6">
        <v>1.1579999999999999</v>
      </c>
      <c r="P309" s="6">
        <v>3</v>
      </c>
      <c r="Q309" s="4" t="s">
        <v>26</v>
      </c>
      <c r="R309" s="4">
        <v>0</v>
      </c>
      <c r="S309" s="6">
        <v>0</v>
      </c>
      <c r="T309" s="6">
        <v>46</v>
      </c>
      <c r="U309" s="6">
        <v>84</v>
      </c>
      <c r="V309" s="6">
        <f>IF(ISERROR(VLOOKUP($S$309,'TAR FIN'!$A$1:$O$88,15,0)),0,VLOOKUP($S$309,'TAR FIN'!$A$1:$O$88,15,0))</f>
        <v>0</v>
      </c>
      <c r="W309" s="6">
        <f>IF(ISERROR(VLOOKUP($T$309,'TAR FIN'!$A$1:$O$88,15,0)),0,VLOOKUP($T$309,'TAR FIN'!$A$1:$O$88,15,0))</f>
        <v>0</v>
      </c>
      <c r="X309" s="6">
        <f>IF(ISERROR(VLOOKUP($U$309,'TAR FIN'!$A$1:$O$88,15,0)),0,VLOOKUP($U$309,'TAR FIN'!$A$1:$O$88,15,0))</f>
        <v>0</v>
      </c>
      <c r="Y309" s="6"/>
      <c r="Z309" s="6">
        <f ca="1">('TUSD BE'!$AM$48+'TUSD BF_350'!$AM$48+'TUSD CVA'!$AM$48)*1</f>
        <v>310.49</v>
      </c>
      <c r="AA309" s="6">
        <f ca="1">('TE BE'!$AB$39+'TE BF_350'!$AB$39+'TE CVA'!$AB$39)*1</f>
        <v>262.52999999999997</v>
      </c>
      <c r="AB309" s="6">
        <f>$K$309*$V$309</f>
        <v>0</v>
      </c>
      <c r="AC309" s="6">
        <f>$M$309*$W$309</f>
        <v>0</v>
      </c>
      <c r="AD309" s="6">
        <f>$O$309*$X$309</f>
        <v>0</v>
      </c>
      <c r="AE309" s="6">
        <f>$K$309*$Y$309</f>
        <v>0</v>
      </c>
      <c r="AF309" s="6">
        <f ca="1">$M$309*$Z$309</f>
        <v>359.54741999999999</v>
      </c>
      <c r="AG309" s="6">
        <f ca="1">$O$309*$AA$309</f>
        <v>304.00973999999997</v>
      </c>
    </row>
    <row r="310" spans="1:33" ht="11.25" customHeight="1" x14ac:dyDescent="0.25">
      <c r="A310" s="4" t="s">
        <v>21</v>
      </c>
      <c r="B310" s="4" t="s">
        <v>32</v>
      </c>
      <c r="C310" s="4" t="s">
        <v>23</v>
      </c>
      <c r="D310" s="4" t="s">
        <v>49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44470</v>
      </c>
      <c r="J310" s="6">
        <v>0</v>
      </c>
      <c r="K310" s="6">
        <v>0</v>
      </c>
      <c r="L310" s="6">
        <v>1.3</v>
      </c>
      <c r="M310" s="6">
        <v>1.3</v>
      </c>
      <c r="N310" s="6">
        <v>1.3</v>
      </c>
      <c r="O310" s="6">
        <v>1.3</v>
      </c>
      <c r="P310" s="6">
        <v>3</v>
      </c>
      <c r="Q310" s="4" t="s">
        <v>26</v>
      </c>
      <c r="R310" s="4">
        <v>0</v>
      </c>
      <c r="S310" s="6">
        <v>0</v>
      </c>
      <c r="T310" s="6">
        <v>46</v>
      </c>
      <c r="U310" s="6">
        <v>84</v>
      </c>
      <c r="V310" s="6">
        <f>IF(ISERROR(VLOOKUP($S$310,'TAR FIN'!$A$1:$O$88,15,0)),0,VLOOKUP($S$310,'TAR FIN'!$A$1:$O$88,15,0))</f>
        <v>0</v>
      </c>
      <c r="W310" s="6">
        <f>IF(ISERROR(VLOOKUP($T$310,'TAR FIN'!$A$1:$O$88,15,0)),0,VLOOKUP($T$310,'TAR FIN'!$A$1:$O$88,15,0))</f>
        <v>0</v>
      </c>
      <c r="X310" s="6">
        <f>IF(ISERROR(VLOOKUP($U$310,'TAR FIN'!$A$1:$O$88,15,0)),0,VLOOKUP($U$310,'TAR FIN'!$A$1:$O$88,15,0))</f>
        <v>0</v>
      </c>
      <c r="Y310" s="6"/>
      <c r="Z310" s="6">
        <f ca="1">('TUSD BE'!$AM$48+'TUSD BF_350'!$AM$48+'TUSD CVA'!$AM$48)*1</f>
        <v>310.49</v>
      </c>
      <c r="AA310" s="6">
        <f ca="1">('TE BE'!$AB$39+'TE BF_350'!$AB$39+'TE CVA'!$AB$39)*1</f>
        <v>262.52999999999997</v>
      </c>
      <c r="AB310" s="6">
        <f>$K$310*$V$310</f>
        <v>0</v>
      </c>
      <c r="AC310" s="6">
        <f>$M$310*$W$310</f>
        <v>0</v>
      </c>
      <c r="AD310" s="6">
        <f>$O$310*$X$310</f>
        <v>0</v>
      </c>
      <c r="AE310" s="6">
        <f>$K$310*$Y$310</f>
        <v>0</v>
      </c>
      <c r="AF310" s="6">
        <f ca="1">$M$310*$Z$310</f>
        <v>403.637</v>
      </c>
      <c r="AG310" s="6">
        <f ca="1">$O$310*$AA$310</f>
        <v>341.28899999999999</v>
      </c>
    </row>
    <row r="311" spans="1:33" ht="11.25" customHeight="1" x14ac:dyDescent="0.25">
      <c r="A311" s="4" t="s">
        <v>21</v>
      </c>
      <c r="B311" s="4" t="s">
        <v>32</v>
      </c>
      <c r="C311" s="4" t="s">
        <v>23</v>
      </c>
      <c r="D311" s="4" t="s">
        <v>49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44501</v>
      </c>
      <c r="J311" s="6">
        <v>0</v>
      </c>
      <c r="K311" s="6">
        <v>0</v>
      </c>
      <c r="L311" s="6">
        <v>0.97199999999999998</v>
      </c>
      <c r="M311" s="6">
        <v>0.97199999999999998</v>
      </c>
      <c r="N311" s="6">
        <v>0.97199999999999998</v>
      </c>
      <c r="O311" s="6">
        <v>0.97199999999999998</v>
      </c>
      <c r="P311" s="6">
        <v>3</v>
      </c>
      <c r="Q311" s="4" t="s">
        <v>26</v>
      </c>
      <c r="R311" s="4">
        <v>0</v>
      </c>
      <c r="S311" s="6">
        <v>0</v>
      </c>
      <c r="T311" s="6">
        <v>46</v>
      </c>
      <c r="U311" s="6">
        <v>84</v>
      </c>
      <c r="V311" s="6">
        <f>IF(ISERROR(VLOOKUP($S$311,'TAR FIN'!$A$1:$O$88,15,0)),0,VLOOKUP($S$311,'TAR FIN'!$A$1:$O$88,15,0))</f>
        <v>0</v>
      </c>
      <c r="W311" s="6">
        <f>IF(ISERROR(VLOOKUP($T$311,'TAR FIN'!$A$1:$O$88,15,0)),0,VLOOKUP($T$311,'TAR FIN'!$A$1:$O$88,15,0))</f>
        <v>0</v>
      </c>
      <c r="X311" s="6">
        <f>IF(ISERROR(VLOOKUP($U$311,'TAR FIN'!$A$1:$O$88,15,0)),0,VLOOKUP($U$311,'TAR FIN'!$A$1:$O$88,15,0))</f>
        <v>0</v>
      </c>
      <c r="Y311" s="6"/>
      <c r="Z311" s="6">
        <f ca="1">('TUSD BE'!$AM$48+'TUSD BF_350'!$AM$48+'TUSD CVA'!$AM$48)*1</f>
        <v>310.49</v>
      </c>
      <c r="AA311" s="6">
        <f ca="1">('TE BE'!$AB$39+'TE BF_350'!$AB$39+'TE CVA'!$AB$39)*1</f>
        <v>262.52999999999997</v>
      </c>
      <c r="AB311" s="6">
        <f>$K$311*$V$311</f>
        <v>0</v>
      </c>
      <c r="AC311" s="6">
        <f>$M$311*$W$311</f>
        <v>0</v>
      </c>
      <c r="AD311" s="6">
        <f>$O$311*$X$311</f>
        <v>0</v>
      </c>
      <c r="AE311" s="6">
        <f>$K$311*$Y$311</f>
        <v>0</v>
      </c>
      <c r="AF311" s="6">
        <f ca="1">$M$311*$Z$311</f>
        <v>301.79628000000002</v>
      </c>
      <c r="AG311" s="6">
        <f ca="1">$O$311*$AA$311</f>
        <v>255.17915999999997</v>
      </c>
    </row>
    <row r="312" spans="1:33" ht="11.25" customHeight="1" x14ac:dyDescent="0.25">
      <c r="A312" s="4" t="s">
        <v>21</v>
      </c>
      <c r="B312" s="4" t="s">
        <v>32</v>
      </c>
      <c r="C312" s="4" t="s">
        <v>23</v>
      </c>
      <c r="D312" s="4" t="s">
        <v>49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44531</v>
      </c>
      <c r="J312" s="6">
        <v>0</v>
      </c>
      <c r="K312" s="6">
        <v>0</v>
      </c>
      <c r="L312" s="6">
        <v>1.4910000000000001</v>
      </c>
      <c r="M312" s="6">
        <v>1.4910000000000001</v>
      </c>
      <c r="N312" s="6">
        <v>1.4910000000000001</v>
      </c>
      <c r="O312" s="6">
        <v>1.4910000000000001</v>
      </c>
      <c r="P312" s="6">
        <v>3</v>
      </c>
      <c r="Q312" s="4" t="s">
        <v>26</v>
      </c>
      <c r="R312" s="4">
        <v>0</v>
      </c>
      <c r="S312" s="6">
        <v>0</v>
      </c>
      <c r="T312" s="6">
        <v>46</v>
      </c>
      <c r="U312" s="6">
        <v>84</v>
      </c>
      <c r="V312" s="6">
        <f>IF(ISERROR(VLOOKUP($S$312,'TAR FIN'!$A$1:$O$88,15,0)),0,VLOOKUP($S$312,'TAR FIN'!$A$1:$O$88,15,0))</f>
        <v>0</v>
      </c>
      <c r="W312" s="6">
        <f>IF(ISERROR(VLOOKUP($T$312,'TAR FIN'!$A$1:$O$88,15,0)),0,VLOOKUP($T$312,'TAR FIN'!$A$1:$O$88,15,0))</f>
        <v>0</v>
      </c>
      <c r="X312" s="6">
        <f>IF(ISERROR(VLOOKUP($U$312,'TAR FIN'!$A$1:$O$88,15,0)),0,VLOOKUP($U$312,'TAR FIN'!$A$1:$O$88,15,0))</f>
        <v>0</v>
      </c>
      <c r="Y312" s="6"/>
      <c r="Z312" s="6">
        <f ca="1">('TUSD BE'!$AM$48+'TUSD BF_350'!$AM$48+'TUSD CVA'!$AM$48)*1</f>
        <v>310.49</v>
      </c>
      <c r="AA312" s="6">
        <f ca="1">('TE BE'!$AB$39+'TE BF_350'!$AB$39+'TE CVA'!$AB$39)*1</f>
        <v>262.52999999999997</v>
      </c>
      <c r="AB312" s="6">
        <f>$K$312*$V$312</f>
        <v>0</v>
      </c>
      <c r="AC312" s="6">
        <f>$M$312*$W$312</f>
        <v>0</v>
      </c>
      <c r="AD312" s="6">
        <f>$O$312*$X$312</f>
        <v>0</v>
      </c>
      <c r="AE312" s="6">
        <f>$K$312*$Y$312</f>
        <v>0</v>
      </c>
      <c r="AF312" s="6">
        <f ca="1">$M$312*$Z$312</f>
        <v>462.94059000000004</v>
      </c>
      <c r="AG312" s="6">
        <f ca="1">$O$312*$AA$312</f>
        <v>391.43223</v>
      </c>
    </row>
    <row r="313" spans="1:33" ht="11.25" customHeight="1" x14ac:dyDescent="0.25">
      <c r="A313" s="4" t="s">
        <v>21</v>
      </c>
      <c r="B313" s="4" t="s">
        <v>32</v>
      </c>
      <c r="C313" s="4" t="s">
        <v>23</v>
      </c>
      <c r="D313" s="4" t="s">
        <v>49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44562</v>
      </c>
      <c r="J313" s="6">
        <v>0</v>
      </c>
      <c r="K313" s="6">
        <v>0</v>
      </c>
      <c r="L313" s="6">
        <v>1.4219999999999999</v>
      </c>
      <c r="M313" s="6">
        <v>1.4219999999999999</v>
      </c>
      <c r="N313" s="6">
        <v>1.4219999999999999</v>
      </c>
      <c r="O313" s="6">
        <v>1.4219999999999999</v>
      </c>
      <c r="P313" s="6">
        <v>3</v>
      </c>
      <c r="Q313" s="4" t="s">
        <v>26</v>
      </c>
      <c r="R313" s="4">
        <v>0</v>
      </c>
      <c r="S313" s="6">
        <v>0</v>
      </c>
      <c r="T313" s="6">
        <v>46</v>
      </c>
      <c r="U313" s="6">
        <v>84</v>
      </c>
      <c r="V313" s="6">
        <f>IF(ISERROR(VLOOKUP($S$313,'TAR FIN'!$A$1:$O$88,15,0)),0,VLOOKUP($S$313,'TAR FIN'!$A$1:$O$88,15,0))</f>
        <v>0</v>
      </c>
      <c r="W313" s="6">
        <f>IF(ISERROR(VLOOKUP($T$313,'TAR FIN'!$A$1:$O$88,15,0)),0,VLOOKUP($T$313,'TAR FIN'!$A$1:$O$88,15,0))</f>
        <v>0</v>
      </c>
      <c r="X313" s="6">
        <f>IF(ISERROR(VLOOKUP($U$313,'TAR FIN'!$A$1:$O$88,15,0)),0,VLOOKUP($U$313,'TAR FIN'!$A$1:$O$88,15,0))</f>
        <v>0</v>
      </c>
      <c r="Y313" s="6"/>
      <c r="Z313" s="6">
        <f ca="1">('TUSD BE'!$AM$48+'TUSD BF_350'!$AM$48+'TUSD CVA'!$AM$48)*1</f>
        <v>310.49</v>
      </c>
      <c r="AA313" s="6">
        <f ca="1">('TE BE'!$AB$39+'TE BF_350'!$AB$39+'TE CVA'!$AB$39)*1</f>
        <v>262.52999999999997</v>
      </c>
      <c r="AB313" s="6">
        <f>$K$313*$V$313</f>
        <v>0</v>
      </c>
      <c r="AC313" s="6">
        <f>$M$313*$W$313</f>
        <v>0</v>
      </c>
      <c r="AD313" s="6">
        <f>$O$313*$X$313</f>
        <v>0</v>
      </c>
      <c r="AE313" s="6">
        <f>$K$313*$Y$313</f>
        <v>0</v>
      </c>
      <c r="AF313" s="6">
        <f ca="1">$M$313*$Z$313</f>
        <v>441.51677999999998</v>
      </c>
      <c r="AG313" s="6">
        <f ca="1">$O$313*$AA$313</f>
        <v>373.31765999999993</v>
      </c>
    </row>
    <row r="314" spans="1:33" ht="11.25" customHeight="1" x14ac:dyDescent="0.25">
      <c r="A314" s="4" t="s">
        <v>21</v>
      </c>
      <c r="B314" s="4" t="s">
        <v>32</v>
      </c>
      <c r="C314" s="4" t="s">
        <v>23</v>
      </c>
      <c r="D314" s="4" t="s">
        <v>49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44593</v>
      </c>
      <c r="J314" s="6">
        <v>0</v>
      </c>
      <c r="K314" s="6">
        <v>0</v>
      </c>
      <c r="L314" s="6">
        <v>1.8580000000000001</v>
      </c>
      <c r="M314" s="6">
        <v>1.8580000000000001</v>
      </c>
      <c r="N314" s="6">
        <v>1.8580000000000001</v>
      </c>
      <c r="O314" s="6">
        <v>1.8580000000000001</v>
      </c>
      <c r="P314" s="6">
        <v>3</v>
      </c>
      <c r="Q314" s="4" t="s">
        <v>26</v>
      </c>
      <c r="R314" s="4">
        <v>0</v>
      </c>
      <c r="S314" s="6">
        <v>0</v>
      </c>
      <c r="T314" s="6">
        <v>46</v>
      </c>
      <c r="U314" s="6">
        <v>84</v>
      </c>
      <c r="V314" s="6">
        <f>IF(ISERROR(VLOOKUP($S$314,'TAR FIN'!$A$1:$O$88,15,0)),0,VLOOKUP($S$314,'TAR FIN'!$A$1:$O$88,15,0))</f>
        <v>0</v>
      </c>
      <c r="W314" s="6">
        <f>IF(ISERROR(VLOOKUP($T$314,'TAR FIN'!$A$1:$O$88,15,0)),0,VLOOKUP($T$314,'TAR FIN'!$A$1:$O$88,15,0))</f>
        <v>0</v>
      </c>
      <c r="X314" s="6">
        <f>IF(ISERROR(VLOOKUP($U$314,'TAR FIN'!$A$1:$O$88,15,0)),0,VLOOKUP($U$314,'TAR FIN'!$A$1:$O$88,15,0))</f>
        <v>0</v>
      </c>
      <c r="Y314" s="6"/>
      <c r="Z314" s="6">
        <f ca="1">('TUSD BE'!$AM$48+'TUSD BF_350'!$AM$48+'TUSD CVA'!$AM$48)*1</f>
        <v>310.49</v>
      </c>
      <c r="AA314" s="6">
        <f ca="1">('TE BE'!$AB$39+'TE BF_350'!$AB$39+'TE CVA'!$AB$39)*1</f>
        <v>262.52999999999997</v>
      </c>
      <c r="AB314" s="6">
        <f>$K$314*$V$314</f>
        <v>0</v>
      </c>
      <c r="AC314" s="6">
        <f>$M$314*$W$314</f>
        <v>0</v>
      </c>
      <c r="AD314" s="6">
        <f>$O$314*$X$314</f>
        <v>0</v>
      </c>
      <c r="AE314" s="6">
        <f>$K$314*$Y$314</f>
        <v>0</v>
      </c>
      <c r="AF314" s="6">
        <f ca="1">$M$314*$Z$314</f>
        <v>576.89042000000006</v>
      </c>
      <c r="AG314" s="6">
        <f ca="1">$O$314*$AA$314</f>
        <v>487.78073999999998</v>
      </c>
    </row>
    <row r="315" spans="1:33" ht="11.25" customHeight="1" x14ac:dyDescent="0.25">
      <c r="A315" s="4" t="s">
        <v>21</v>
      </c>
      <c r="B315" s="4" t="s">
        <v>32</v>
      </c>
      <c r="C315" s="4" t="s">
        <v>23</v>
      </c>
      <c r="D315" s="4" t="s">
        <v>49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44621</v>
      </c>
      <c r="J315" s="6">
        <v>0</v>
      </c>
      <c r="K315" s="6">
        <v>0</v>
      </c>
      <c r="L315" s="6">
        <v>1.726</v>
      </c>
      <c r="M315" s="6">
        <v>1.726</v>
      </c>
      <c r="N315" s="6">
        <v>1.726</v>
      </c>
      <c r="O315" s="6">
        <v>1.726</v>
      </c>
      <c r="P315" s="6">
        <v>3</v>
      </c>
      <c r="Q315" s="4" t="s">
        <v>26</v>
      </c>
      <c r="R315" s="4">
        <v>0</v>
      </c>
      <c r="S315" s="6">
        <v>0</v>
      </c>
      <c r="T315" s="6">
        <v>46</v>
      </c>
      <c r="U315" s="6">
        <v>84</v>
      </c>
      <c r="V315" s="6">
        <f>IF(ISERROR(VLOOKUP($S$315,'TAR FIN'!$A$1:$O$88,15,0)),0,VLOOKUP($S$315,'TAR FIN'!$A$1:$O$88,15,0))</f>
        <v>0</v>
      </c>
      <c r="W315" s="6">
        <f>IF(ISERROR(VLOOKUP($T$315,'TAR FIN'!$A$1:$O$88,15,0)),0,VLOOKUP($T$315,'TAR FIN'!$A$1:$O$88,15,0))</f>
        <v>0</v>
      </c>
      <c r="X315" s="6">
        <f>IF(ISERROR(VLOOKUP($U$315,'TAR FIN'!$A$1:$O$88,15,0)),0,VLOOKUP($U$315,'TAR FIN'!$A$1:$O$88,15,0))</f>
        <v>0</v>
      </c>
      <c r="Y315" s="6"/>
      <c r="Z315" s="6">
        <f ca="1">('TUSD BE'!$AM$48+'TUSD BF_350'!$AM$48+'TUSD CVA'!$AM$48)*1</f>
        <v>310.49</v>
      </c>
      <c r="AA315" s="6">
        <f ca="1">('TE BE'!$AB$39+'TE BF_350'!$AB$39+'TE CVA'!$AB$39)*1</f>
        <v>262.52999999999997</v>
      </c>
      <c r="AB315" s="6">
        <f>$K$315*$V$315</f>
        <v>0</v>
      </c>
      <c r="AC315" s="6">
        <f>$M$315*$W$315</f>
        <v>0</v>
      </c>
      <c r="AD315" s="6">
        <f>$O$315*$X$315</f>
        <v>0</v>
      </c>
      <c r="AE315" s="6">
        <f>$K$315*$Y$315</f>
        <v>0</v>
      </c>
      <c r="AF315" s="6">
        <f ca="1">$M$315*$Z$315</f>
        <v>535.90574000000004</v>
      </c>
      <c r="AG315" s="6">
        <f ca="1">$O$315*$AA$315</f>
        <v>453.12677999999994</v>
      </c>
    </row>
    <row r="316" spans="1:33" ht="11.25" customHeight="1" x14ac:dyDescent="0.25">
      <c r="A316" s="4" t="s">
        <v>21</v>
      </c>
      <c r="B316" s="4" t="s">
        <v>32</v>
      </c>
      <c r="C316" s="4" t="s">
        <v>23</v>
      </c>
      <c r="D316" s="4" t="s">
        <v>49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44652</v>
      </c>
      <c r="J316" s="6">
        <v>0</v>
      </c>
      <c r="K316" s="6">
        <v>0</v>
      </c>
      <c r="L316" s="6">
        <v>1.6359999999999999</v>
      </c>
      <c r="M316" s="6">
        <v>1.6359999999999999</v>
      </c>
      <c r="N316" s="6">
        <v>1.6359999999999999</v>
      </c>
      <c r="O316" s="6">
        <v>1.6359999999999999</v>
      </c>
      <c r="P316" s="6">
        <v>3</v>
      </c>
      <c r="Q316" s="4" t="s">
        <v>26</v>
      </c>
      <c r="R316" s="4">
        <v>0</v>
      </c>
      <c r="S316" s="6">
        <v>0</v>
      </c>
      <c r="T316" s="6">
        <v>46</v>
      </c>
      <c r="U316" s="6">
        <v>84</v>
      </c>
      <c r="V316" s="6">
        <f>IF(ISERROR(VLOOKUP($S$316,'TAR FIN'!$A$1:$O$88,15,0)),0,VLOOKUP($S$316,'TAR FIN'!$A$1:$O$88,15,0))</f>
        <v>0</v>
      </c>
      <c r="W316" s="6">
        <f>IF(ISERROR(VLOOKUP($T$316,'TAR FIN'!$A$1:$O$88,15,0)),0,VLOOKUP($T$316,'TAR FIN'!$A$1:$O$88,15,0))</f>
        <v>0</v>
      </c>
      <c r="X316" s="6">
        <f>IF(ISERROR(VLOOKUP($U$316,'TAR FIN'!$A$1:$O$88,15,0)),0,VLOOKUP($U$316,'TAR FIN'!$A$1:$O$88,15,0))</f>
        <v>0</v>
      </c>
      <c r="Y316" s="6"/>
      <c r="Z316" s="6">
        <f ca="1">('TUSD BE'!$AM$48+'TUSD BF_350'!$AM$48+'TUSD CVA'!$AM$48)*1</f>
        <v>310.49</v>
      </c>
      <c r="AA316" s="6">
        <f ca="1">('TE BE'!$AB$39+'TE BF_350'!$AB$39+'TE CVA'!$AB$39)*1</f>
        <v>262.52999999999997</v>
      </c>
      <c r="AB316" s="6">
        <f>$K$316*$V$316</f>
        <v>0</v>
      </c>
      <c r="AC316" s="6">
        <f>$M$316*$W$316</f>
        <v>0</v>
      </c>
      <c r="AD316" s="6">
        <f>$O$316*$X$316</f>
        <v>0</v>
      </c>
      <c r="AE316" s="6">
        <f>$K$316*$Y$316</f>
        <v>0</v>
      </c>
      <c r="AF316" s="6">
        <f ca="1">$M$316*$Z$316</f>
        <v>507.96163999999999</v>
      </c>
      <c r="AG316" s="6">
        <f ca="1">$O$316*$AA$316</f>
        <v>429.49907999999994</v>
      </c>
    </row>
    <row r="317" spans="1:33" ht="11.25" customHeight="1" x14ac:dyDescent="0.25">
      <c r="A317" s="4" t="s">
        <v>21</v>
      </c>
      <c r="B317" s="4" t="s">
        <v>32</v>
      </c>
      <c r="C317" s="4" t="s">
        <v>23</v>
      </c>
      <c r="D317" s="4" t="s">
        <v>49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44682</v>
      </c>
      <c r="J317" s="6">
        <v>0</v>
      </c>
      <c r="K317" s="6">
        <v>0</v>
      </c>
      <c r="L317" s="6">
        <v>1.242</v>
      </c>
      <c r="M317" s="6">
        <v>1.242</v>
      </c>
      <c r="N317" s="6">
        <v>1.242</v>
      </c>
      <c r="O317" s="6">
        <v>1.242</v>
      </c>
      <c r="P317" s="6">
        <v>3</v>
      </c>
      <c r="Q317" s="4" t="s">
        <v>26</v>
      </c>
      <c r="R317" s="4">
        <v>0</v>
      </c>
      <c r="S317" s="6">
        <v>0</v>
      </c>
      <c r="T317" s="6">
        <v>46</v>
      </c>
      <c r="U317" s="6">
        <v>84</v>
      </c>
      <c r="V317" s="6">
        <f>IF(ISERROR(VLOOKUP($S$317,'TAR FIN'!$A$1:$O$88,15,0)),0,VLOOKUP($S$317,'TAR FIN'!$A$1:$O$88,15,0))</f>
        <v>0</v>
      </c>
      <c r="W317" s="6">
        <f>IF(ISERROR(VLOOKUP($T$317,'TAR FIN'!$A$1:$O$88,15,0)),0,VLOOKUP($T$317,'TAR FIN'!$A$1:$O$88,15,0))</f>
        <v>0</v>
      </c>
      <c r="X317" s="6">
        <f>IF(ISERROR(VLOOKUP($U$317,'TAR FIN'!$A$1:$O$88,15,0)),0,VLOOKUP($U$317,'TAR FIN'!$A$1:$O$88,15,0))</f>
        <v>0</v>
      </c>
      <c r="Y317" s="6"/>
      <c r="Z317" s="6">
        <f ca="1">('TUSD BE'!$AM$48+'TUSD BF_350'!$AM$48+'TUSD CVA'!$AM$48)*1</f>
        <v>310.49</v>
      </c>
      <c r="AA317" s="6">
        <f ca="1">('TE BE'!$AB$39+'TE BF_350'!$AB$39+'TE CVA'!$AB$39)*1</f>
        <v>262.52999999999997</v>
      </c>
      <c r="AB317" s="6">
        <f>$K$317*$V$317</f>
        <v>0</v>
      </c>
      <c r="AC317" s="6">
        <f>$M$317*$W$317</f>
        <v>0</v>
      </c>
      <c r="AD317" s="6">
        <f>$O$317*$X$317</f>
        <v>0</v>
      </c>
      <c r="AE317" s="6">
        <f>$K$317*$Y$317</f>
        <v>0</v>
      </c>
      <c r="AF317" s="6">
        <f ca="1">$M$317*$Z$317</f>
        <v>385.62858</v>
      </c>
      <c r="AG317" s="6">
        <f ca="1">$O$317*$AA$317</f>
        <v>326.06225999999998</v>
      </c>
    </row>
    <row r="318" spans="1:33" ht="11.25" customHeight="1" x14ac:dyDescent="0.25">
      <c r="A318" s="4" t="s">
        <v>21</v>
      </c>
      <c r="B318" s="4" t="s">
        <v>32</v>
      </c>
      <c r="C318" s="4" t="s">
        <v>23</v>
      </c>
      <c r="D318" s="4" t="s">
        <v>49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44713</v>
      </c>
      <c r="J318" s="6">
        <v>0</v>
      </c>
      <c r="K318" s="6">
        <v>0</v>
      </c>
      <c r="L318" s="6">
        <v>0.96899999999999997</v>
      </c>
      <c r="M318" s="6">
        <v>0.96899999999999997</v>
      </c>
      <c r="N318" s="6">
        <v>0.96899999999999997</v>
      </c>
      <c r="O318" s="6">
        <v>0.96899999999999997</v>
      </c>
      <c r="P318" s="6">
        <v>3</v>
      </c>
      <c r="Q318" s="4" t="s">
        <v>26</v>
      </c>
      <c r="R318" s="4">
        <v>0</v>
      </c>
      <c r="S318" s="6">
        <v>0</v>
      </c>
      <c r="T318" s="6">
        <v>46</v>
      </c>
      <c r="U318" s="6">
        <v>84</v>
      </c>
      <c r="V318" s="6">
        <f>IF(ISERROR(VLOOKUP($S$318,'TAR FIN'!$A$1:$O$88,15,0)),0,VLOOKUP($S$318,'TAR FIN'!$A$1:$O$88,15,0))</f>
        <v>0</v>
      </c>
      <c r="W318" s="6">
        <f>IF(ISERROR(VLOOKUP($T$318,'TAR FIN'!$A$1:$O$88,15,0)),0,VLOOKUP($T$318,'TAR FIN'!$A$1:$O$88,15,0))</f>
        <v>0</v>
      </c>
      <c r="X318" s="6">
        <f>IF(ISERROR(VLOOKUP($U$318,'TAR FIN'!$A$1:$O$88,15,0)),0,VLOOKUP($U$318,'TAR FIN'!$A$1:$O$88,15,0))</f>
        <v>0</v>
      </c>
      <c r="Y318" s="6"/>
      <c r="Z318" s="6">
        <f ca="1">('TUSD BE'!$AM$48+'TUSD BF_350'!$AM$48+'TUSD CVA'!$AM$48)*1</f>
        <v>310.49</v>
      </c>
      <c r="AA318" s="6">
        <f ca="1">('TE BE'!$AB$39+'TE BF_350'!$AB$39+'TE CVA'!$AB$39)*1</f>
        <v>262.52999999999997</v>
      </c>
      <c r="AB318" s="6">
        <f>$K$318*$V$318</f>
        <v>0</v>
      </c>
      <c r="AC318" s="6">
        <f>$M$318*$W$318</f>
        <v>0</v>
      </c>
      <c r="AD318" s="6">
        <f>$O$318*$X$318</f>
        <v>0</v>
      </c>
      <c r="AE318" s="6">
        <f>$K$318*$Y$318</f>
        <v>0</v>
      </c>
      <c r="AF318" s="6">
        <f ca="1">$M$318*$Z$318</f>
        <v>300.86480999999998</v>
      </c>
      <c r="AG318" s="6">
        <f ca="1">$O$318*$AA$318</f>
        <v>254.39156999999997</v>
      </c>
    </row>
    <row r="319" spans="1:33" ht="11.25" customHeight="1" x14ac:dyDescent="0.25">
      <c r="A319" s="4" t="s">
        <v>21</v>
      </c>
      <c r="B319" s="4" t="s">
        <v>32</v>
      </c>
      <c r="C319" s="4" t="s">
        <v>23</v>
      </c>
      <c r="D319" s="4" t="s">
        <v>49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44743</v>
      </c>
      <c r="J319" s="6">
        <v>0</v>
      </c>
      <c r="K319" s="6">
        <v>0</v>
      </c>
      <c r="L319" s="6">
        <v>0.95599999999999996</v>
      </c>
      <c r="M319" s="6">
        <v>0.95599999999999996</v>
      </c>
      <c r="N319" s="6">
        <v>0.95599999999999996</v>
      </c>
      <c r="O319" s="6">
        <v>0.95599999999999996</v>
      </c>
      <c r="P319" s="6">
        <v>3</v>
      </c>
      <c r="Q319" s="4" t="s">
        <v>26</v>
      </c>
      <c r="R319" s="4">
        <v>0</v>
      </c>
      <c r="S319" s="6">
        <v>0</v>
      </c>
      <c r="T319" s="6">
        <v>46</v>
      </c>
      <c r="U319" s="6">
        <v>84</v>
      </c>
      <c r="V319" s="6">
        <f>IF(ISERROR(VLOOKUP($S$319,'TAR FIN'!$A$1:$O$88,15,0)),0,VLOOKUP($S$319,'TAR FIN'!$A$1:$O$88,15,0))</f>
        <v>0</v>
      </c>
      <c r="W319" s="6">
        <f>IF(ISERROR(VLOOKUP($T$319,'TAR FIN'!$A$1:$O$88,15,0)),0,VLOOKUP($T$319,'TAR FIN'!$A$1:$O$88,15,0))</f>
        <v>0</v>
      </c>
      <c r="X319" s="6">
        <f>IF(ISERROR(VLOOKUP($U$319,'TAR FIN'!$A$1:$O$88,15,0)),0,VLOOKUP($U$319,'TAR FIN'!$A$1:$O$88,15,0))</f>
        <v>0</v>
      </c>
      <c r="Y319" s="6"/>
      <c r="Z319" s="6">
        <f ca="1">('TUSD BE'!$AM$48+'TUSD BF_350'!$AM$48+'TUSD CVA'!$AM$48)*1</f>
        <v>310.49</v>
      </c>
      <c r="AA319" s="6">
        <f ca="1">('TE BE'!$AB$39+'TE BF_350'!$AB$39+'TE CVA'!$AB$39)*1</f>
        <v>262.52999999999997</v>
      </c>
      <c r="AB319" s="6">
        <f>$K$319*$V$319</f>
        <v>0</v>
      </c>
      <c r="AC319" s="6">
        <f>$M$319*$W$319</f>
        <v>0</v>
      </c>
      <c r="AD319" s="6">
        <f>$O$319*$X$319</f>
        <v>0</v>
      </c>
      <c r="AE319" s="6">
        <f>$K$319*$Y$319</f>
        <v>0</v>
      </c>
      <c r="AF319" s="6">
        <f ca="1">$M$319*$Z$319</f>
        <v>296.82844</v>
      </c>
      <c r="AG319" s="6">
        <f ca="1">$O$319*$AA$319</f>
        <v>250.97867999999997</v>
      </c>
    </row>
    <row r="320" spans="1:33" ht="11.25" customHeight="1" x14ac:dyDescent="0.25">
      <c r="A320" s="4" t="s">
        <v>21</v>
      </c>
      <c r="B320" s="4" t="s">
        <v>32</v>
      </c>
      <c r="C320" s="4" t="s">
        <v>23</v>
      </c>
      <c r="D320" s="4" t="s">
        <v>33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44409</v>
      </c>
      <c r="J320" s="6">
        <v>0</v>
      </c>
      <c r="K320" s="6">
        <v>0</v>
      </c>
      <c r="L320" s="6">
        <v>109.244</v>
      </c>
      <c r="M320" s="6">
        <v>109.244</v>
      </c>
      <c r="N320" s="6">
        <v>109.244</v>
      </c>
      <c r="O320" s="6">
        <v>109.244</v>
      </c>
      <c r="P320" s="6">
        <v>76</v>
      </c>
      <c r="Q320" s="4" t="s">
        <v>26</v>
      </c>
      <c r="R320" s="4">
        <v>0</v>
      </c>
      <c r="S320" s="6">
        <v>0</v>
      </c>
      <c r="T320" s="6">
        <v>46</v>
      </c>
      <c r="U320" s="6">
        <v>84</v>
      </c>
      <c r="V320" s="6">
        <f>IF(ISERROR(VLOOKUP($S$320,'TAR FIN'!$A$1:$O$88,15,0)),0,VLOOKUP($S$320,'TAR FIN'!$A$1:$O$88,15,0))</f>
        <v>0</v>
      </c>
      <c r="W320" s="6">
        <f>IF(ISERROR(VLOOKUP($T$320,'TAR FIN'!$A$1:$O$88,15,0)),0,VLOOKUP($T$320,'TAR FIN'!$A$1:$O$88,15,0))</f>
        <v>0</v>
      </c>
      <c r="X320" s="6">
        <f>IF(ISERROR(VLOOKUP($U$320,'TAR FIN'!$A$1:$O$88,15,0)),0,VLOOKUP($U$320,'TAR FIN'!$A$1:$O$88,15,0))</f>
        <v>0</v>
      </c>
      <c r="Y320" s="6"/>
      <c r="Z320" s="6">
        <f ca="1">('TUSD BE'!$AM$48+'TUSD BF_350'!$AM$48+'TUSD CVA'!$AM$48)*1</f>
        <v>310.49</v>
      </c>
      <c r="AA320" s="6">
        <f ca="1">('TE BE'!$AB$39+'TE BF_350'!$AB$39+'TE CVA'!$AB$39)*1</f>
        <v>262.52999999999997</v>
      </c>
      <c r="AB320" s="6">
        <f>$K$320*$V$320</f>
        <v>0</v>
      </c>
      <c r="AC320" s="6">
        <f>$M$320*$W$320</f>
        <v>0</v>
      </c>
      <c r="AD320" s="6">
        <f>$O$320*$X$320</f>
        <v>0</v>
      </c>
      <c r="AE320" s="6">
        <f>$K$320*$Y$320</f>
        <v>0</v>
      </c>
      <c r="AF320" s="6">
        <f ca="1">$M$320*$Z$320</f>
        <v>33919.169560000002</v>
      </c>
      <c r="AG320" s="6">
        <f ca="1">$O$320*$AA$320</f>
        <v>28679.827319999997</v>
      </c>
    </row>
    <row r="321" spans="1:33" ht="11.25" customHeight="1" x14ac:dyDescent="0.25">
      <c r="A321" s="4" t="s">
        <v>27</v>
      </c>
      <c r="B321" s="4" t="s">
        <v>32</v>
      </c>
      <c r="C321" s="4" t="s">
        <v>23</v>
      </c>
      <c r="D321" s="4" t="s">
        <v>33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44409</v>
      </c>
      <c r="J321" s="6">
        <v>0</v>
      </c>
      <c r="K321" s="6">
        <v>0</v>
      </c>
      <c r="L321" s="6">
        <v>0.54300000000000004</v>
      </c>
      <c r="M321" s="6">
        <v>0.54300000000000004</v>
      </c>
      <c r="N321" s="6">
        <v>0.54300000000000004</v>
      </c>
      <c r="O321" s="6">
        <v>0.54300000000000004</v>
      </c>
      <c r="P321" s="6">
        <v>1</v>
      </c>
      <c r="Q321" s="4" t="s">
        <v>26</v>
      </c>
      <c r="R321" s="4">
        <v>0</v>
      </c>
      <c r="S321" s="6">
        <v>0</v>
      </c>
      <c r="T321" s="6">
        <v>46</v>
      </c>
      <c r="U321" s="6">
        <v>84</v>
      </c>
      <c r="V321" s="6">
        <f>IF(ISERROR(VLOOKUP($S$321,'TAR FIN'!$A$1:$O$88,15,0)),0,VLOOKUP($S$321,'TAR FIN'!$A$1:$O$88,15,0))</f>
        <v>0</v>
      </c>
      <c r="W321" s="6">
        <f>IF(ISERROR(VLOOKUP($T$321,'TAR FIN'!$A$1:$O$88,15,0)),0,VLOOKUP($T$321,'TAR FIN'!$A$1:$O$88,15,0))</f>
        <v>0</v>
      </c>
      <c r="X321" s="6">
        <f>IF(ISERROR(VLOOKUP($U$321,'TAR FIN'!$A$1:$O$88,15,0)),0,VLOOKUP($U$321,'TAR FIN'!$A$1:$O$88,15,0))</f>
        <v>0</v>
      </c>
      <c r="Y321" s="6"/>
      <c r="Z321" s="6">
        <f ca="1">('TUSD BE'!$AM$48+'TUSD BF_350'!$AM$48+'TUSD CVA'!$AM$48)*1</f>
        <v>310.49</v>
      </c>
      <c r="AA321" s="6">
        <f ca="1">('TE BE'!$AB$39+'TE BF_350'!$AB$39+'TE CVA'!$AB$39)*1</f>
        <v>262.52999999999997</v>
      </c>
      <c r="AB321" s="6">
        <f>$K$321*$V$321</f>
        <v>0</v>
      </c>
      <c r="AC321" s="6">
        <f>$M$321*$W$321</f>
        <v>0</v>
      </c>
      <c r="AD321" s="6">
        <f>$O$321*$X$321</f>
        <v>0</v>
      </c>
      <c r="AE321" s="6">
        <f>$K$321*$Y$321</f>
        <v>0</v>
      </c>
      <c r="AF321" s="6">
        <f ca="1">$M$321*$Z$321</f>
        <v>168.59607000000003</v>
      </c>
      <c r="AG321" s="6">
        <f ca="1">$O$321*$AA$321</f>
        <v>142.55378999999999</v>
      </c>
    </row>
    <row r="322" spans="1:33" ht="11.25" customHeight="1" x14ac:dyDescent="0.25">
      <c r="A322" s="4" t="s">
        <v>21</v>
      </c>
      <c r="B322" s="4" t="s">
        <v>32</v>
      </c>
      <c r="C322" s="4" t="s">
        <v>23</v>
      </c>
      <c r="D322" s="4" t="s">
        <v>33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44440</v>
      </c>
      <c r="J322" s="6">
        <v>0</v>
      </c>
      <c r="K322" s="6">
        <v>0</v>
      </c>
      <c r="L322" s="6">
        <v>96.180999999999997</v>
      </c>
      <c r="M322" s="6">
        <v>96.180999999999997</v>
      </c>
      <c r="N322" s="6">
        <v>96.180999999999997</v>
      </c>
      <c r="O322" s="6">
        <v>96.180999999999997</v>
      </c>
      <c r="P322" s="6">
        <v>77</v>
      </c>
      <c r="Q322" s="4" t="s">
        <v>26</v>
      </c>
      <c r="R322" s="4">
        <v>0</v>
      </c>
      <c r="S322" s="6">
        <v>0</v>
      </c>
      <c r="T322" s="6">
        <v>46</v>
      </c>
      <c r="U322" s="6">
        <v>84</v>
      </c>
      <c r="V322" s="6">
        <f>IF(ISERROR(VLOOKUP($S$322,'TAR FIN'!$A$1:$O$88,15,0)),0,VLOOKUP($S$322,'TAR FIN'!$A$1:$O$88,15,0))</f>
        <v>0</v>
      </c>
      <c r="W322" s="6">
        <f>IF(ISERROR(VLOOKUP($T$322,'TAR FIN'!$A$1:$O$88,15,0)),0,VLOOKUP($T$322,'TAR FIN'!$A$1:$O$88,15,0))</f>
        <v>0</v>
      </c>
      <c r="X322" s="6">
        <f>IF(ISERROR(VLOOKUP($U$322,'TAR FIN'!$A$1:$O$88,15,0)),0,VLOOKUP($U$322,'TAR FIN'!$A$1:$O$88,15,0))</f>
        <v>0</v>
      </c>
      <c r="Y322" s="6"/>
      <c r="Z322" s="6">
        <f ca="1">('TUSD BE'!$AM$48+'TUSD BF_350'!$AM$48+'TUSD CVA'!$AM$48)*1</f>
        <v>310.49</v>
      </c>
      <c r="AA322" s="6">
        <f ca="1">('TE BE'!$AB$39+'TE BF_350'!$AB$39+'TE CVA'!$AB$39)*1</f>
        <v>262.52999999999997</v>
      </c>
      <c r="AB322" s="6">
        <f>$K$322*$V$322</f>
        <v>0</v>
      </c>
      <c r="AC322" s="6">
        <f>$M$322*$W$322</f>
        <v>0</v>
      </c>
      <c r="AD322" s="6">
        <f>$O$322*$X$322</f>
        <v>0</v>
      </c>
      <c r="AE322" s="6">
        <f>$K$322*$Y$322</f>
        <v>0</v>
      </c>
      <c r="AF322" s="6">
        <f ca="1">$M$322*$Z$322</f>
        <v>29863.238689999998</v>
      </c>
      <c r="AG322" s="6">
        <f ca="1">$O$322*$AA$322</f>
        <v>25250.397929999996</v>
      </c>
    </row>
    <row r="323" spans="1:33" ht="11.25" customHeight="1" x14ac:dyDescent="0.25">
      <c r="A323" s="4" t="s">
        <v>27</v>
      </c>
      <c r="B323" s="4" t="s">
        <v>32</v>
      </c>
      <c r="C323" s="4" t="s">
        <v>23</v>
      </c>
      <c r="D323" s="4" t="s">
        <v>33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44440</v>
      </c>
      <c r="J323" s="6">
        <v>0</v>
      </c>
      <c r="K323" s="6">
        <v>0</v>
      </c>
      <c r="L323" s="6">
        <v>0.60499999999999998</v>
      </c>
      <c r="M323" s="6">
        <v>0.60499999999999998</v>
      </c>
      <c r="N323" s="6">
        <v>0.60499999999999998</v>
      </c>
      <c r="O323" s="6">
        <v>0.60499999999999998</v>
      </c>
      <c r="P323" s="6">
        <v>1</v>
      </c>
      <c r="Q323" s="4" t="s">
        <v>26</v>
      </c>
      <c r="R323" s="4">
        <v>0</v>
      </c>
      <c r="S323" s="6">
        <v>0</v>
      </c>
      <c r="T323" s="6">
        <v>46</v>
      </c>
      <c r="U323" s="6">
        <v>84</v>
      </c>
      <c r="V323" s="6">
        <f>IF(ISERROR(VLOOKUP($S$323,'TAR FIN'!$A$1:$O$88,15,0)),0,VLOOKUP($S$323,'TAR FIN'!$A$1:$O$88,15,0))</f>
        <v>0</v>
      </c>
      <c r="W323" s="6">
        <f>IF(ISERROR(VLOOKUP($T$323,'TAR FIN'!$A$1:$O$88,15,0)),0,VLOOKUP($T$323,'TAR FIN'!$A$1:$O$88,15,0))</f>
        <v>0</v>
      </c>
      <c r="X323" s="6">
        <f>IF(ISERROR(VLOOKUP($U$323,'TAR FIN'!$A$1:$O$88,15,0)),0,VLOOKUP($U$323,'TAR FIN'!$A$1:$O$88,15,0))</f>
        <v>0</v>
      </c>
      <c r="Y323" s="6"/>
      <c r="Z323" s="6">
        <f ca="1">('TUSD BE'!$AM$48+'TUSD BF_350'!$AM$48+'TUSD CVA'!$AM$48)*1</f>
        <v>310.49</v>
      </c>
      <c r="AA323" s="6">
        <f ca="1">('TE BE'!$AB$39+'TE BF_350'!$AB$39+'TE CVA'!$AB$39)*1</f>
        <v>262.52999999999997</v>
      </c>
      <c r="AB323" s="6">
        <f>$K$323*$V$323</f>
        <v>0</v>
      </c>
      <c r="AC323" s="6">
        <f>$M$323*$W$323</f>
        <v>0</v>
      </c>
      <c r="AD323" s="6">
        <f>$O$323*$X$323</f>
        <v>0</v>
      </c>
      <c r="AE323" s="6">
        <f>$K$323*$Y$323</f>
        <v>0</v>
      </c>
      <c r="AF323" s="6">
        <f ca="1">$M$323*$Z$323</f>
        <v>187.84645</v>
      </c>
      <c r="AG323" s="6">
        <f ca="1">$O$323*$AA$323</f>
        <v>158.83064999999999</v>
      </c>
    </row>
    <row r="324" spans="1:33" ht="11.25" customHeight="1" x14ac:dyDescent="0.25">
      <c r="A324" s="4" t="s">
        <v>21</v>
      </c>
      <c r="B324" s="4" t="s">
        <v>32</v>
      </c>
      <c r="C324" s="4" t="s">
        <v>23</v>
      </c>
      <c r="D324" s="4" t="s">
        <v>33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44470</v>
      </c>
      <c r="J324" s="6">
        <v>0</v>
      </c>
      <c r="K324" s="6">
        <v>0</v>
      </c>
      <c r="L324" s="6">
        <v>112.52800000000001</v>
      </c>
      <c r="M324" s="6">
        <v>112.52800000000001</v>
      </c>
      <c r="N324" s="6">
        <v>112.52800000000001</v>
      </c>
      <c r="O324" s="6">
        <v>112.52800000000001</v>
      </c>
      <c r="P324" s="6">
        <v>75</v>
      </c>
      <c r="Q324" s="4" t="s">
        <v>26</v>
      </c>
      <c r="R324" s="4">
        <v>0</v>
      </c>
      <c r="S324" s="6">
        <v>0</v>
      </c>
      <c r="T324" s="6">
        <v>46</v>
      </c>
      <c r="U324" s="6">
        <v>84</v>
      </c>
      <c r="V324" s="6">
        <f>IF(ISERROR(VLOOKUP($S$324,'TAR FIN'!$A$1:$O$88,15,0)),0,VLOOKUP($S$324,'TAR FIN'!$A$1:$O$88,15,0))</f>
        <v>0</v>
      </c>
      <c r="W324" s="6">
        <f>IF(ISERROR(VLOOKUP($T$324,'TAR FIN'!$A$1:$O$88,15,0)),0,VLOOKUP($T$324,'TAR FIN'!$A$1:$O$88,15,0))</f>
        <v>0</v>
      </c>
      <c r="X324" s="6">
        <f>IF(ISERROR(VLOOKUP($U$324,'TAR FIN'!$A$1:$O$88,15,0)),0,VLOOKUP($U$324,'TAR FIN'!$A$1:$O$88,15,0))</f>
        <v>0</v>
      </c>
      <c r="Y324" s="6"/>
      <c r="Z324" s="6">
        <f ca="1">('TUSD BE'!$AM$48+'TUSD BF_350'!$AM$48+'TUSD CVA'!$AM$48)*1</f>
        <v>310.49</v>
      </c>
      <c r="AA324" s="6">
        <f ca="1">('TE BE'!$AB$39+'TE BF_350'!$AB$39+'TE CVA'!$AB$39)*1</f>
        <v>262.52999999999997</v>
      </c>
      <c r="AB324" s="6">
        <f>$K$324*$V$324</f>
        <v>0</v>
      </c>
      <c r="AC324" s="6">
        <f>$M$324*$W$324</f>
        <v>0</v>
      </c>
      <c r="AD324" s="6">
        <f>$O$324*$X$324</f>
        <v>0</v>
      </c>
      <c r="AE324" s="6">
        <f>$K$324*$Y$324</f>
        <v>0</v>
      </c>
      <c r="AF324" s="6">
        <f ca="1">$M$324*$Z$324</f>
        <v>34938.818720000003</v>
      </c>
      <c r="AG324" s="6">
        <f ca="1">$O$324*$AA$324</f>
        <v>29541.975839999999</v>
      </c>
    </row>
    <row r="325" spans="1:33" ht="11.25" customHeight="1" x14ac:dyDescent="0.25">
      <c r="A325" s="4" t="s">
        <v>27</v>
      </c>
      <c r="B325" s="4" t="s">
        <v>32</v>
      </c>
      <c r="C325" s="4" t="s">
        <v>23</v>
      </c>
      <c r="D325" s="4" t="s">
        <v>33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44470</v>
      </c>
      <c r="J325" s="6">
        <v>0</v>
      </c>
      <c r="K325" s="6">
        <v>0</v>
      </c>
      <c r="L325" s="6">
        <v>0.505</v>
      </c>
      <c r="M325" s="6">
        <v>0.505</v>
      </c>
      <c r="N325" s="6">
        <v>0.505</v>
      </c>
      <c r="O325" s="6">
        <v>0.505</v>
      </c>
      <c r="P325" s="6">
        <v>1</v>
      </c>
      <c r="Q325" s="4" t="s">
        <v>26</v>
      </c>
      <c r="R325" s="4">
        <v>0</v>
      </c>
      <c r="S325" s="6">
        <v>0</v>
      </c>
      <c r="T325" s="6">
        <v>46</v>
      </c>
      <c r="U325" s="6">
        <v>84</v>
      </c>
      <c r="V325" s="6">
        <f>IF(ISERROR(VLOOKUP($S$325,'TAR FIN'!$A$1:$O$88,15,0)),0,VLOOKUP($S$325,'TAR FIN'!$A$1:$O$88,15,0))</f>
        <v>0</v>
      </c>
      <c r="W325" s="6">
        <f>IF(ISERROR(VLOOKUP($T$325,'TAR FIN'!$A$1:$O$88,15,0)),0,VLOOKUP($T$325,'TAR FIN'!$A$1:$O$88,15,0))</f>
        <v>0</v>
      </c>
      <c r="X325" s="6">
        <f>IF(ISERROR(VLOOKUP($U$325,'TAR FIN'!$A$1:$O$88,15,0)),0,VLOOKUP($U$325,'TAR FIN'!$A$1:$O$88,15,0))</f>
        <v>0</v>
      </c>
      <c r="Y325" s="6"/>
      <c r="Z325" s="6">
        <f ca="1">('TUSD BE'!$AM$48+'TUSD BF_350'!$AM$48+'TUSD CVA'!$AM$48)*1</f>
        <v>310.49</v>
      </c>
      <c r="AA325" s="6">
        <f ca="1">('TE BE'!$AB$39+'TE BF_350'!$AB$39+'TE CVA'!$AB$39)*1</f>
        <v>262.52999999999997</v>
      </c>
      <c r="AB325" s="6">
        <f>$K$325*$V$325</f>
        <v>0</v>
      </c>
      <c r="AC325" s="6">
        <f>$M$325*$W$325</f>
        <v>0</v>
      </c>
      <c r="AD325" s="6">
        <f>$O$325*$X$325</f>
        <v>0</v>
      </c>
      <c r="AE325" s="6">
        <f>$K$325*$Y$325</f>
        <v>0</v>
      </c>
      <c r="AF325" s="6">
        <f ca="1">$M$325*$Z$325</f>
        <v>156.79745</v>
      </c>
      <c r="AG325" s="6">
        <f ca="1">$O$325*$AA$325</f>
        <v>132.57764999999998</v>
      </c>
    </row>
    <row r="326" spans="1:33" ht="11.25" customHeight="1" x14ac:dyDescent="0.25">
      <c r="A326" s="4" t="s">
        <v>21</v>
      </c>
      <c r="B326" s="4" t="s">
        <v>32</v>
      </c>
      <c r="C326" s="4" t="s">
        <v>23</v>
      </c>
      <c r="D326" s="4" t="s">
        <v>33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44501</v>
      </c>
      <c r="J326" s="6">
        <v>0</v>
      </c>
      <c r="K326" s="6">
        <v>0</v>
      </c>
      <c r="L326" s="6">
        <v>94.328000000000003</v>
      </c>
      <c r="M326" s="6">
        <v>94.328000000000003</v>
      </c>
      <c r="N326" s="6">
        <v>94.328000000000003</v>
      </c>
      <c r="O326" s="6">
        <v>94.328000000000003</v>
      </c>
      <c r="P326" s="6">
        <v>75</v>
      </c>
      <c r="Q326" s="4" t="s">
        <v>26</v>
      </c>
      <c r="R326" s="4">
        <v>0</v>
      </c>
      <c r="S326" s="6">
        <v>0</v>
      </c>
      <c r="T326" s="6">
        <v>46</v>
      </c>
      <c r="U326" s="6">
        <v>84</v>
      </c>
      <c r="V326" s="6">
        <f>IF(ISERROR(VLOOKUP($S$326,'TAR FIN'!$A$1:$O$88,15,0)),0,VLOOKUP($S$326,'TAR FIN'!$A$1:$O$88,15,0))</f>
        <v>0</v>
      </c>
      <c r="W326" s="6">
        <f>IF(ISERROR(VLOOKUP($T$326,'TAR FIN'!$A$1:$O$88,15,0)),0,VLOOKUP($T$326,'TAR FIN'!$A$1:$O$88,15,0))</f>
        <v>0</v>
      </c>
      <c r="X326" s="6">
        <f>IF(ISERROR(VLOOKUP($U$326,'TAR FIN'!$A$1:$O$88,15,0)),0,VLOOKUP($U$326,'TAR FIN'!$A$1:$O$88,15,0))</f>
        <v>0</v>
      </c>
      <c r="Y326" s="6"/>
      <c r="Z326" s="6">
        <f ca="1">('TUSD BE'!$AM$48+'TUSD BF_350'!$AM$48+'TUSD CVA'!$AM$48)*1</f>
        <v>310.49</v>
      </c>
      <c r="AA326" s="6">
        <f ca="1">('TE BE'!$AB$39+'TE BF_350'!$AB$39+'TE CVA'!$AB$39)*1</f>
        <v>262.52999999999997</v>
      </c>
      <c r="AB326" s="6">
        <f>$K$326*$V$326</f>
        <v>0</v>
      </c>
      <c r="AC326" s="6">
        <f>$M$326*$W$326</f>
        <v>0</v>
      </c>
      <c r="AD326" s="6">
        <f>$O$326*$X$326</f>
        <v>0</v>
      </c>
      <c r="AE326" s="6">
        <f>$K$326*$Y$326</f>
        <v>0</v>
      </c>
      <c r="AF326" s="6">
        <f ca="1">$M$326*$Z$326</f>
        <v>29287.900720000001</v>
      </c>
      <c r="AG326" s="6">
        <f ca="1">$O$326*$AA$326</f>
        <v>24763.929839999997</v>
      </c>
    </row>
    <row r="327" spans="1:33" ht="11.25" customHeight="1" x14ac:dyDescent="0.25">
      <c r="A327" s="4" t="s">
        <v>27</v>
      </c>
      <c r="B327" s="4" t="s">
        <v>32</v>
      </c>
      <c r="C327" s="4" t="s">
        <v>23</v>
      </c>
      <c r="D327" s="4" t="s">
        <v>33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44501</v>
      </c>
      <c r="J327" s="6">
        <v>0</v>
      </c>
      <c r="K327" s="6">
        <v>0</v>
      </c>
      <c r="L327" s="6">
        <v>0.21299999999999999</v>
      </c>
      <c r="M327" s="6">
        <v>0.21299999999999999</v>
      </c>
      <c r="N327" s="6">
        <v>0.21299999999999999</v>
      </c>
      <c r="O327" s="6">
        <v>0.21299999999999999</v>
      </c>
      <c r="P327" s="6">
        <v>1</v>
      </c>
      <c r="Q327" s="4" t="s">
        <v>26</v>
      </c>
      <c r="R327" s="4">
        <v>0</v>
      </c>
      <c r="S327" s="6">
        <v>0</v>
      </c>
      <c r="T327" s="6">
        <v>46</v>
      </c>
      <c r="U327" s="6">
        <v>84</v>
      </c>
      <c r="V327" s="6">
        <f>IF(ISERROR(VLOOKUP($S$327,'TAR FIN'!$A$1:$O$88,15,0)),0,VLOOKUP($S$327,'TAR FIN'!$A$1:$O$88,15,0))</f>
        <v>0</v>
      </c>
      <c r="W327" s="6">
        <f>IF(ISERROR(VLOOKUP($T$327,'TAR FIN'!$A$1:$O$88,15,0)),0,VLOOKUP($T$327,'TAR FIN'!$A$1:$O$88,15,0))</f>
        <v>0</v>
      </c>
      <c r="X327" s="6">
        <f>IF(ISERROR(VLOOKUP($U$327,'TAR FIN'!$A$1:$O$88,15,0)),0,VLOOKUP($U$327,'TAR FIN'!$A$1:$O$88,15,0))</f>
        <v>0</v>
      </c>
      <c r="Y327" s="6"/>
      <c r="Z327" s="6">
        <f ca="1">('TUSD BE'!$AM$48+'TUSD BF_350'!$AM$48+'TUSD CVA'!$AM$48)*1</f>
        <v>310.49</v>
      </c>
      <c r="AA327" s="6">
        <f ca="1">('TE BE'!$AB$39+'TE BF_350'!$AB$39+'TE CVA'!$AB$39)*1</f>
        <v>262.52999999999997</v>
      </c>
      <c r="AB327" s="6">
        <f>$K$327*$V$327</f>
        <v>0</v>
      </c>
      <c r="AC327" s="6">
        <f>$M$327*$W$327</f>
        <v>0</v>
      </c>
      <c r="AD327" s="6">
        <f>$O$327*$X$327</f>
        <v>0</v>
      </c>
      <c r="AE327" s="6">
        <f>$K$327*$Y$327</f>
        <v>0</v>
      </c>
      <c r="AF327" s="6">
        <f ca="1">$M$327*$Z$327</f>
        <v>66.134370000000004</v>
      </c>
      <c r="AG327" s="6">
        <f ca="1">$O$327*$AA$327</f>
        <v>55.91888999999999</v>
      </c>
    </row>
    <row r="328" spans="1:33" ht="11.25" customHeight="1" x14ac:dyDescent="0.25">
      <c r="A328" s="4" t="s">
        <v>21</v>
      </c>
      <c r="B328" s="4" t="s">
        <v>32</v>
      </c>
      <c r="C328" s="4" t="s">
        <v>23</v>
      </c>
      <c r="D328" s="4" t="s">
        <v>33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44531</v>
      </c>
      <c r="J328" s="6">
        <v>0</v>
      </c>
      <c r="K328" s="6">
        <v>0</v>
      </c>
      <c r="L328" s="6">
        <v>97.72</v>
      </c>
      <c r="M328" s="6">
        <v>97.72</v>
      </c>
      <c r="N328" s="6">
        <v>97.72</v>
      </c>
      <c r="O328" s="6">
        <v>97.72</v>
      </c>
      <c r="P328" s="6">
        <v>74</v>
      </c>
      <c r="Q328" s="4" t="s">
        <v>26</v>
      </c>
      <c r="R328" s="4">
        <v>0</v>
      </c>
      <c r="S328" s="6">
        <v>0</v>
      </c>
      <c r="T328" s="6">
        <v>46</v>
      </c>
      <c r="U328" s="6">
        <v>84</v>
      </c>
      <c r="V328" s="6">
        <f>IF(ISERROR(VLOOKUP($S$328,'TAR FIN'!$A$1:$O$88,15,0)),0,VLOOKUP($S$328,'TAR FIN'!$A$1:$O$88,15,0))</f>
        <v>0</v>
      </c>
      <c r="W328" s="6">
        <f>IF(ISERROR(VLOOKUP($T$328,'TAR FIN'!$A$1:$O$88,15,0)),0,VLOOKUP($T$328,'TAR FIN'!$A$1:$O$88,15,0))</f>
        <v>0</v>
      </c>
      <c r="X328" s="6">
        <f>IF(ISERROR(VLOOKUP($U$328,'TAR FIN'!$A$1:$O$88,15,0)),0,VLOOKUP($U$328,'TAR FIN'!$A$1:$O$88,15,0))</f>
        <v>0</v>
      </c>
      <c r="Y328" s="6"/>
      <c r="Z328" s="6">
        <f ca="1">('TUSD BE'!$AM$48+'TUSD BF_350'!$AM$48+'TUSD CVA'!$AM$48)*1</f>
        <v>310.49</v>
      </c>
      <c r="AA328" s="6">
        <f ca="1">('TE BE'!$AB$39+'TE BF_350'!$AB$39+'TE CVA'!$AB$39)*1</f>
        <v>262.52999999999997</v>
      </c>
      <c r="AB328" s="6">
        <f>$K$328*$V$328</f>
        <v>0</v>
      </c>
      <c r="AC328" s="6">
        <f>$M$328*$W$328</f>
        <v>0</v>
      </c>
      <c r="AD328" s="6">
        <f>$O$328*$X$328</f>
        <v>0</v>
      </c>
      <c r="AE328" s="6">
        <f>$K$328*$Y$328</f>
        <v>0</v>
      </c>
      <c r="AF328" s="6">
        <f ca="1">$M$328*$Z$328</f>
        <v>30341.0828</v>
      </c>
      <c r="AG328" s="6">
        <f ca="1">$O$328*$AA$328</f>
        <v>25654.431599999996</v>
      </c>
    </row>
    <row r="329" spans="1:33" ht="11.25" customHeight="1" x14ac:dyDescent="0.25">
      <c r="A329" s="4" t="s">
        <v>27</v>
      </c>
      <c r="B329" s="4" t="s">
        <v>32</v>
      </c>
      <c r="C329" s="4" t="s">
        <v>23</v>
      </c>
      <c r="D329" s="4" t="s">
        <v>33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44531</v>
      </c>
      <c r="J329" s="6">
        <v>0</v>
      </c>
      <c r="K329" s="6">
        <v>0</v>
      </c>
      <c r="L329" s="6">
        <v>0.1</v>
      </c>
      <c r="M329" s="6">
        <v>0.1</v>
      </c>
      <c r="N329" s="6">
        <v>0.1</v>
      </c>
      <c r="O329" s="6">
        <v>0.1</v>
      </c>
      <c r="P329" s="6">
        <v>1</v>
      </c>
      <c r="Q329" s="4" t="s">
        <v>26</v>
      </c>
      <c r="R329" s="4">
        <v>0</v>
      </c>
      <c r="S329" s="6">
        <v>0</v>
      </c>
      <c r="T329" s="6">
        <v>46</v>
      </c>
      <c r="U329" s="6">
        <v>84</v>
      </c>
      <c r="V329" s="6">
        <f>IF(ISERROR(VLOOKUP($S$329,'TAR FIN'!$A$1:$O$88,15,0)),0,VLOOKUP($S$329,'TAR FIN'!$A$1:$O$88,15,0))</f>
        <v>0</v>
      </c>
      <c r="W329" s="6">
        <f>IF(ISERROR(VLOOKUP($T$329,'TAR FIN'!$A$1:$O$88,15,0)),0,VLOOKUP($T$329,'TAR FIN'!$A$1:$O$88,15,0))</f>
        <v>0</v>
      </c>
      <c r="X329" s="6">
        <f>IF(ISERROR(VLOOKUP($U$329,'TAR FIN'!$A$1:$O$88,15,0)),0,VLOOKUP($U$329,'TAR FIN'!$A$1:$O$88,15,0))</f>
        <v>0</v>
      </c>
      <c r="Y329" s="6"/>
      <c r="Z329" s="6">
        <f ca="1">('TUSD BE'!$AM$48+'TUSD BF_350'!$AM$48+'TUSD CVA'!$AM$48)*1</f>
        <v>310.49</v>
      </c>
      <c r="AA329" s="6">
        <f ca="1">('TE BE'!$AB$39+'TE BF_350'!$AB$39+'TE CVA'!$AB$39)*1</f>
        <v>262.52999999999997</v>
      </c>
      <c r="AB329" s="6">
        <f>$K$329*$V$329</f>
        <v>0</v>
      </c>
      <c r="AC329" s="6">
        <f>$M$329*$W$329</f>
        <v>0</v>
      </c>
      <c r="AD329" s="6">
        <f>$O$329*$X$329</f>
        <v>0</v>
      </c>
      <c r="AE329" s="6">
        <f>$K$329*$Y$329</f>
        <v>0</v>
      </c>
      <c r="AF329" s="6">
        <f ca="1">$M$329*$Z$329</f>
        <v>31.049000000000003</v>
      </c>
      <c r="AG329" s="6">
        <f ca="1">$O$329*$AA$329</f>
        <v>26.253</v>
      </c>
    </row>
    <row r="330" spans="1:33" ht="11.25" customHeight="1" x14ac:dyDescent="0.25">
      <c r="A330" s="4" t="s">
        <v>21</v>
      </c>
      <c r="B330" s="4" t="s">
        <v>32</v>
      </c>
      <c r="C330" s="4" t="s">
        <v>23</v>
      </c>
      <c r="D330" s="4" t="s">
        <v>33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93.116</v>
      </c>
      <c r="M330" s="6">
        <v>93.116</v>
      </c>
      <c r="N330" s="6">
        <v>93.116</v>
      </c>
      <c r="O330" s="6">
        <v>93.116</v>
      </c>
      <c r="P330" s="6">
        <v>74</v>
      </c>
      <c r="Q330" s="4" t="s">
        <v>26</v>
      </c>
      <c r="R330" s="4">
        <v>0</v>
      </c>
      <c r="S330" s="6">
        <v>0</v>
      </c>
      <c r="T330" s="6">
        <v>46</v>
      </c>
      <c r="U330" s="6">
        <v>84</v>
      </c>
      <c r="V330" s="6">
        <f>IF(ISERROR(VLOOKUP($S$330,'TAR FIN'!$A$1:$O$88,15,0)),0,VLOOKUP($S$330,'TAR FIN'!$A$1:$O$88,15,0))</f>
        <v>0</v>
      </c>
      <c r="W330" s="6">
        <f>IF(ISERROR(VLOOKUP($T$330,'TAR FIN'!$A$1:$O$88,15,0)),0,VLOOKUP($T$330,'TAR FIN'!$A$1:$O$88,15,0))</f>
        <v>0</v>
      </c>
      <c r="X330" s="6">
        <f>IF(ISERROR(VLOOKUP($U$330,'TAR FIN'!$A$1:$O$88,15,0)),0,VLOOKUP($U$330,'TAR FIN'!$A$1:$O$88,15,0))</f>
        <v>0</v>
      </c>
      <c r="Y330" s="6"/>
      <c r="Z330" s="6">
        <f ca="1">('TUSD BE'!$AM$48+'TUSD BF_350'!$AM$48+'TUSD CVA'!$AM$48)*1</f>
        <v>310.49</v>
      </c>
      <c r="AA330" s="6">
        <f ca="1">('TE BE'!$AB$39+'TE BF_350'!$AB$39+'TE CVA'!$AB$39)*1</f>
        <v>262.52999999999997</v>
      </c>
      <c r="AB330" s="6">
        <f>$K$330*$V$330</f>
        <v>0</v>
      </c>
      <c r="AC330" s="6">
        <f>$M$330*$W$330</f>
        <v>0</v>
      </c>
      <c r="AD330" s="6">
        <f>$O$330*$X$330</f>
        <v>0</v>
      </c>
      <c r="AE330" s="6">
        <f>$K$330*$Y$330</f>
        <v>0</v>
      </c>
      <c r="AF330" s="6">
        <f ca="1">$M$330*$Z$330</f>
        <v>28911.58684</v>
      </c>
      <c r="AG330" s="6">
        <f ca="1">$O$330*$AA$330</f>
        <v>24445.743479999997</v>
      </c>
    </row>
    <row r="331" spans="1:33" ht="11.25" customHeight="1" x14ac:dyDescent="0.25">
      <c r="A331" s="4" t="s">
        <v>27</v>
      </c>
      <c r="B331" s="4" t="s">
        <v>32</v>
      </c>
      <c r="C331" s="4" t="s">
        <v>23</v>
      </c>
      <c r="D331" s="4" t="s">
        <v>33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44562</v>
      </c>
      <c r="J331" s="6">
        <v>0</v>
      </c>
      <c r="K331" s="6">
        <v>0</v>
      </c>
      <c r="L331" s="6">
        <v>0.25900000000000001</v>
      </c>
      <c r="M331" s="6">
        <v>0.25900000000000001</v>
      </c>
      <c r="N331" s="6">
        <v>0.25900000000000001</v>
      </c>
      <c r="O331" s="6">
        <v>0.25900000000000001</v>
      </c>
      <c r="P331" s="6">
        <v>1</v>
      </c>
      <c r="Q331" s="4" t="s">
        <v>26</v>
      </c>
      <c r="R331" s="4">
        <v>0</v>
      </c>
      <c r="S331" s="6">
        <v>0</v>
      </c>
      <c r="T331" s="6">
        <v>46</v>
      </c>
      <c r="U331" s="6">
        <v>84</v>
      </c>
      <c r="V331" s="6">
        <f>IF(ISERROR(VLOOKUP($S$331,'TAR FIN'!$A$1:$O$88,15,0)),0,VLOOKUP($S$331,'TAR FIN'!$A$1:$O$88,15,0))</f>
        <v>0</v>
      </c>
      <c r="W331" s="6">
        <f>IF(ISERROR(VLOOKUP($T$331,'TAR FIN'!$A$1:$O$88,15,0)),0,VLOOKUP($T$331,'TAR FIN'!$A$1:$O$88,15,0))</f>
        <v>0</v>
      </c>
      <c r="X331" s="6">
        <f>IF(ISERROR(VLOOKUP($U$331,'TAR FIN'!$A$1:$O$88,15,0)),0,VLOOKUP($U$331,'TAR FIN'!$A$1:$O$88,15,0))</f>
        <v>0</v>
      </c>
      <c r="Y331" s="6"/>
      <c r="Z331" s="6">
        <f ca="1">('TUSD BE'!$AM$48+'TUSD BF_350'!$AM$48+'TUSD CVA'!$AM$48)*1</f>
        <v>310.49</v>
      </c>
      <c r="AA331" s="6">
        <f ca="1">('TE BE'!$AB$39+'TE BF_350'!$AB$39+'TE CVA'!$AB$39)*1</f>
        <v>262.52999999999997</v>
      </c>
      <c r="AB331" s="6">
        <f>$K$331*$V$331</f>
        <v>0</v>
      </c>
      <c r="AC331" s="6">
        <f>$M$331*$W$331</f>
        <v>0</v>
      </c>
      <c r="AD331" s="6">
        <f>$O$331*$X$331</f>
        <v>0</v>
      </c>
      <c r="AE331" s="6">
        <f>$K$331*$Y$331</f>
        <v>0</v>
      </c>
      <c r="AF331" s="6">
        <f ca="1">$M$331*$Z$331</f>
        <v>80.416910000000001</v>
      </c>
      <c r="AG331" s="6">
        <f ca="1">$O$331*$AA$331</f>
        <v>67.995269999999991</v>
      </c>
    </row>
    <row r="332" spans="1:33" ht="11.25" customHeight="1" x14ac:dyDescent="0.25">
      <c r="A332" s="4" t="s">
        <v>21</v>
      </c>
      <c r="B332" s="4" t="s">
        <v>32</v>
      </c>
      <c r="C332" s="4" t="s">
        <v>23</v>
      </c>
      <c r="D332" s="4" t="s">
        <v>33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44593</v>
      </c>
      <c r="J332" s="6">
        <v>0</v>
      </c>
      <c r="K332" s="6">
        <v>0</v>
      </c>
      <c r="L332" s="6">
        <v>103.97799999999999</v>
      </c>
      <c r="M332" s="6">
        <v>103.97799999999999</v>
      </c>
      <c r="N332" s="6">
        <v>103.97799999999999</v>
      </c>
      <c r="O332" s="6">
        <v>103.97799999999999</v>
      </c>
      <c r="P332" s="6">
        <v>76</v>
      </c>
      <c r="Q332" s="4" t="s">
        <v>26</v>
      </c>
      <c r="R332" s="4">
        <v>0</v>
      </c>
      <c r="S332" s="6">
        <v>0</v>
      </c>
      <c r="T332" s="6">
        <v>46</v>
      </c>
      <c r="U332" s="6">
        <v>84</v>
      </c>
      <c r="V332" s="6">
        <f>IF(ISERROR(VLOOKUP($S$332,'TAR FIN'!$A$1:$O$88,15,0)),0,VLOOKUP($S$332,'TAR FIN'!$A$1:$O$88,15,0))</f>
        <v>0</v>
      </c>
      <c r="W332" s="6">
        <f>IF(ISERROR(VLOOKUP($T$332,'TAR FIN'!$A$1:$O$88,15,0)),0,VLOOKUP($T$332,'TAR FIN'!$A$1:$O$88,15,0))</f>
        <v>0</v>
      </c>
      <c r="X332" s="6">
        <f>IF(ISERROR(VLOOKUP($U$332,'TAR FIN'!$A$1:$O$88,15,0)),0,VLOOKUP($U$332,'TAR FIN'!$A$1:$O$88,15,0))</f>
        <v>0</v>
      </c>
      <c r="Y332" s="6"/>
      <c r="Z332" s="6">
        <f ca="1">('TUSD BE'!$AM$48+'TUSD BF_350'!$AM$48+'TUSD CVA'!$AM$48)*1</f>
        <v>310.49</v>
      </c>
      <c r="AA332" s="6">
        <f ca="1">('TE BE'!$AB$39+'TE BF_350'!$AB$39+'TE CVA'!$AB$39)*1</f>
        <v>262.52999999999997</v>
      </c>
      <c r="AB332" s="6">
        <f>$K$332*$V$332</f>
        <v>0</v>
      </c>
      <c r="AC332" s="6">
        <f>$M$332*$W$332</f>
        <v>0</v>
      </c>
      <c r="AD332" s="6">
        <f>$O$332*$X$332</f>
        <v>0</v>
      </c>
      <c r="AE332" s="6">
        <f>$K$332*$Y$332</f>
        <v>0</v>
      </c>
      <c r="AF332" s="6">
        <f ca="1">$M$332*$Z$332</f>
        <v>32284.129219999999</v>
      </c>
      <c r="AG332" s="6">
        <f ca="1">$O$332*$AA$332</f>
        <v>27297.344339999996</v>
      </c>
    </row>
    <row r="333" spans="1:33" ht="11.25" customHeight="1" x14ac:dyDescent="0.25">
      <c r="A333" s="4" t="s">
        <v>27</v>
      </c>
      <c r="B333" s="4" t="s">
        <v>32</v>
      </c>
      <c r="C333" s="4" t="s">
        <v>23</v>
      </c>
      <c r="D333" s="4" t="s">
        <v>33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44593</v>
      </c>
      <c r="J333" s="6">
        <v>0</v>
      </c>
      <c r="K333" s="6">
        <v>0</v>
      </c>
      <c r="L333" s="6">
        <v>0.36499999999999999</v>
      </c>
      <c r="M333" s="6">
        <v>0.36499999999999999</v>
      </c>
      <c r="N333" s="6">
        <v>0.36499999999999999</v>
      </c>
      <c r="O333" s="6">
        <v>0.36499999999999999</v>
      </c>
      <c r="P333" s="6">
        <v>1</v>
      </c>
      <c r="Q333" s="4" t="s">
        <v>26</v>
      </c>
      <c r="R333" s="4">
        <v>0</v>
      </c>
      <c r="S333" s="6">
        <v>0</v>
      </c>
      <c r="T333" s="6">
        <v>46</v>
      </c>
      <c r="U333" s="6">
        <v>84</v>
      </c>
      <c r="V333" s="6">
        <f>IF(ISERROR(VLOOKUP($S$333,'TAR FIN'!$A$1:$O$88,15,0)),0,VLOOKUP($S$333,'TAR FIN'!$A$1:$O$88,15,0))</f>
        <v>0</v>
      </c>
      <c r="W333" s="6">
        <f>IF(ISERROR(VLOOKUP($T$333,'TAR FIN'!$A$1:$O$88,15,0)),0,VLOOKUP($T$333,'TAR FIN'!$A$1:$O$88,15,0))</f>
        <v>0</v>
      </c>
      <c r="X333" s="6">
        <f>IF(ISERROR(VLOOKUP($U$333,'TAR FIN'!$A$1:$O$88,15,0)),0,VLOOKUP($U$333,'TAR FIN'!$A$1:$O$88,15,0))</f>
        <v>0</v>
      </c>
      <c r="Y333" s="6"/>
      <c r="Z333" s="6">
        <f ca="1">('TUSD BE'!$AM$48+'TUSD BF_350'!$AM$48+'TUSD CVA'!$AM$48)*1</f>
        <v>310.49</v>
      </c>
      <c r="AA333" s="6">
        <f ca="1">('TE BE'!$AB$39+'TE BF_350'!$AB$39+'TE CVA'!$AB$39)*1</f>
        <v>262.52999999999997</v>
      </c>
      <c r="AB333" s="6">
        <f>$K$333*$V$333</f>
        <v>0</v>
      </c>
      <c r="AC333" s="6">
        <f>$M$333*$W$333</f>
        <v>0</v>
      </c>
      <c r="AD333" s="6">
        <f>$O$333*$X$333</f>
        <v>0</v>
      </c>
      <c r="AE333" s="6">
        <f>$K$333*$Y$333</f>
        <v>0</v>
      </c>
      <c r="AF333" s="6">
        <f ca="1">$M$333*$Z$333</f>
        <v>113.32885</v>
      </c>
      <c r="AG333" s="6">
        <f ca="1">$O$333*$AA$333</f>
        <v>95.823449999999994</v>
      </c>
    </row>
    <row r="334" spans="1:33" ht="11.25" customHeight="1" x14ac:dyDescent="0.25">
      <c r="A334" s="4" t="s">
        <v>21</v>
      </c>
      <c r="B334" s="4" t="s">
        <v>32</v>
      </c>
      <c r="C334" s="4" t="s">
        <v>23</v>
      </c>
      <c r="D334" s="4" t="s">
        <v>33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44621</v>
      </c>
      <c r="J334" s="6">
        <v>0</v>
      </c>
      <c r="K334" s="6">
        <v>0</v>
      </c>
      <c r="L334" s="6">
        <v>91.114000000000004</v>
      </c>
      <c r="M334" s="6">
        <v>91.114000000000004</v>
      </c>
      <c r="N334" s="6">
        <v>91.114000000000004</v>
      </c>
      <c r="O334" s="6">
        <v>91.114000000000004</v>
      </c>
      <c r="P334" s="6">
        <v>74</v>
      </c>
      <c r="Q334" s="4" t="s">
        <v>26</v>
      </c>
      <c r="R334" s="4">
        <v>0</v>
      </c>
      <c r="S334" s="6">
        <v>0</v>
      </c>
      <c r="T334" s="6">
        <v>46</v>
      </c>
      <c r="U334" s="6">
        <v>84</v>
      </c>
      <c r="V334" s="6">
        <f>IF(ISERROR(VLOOKUP($S$334,'TAR FIN'!$A$1:$O$88,15,0)),0,VLOOKUP($S$334,'TAR FIN'!$A$1:$O$88,15,0))</f>
        <v>0</v>
      </c>
      <c r="W334" s="6">
        <f>IF(ISERROR(VLOOKUP($T$334,'TAR FIN'!$A$1:$O$88,15,0)),0,VLOOKUP($T$334,'TAR FIN'!$A$1:$O$88,15,0))</f>
        <v>0</v>
      </c>
      <c r="X334" s="6">
        <f>IF(ISERROR(VLOOKUP($U$334,'TAR FIN'!$A$1:$O$88,15,0)),0,VLOOKUP($U$334,'TAR FIN'!$A$1:$O$88,15,0))</f>
        <v>0</v>
      </c>
      <c r="Y334" s="6"/>
      <c r="Z334" s="6">
        <f ca="1">('TUSD BE'!$AM$48+'TUSD BF_350'!$AM$48+'TUSD CVA'!$AM$48)*1</f>
        <v>310.49</v>
      </c>
      <c r="AA334" s="6">
        <f ca="1">('TE BE'!$AB$39+'TE BF_350'!$AB$39+'TE CVA'!$AB$39)*1</f>
        <v>262.52999999999997</v>
      </c>
      <c r="AB334" s="6">
        <f>$K$334*$V$334</f>
        <v>0</v>
      </c>
      <c r="AC334" s="6">
        <f>$M$334*$W$334</f>
        <v>0</v>
      </c>
      <c r="AD334" s="6">
        <f>$O$334*$X$334</f>
        <v>0</v>
      </c>
      <c r="AE334" s="6">
        <f>$K$334*$Y$334</f>
        <v>0</v>
      </c>
      <c r="AF334" s="6">
        <f ca="1">$M$334*$Z$334</f>
        <v>28289.985860000001</v>
      </c>
      <c r="AG334" s="6">
        <f ca="1">$O$334*$AA$334</f>
        <v>23920.15842</v>
      </c>
    </row>
    <row r="335" spans="1:33" ht="11.25" customHeight="1" x14ac:dyDescent="0.25">
      <c r="A335" s="4" t="s">
        <v>27</v>
      </c>
      <c r="B335" s="4" t="s">
        <v>32</v>
      </c>
      <c r="C335" s="4" t="s">
        <v>23</v>
      </c>
      <c r="D335" s="4" t="s">
        <v>33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44621</v>
      </c>
      <c r="J335" s="6">
        <v>0</v>
      </c>
      <c r="K335" s="6">
        <v>0</v>
      </c>
      <c r="L335" s="6">
        <v>0.1</v>
      </c>
      <c r="M335" s="6">
        <v>0.1</v>
      </c>
      <c r="N335" s="6">
        <v>0.1</v>
      </c>
      <c r="O335" s="6">
        <v>0.1</v>
      </c>
      <c r="P335" s="6">
        <v>1</v>
      </c>
      <c r="Q335" s="4" t="s">
        <v>26</v>
      </c>
      <c r="R335" s="4">
        <v>0</v>
      </c>
      <c r="S335" s="6">
        <v>0</v>
      </c>
      <c r="T335" s="6">
        <v>46</v>
      </c>
      <c r="U335" s="6">
        <v>84</v>
      </c>
      <c r="V335" s="6">
        <f>IF(ISERROR(VLOOKUP($S$335,'TAR FIN'!$A$1:$O$88,15,0)),0,VLOOKUP($S$335,'TAR FIN'!$A$1:$O$88,15,0))</f>
        <v>0</v>
      </c>
      <c r="W335" s="6">
        <f>IF(ISERROR(VLOOKUP($T$335,'TAR FIN'!$A$1:$O$88,15,0)),0,VLOOKUP($T$335,'TAR FIN'!$A$1:$O$88,15,0))</f>
        <v>0</v>
      </c>
      <c r="X335" s="6">
        <f>IF(ISERROR(VLOOKUP($U$335,'TAR FIN'!$A$1:$O$88,15,0)),0,VLOOKUP($U$335,'TAR FIN'!$A$1:$O$88,15,0))</f>
        <v>0</v>
      </c>
      <c r="Y335" s="6"/>
      <c r="Z335" s="6">
        <f ca="1">('TUSD BE'!$AM$48+'TUSD BF_350'!$AM$48+'TUSD CVA'!$AM$48)*1</f>
        <v>310.49</v>
      </c>
      <c r="AA335" s="6">
        <f ca="1">('TE BE'!$AB$39+'TE BF_350'!$AB$39+'TE CVA'!$AB$39)*1</f>
        <v>262.52999999999997</v>
      </c>
      <c r="AB335" s="6">
        <f>$K$335*$V$335</f>
        <v>0</v>
      </c>
      <c r="AC335" s="6">
        <f>$M$335*$W$335</f>
        <v>0</v>
      </c>
      <c r="AD335" s="6">
        <f>$O$335*$X$335</f>
        <v>0</v>
      </c>
      <c r="AE335" s="6">
        <f>$K$335*$Y$335</f>
        <v>0</v>
      </c>
      <c r="AF335" s="6">
        <f ca="1">$M$335*$Z$335</f>
        <v>31.049000000000003</v>
      </c>
      <c r="AG335" s="6">
        <f ca="1">$O$335*$AA$335</f>
        <v>26.253</v>
      </c>
    </row>
    <row r="336" spans="1:33" ht="11.25" customHeight="1" x14ac:dyDescent="0.25">
      <c r="A336" s="4" t="s">
        <v>21</v>
      </c>
      <c r="B336" s="4" t="s">
        <v>32</v>
      </c>
      <c r="C336" s="4" t="s">
        <v>23</v>
      </c>
      <c r="D336" s="4" t="s">
        <v>33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44652</v>
      </c>
      <c r="J336" s="6">
        <v>0</v>
      </c>
      <c r="K336" s="6">
        <v>0</v>
      </c>
      <c r="L336" s="6">
        <v>87.905000000000001</v>
      </c>
      <c r="M336" s="6">
        <v>87.905000000000001</v>
      </c>
      <c r="N336" s="6">
        <v>87.905000000000001</v>
      </c>
      <c r="O336" s="6">
        <v>87.905000000000001</v>
      </c>
      <c r="P336" s="6">
        <v>70</v>
      </c>
      <c r="Q336" s="4" t="s">
        <v>26</v>
      </c>
      <c r="R336" s="4">
        <v>0</v>
      </c>
      <c r="S336" s="6">
        <v>0</v>
      </c>
      <c r="T336" s="6">
        <v>46</v>
      </c>
      <c r="U336" s="6">
        <v>84</v>
      </c>
      <c r="V336" s="6">
        <f>IF(ISERROR(VLOOKUP($S$336,'TAR FIN'!$A$1:$O$88,15,0)),0,VLOOKUP($S$336,'TAR FIN'!$A$1:$O$88,15,0))</f>
        <v>0</v>
      </c>
      <c r="W336" s="6">
        <f>IF(ISERROR(VLOOKUP($T$336,'TAR FIN'!$A$1:$O$88,15,0)),0,VLOOKUP($T$336,'TAR FIN'!$A$1:$O$88,15,0))</f>
        <v>0</v>
      </c>
      <c r="X336" s="6">
        <f>IF(ISERROR(VLOOKUP($U$336,'TAR FIN'!$A$1:$O$88,15,0)),0,VLOOKUP($U$336,'TAR FIN'!$A$1:$O$88,15,0))</f>
        <v>0</v>
      </c>
      <c r="Y336" s="6"/>
      <c r="Z336" s="6">
        <f ca="1">('TUSD BE'!$AM$48+'TUSD BF_350'!$AM$48+'TUSD CVA'!$AM$48)*1</f>
        <v>310.49</v>
      </c>
      <c r="AA336" s="6">
        <f ca="1">('TE BE'!$AB$39+'TE BF_350'!$AB$39+'TE CVA'!$AB$39)*1</f>
        <v>262.52999999999997</v>
      </c>
      <c r="AB336" s="6">
        <f>$K$336*$V$336</f>
        <v>0</v>
      </c>
      <c r="AC336" s="6">
        <f>$M$336*$W$336</f>
        <v>0</v>
      </c>
      <c r="AD336" s="6">
        <f>$O$336*$X$336</f>
        <v>0</v>
      </c>
      <c r="AE336" s="6">
        <f>$K$336*$Y$336</f>
        <v>0</v>
      </c>
      <c r="AF336" s="6">
        <f ca="1">$M$336*$Z$336</f>
        <v>27293.623450000003</v>
      </c>
      <c r="AG336" s="6">
        <f ca="1">$O$336*$AA$336</f>
        <v>23077.699649999999</v>
      </c>
    </row>
    <row r="337" spans="1:33" ht="11.25" customHeight="1" x14ac:dyDescent="0.25">
      <c r="A337" s="4" t="s">
        <v>27</v>
      </c>
      <c r="B337" s="4" t="s">
        <v>32</v>
      </c>
      <c r="C337" s="4" t="s">
        <v>23</v>
      </c>
      <c r="D337" s="4" t="s">
        <v>33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44652</v>
      </c>
      <c r="J337" s="6">
        <v>0</v>
      </c>
      <c r="K337" s="6">
        <v>0</v>
      </c>
      <c r="L337" s="6">
        <v>0.1</v>
      </c>
      <c r="M337" s="6">
        <v>0.1</v>
      </c>
      <c r="N337" s="6">
        <v>0.1</v>
      </c>
      <c r="O337" s="6">
        <v>0.1</v>
      </c>
      <c r="P337" s="6">
        <v>1</v>
      </c>
      <c r="Q337" s="4" t="s">
        <v>26</v>
      </c>
      <c r="R337" s="4">
        <v>0</v>
      </c>
      <c r="S337" s="6">
        <v>0</v>
      </c>
      <c r="T337" s="6">
        <v>46</v>
      </c>
      <c r="U337" s="6">
        <v>84</v>
      </c>
      <c r="V337" s="6">
        <f>IF(ISERROR(VLOOKUP($S$337,'TAR FIN'!$A$1:$O$88,15,0)),0,VLOOKUP($S$337,'TAR FIN'!$A$1:$O$88,15,0))</f>
        <v>0</v>
      </c>
      <c r="W337" s="6">
        <f>IF(ISERROR(VLOOKUP($T$337,'TAR FIN'!$A$1:$O$88,15,0)),0,VLOOKUP($T$337,'TAR FIN'!$A$1:$O$88,15,0))</f>
        <v>0</v>
      </c>
      <c r="X337" s="6">
        <f>IF(ISERROR(VLOOKUP($U$337,'TAR FIN'!$A$1:$O$88,15,0)),0,VLOOKUP($U$337,'TAR FIN'!$A$1:$O$88,15,0))</f>
        <v>0</v>
      </c>
      <c r="Y337" s="6"/>
      <c r="Z337" s="6">
        <f ca="1">('TUSD BE'!$AM$48+'TUSD BF_350'!$AM$48+'TUSD CVA'!$AM$48)*1</f>
        <v>310.49</v>
      </c>
      <c r="AA337" s="6">
        <f ca="1">('TE BE'!$AB$39+'TE BF_350'!$AB$39+'TE CVA'!$AB$39)*1</f>
        <v>262.52999999999997</v>
      </c>
      <c r="AB337" s="6">
        <f>$K$337*$V$337</f>
        <v>0</v>
      </c>
      <c r="AC337" s="6">
        <f>$M$337*$W$337</f>
        <v>0</v>
      </c>
      <c r="AD337" s="6">
        <f>$O$337*$X$337</f>
        <v>0</v>
      </c>
      <c r="AE337" s="6">
        <f>$K$337*$Y$337</f>
        <v>0</v>
      </c>
      <c r="AF337" s="6">
        <f ca="1">$M$337*$Z$337</f>
        <v>31.049000000000003</v>
      </c>
      <c r="AG337" s="6">
        <f ca="1">$O$337*$AA$337</f>
        <v>26.253</v>
      </c>
    </row>
    <row r="338" spans="1:33" ht="11.25" customHeight="1" x14ac:dyDescent="0.25">
      <c r="A338" s="4" t="s">
        <v>21</v>
      </c>
      <c r="B338" s="4" t="s">
        <v>32</v>
      </c>
      <c r="C338" s="4" t="s">
        <v>23</v>
      </c>
      <c r="D338" s="4" t="s">
        <v>33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44682</v>
      </c>
      <c r="J338" s="6">
        <v>0</v>
      </c>
      <c r="K338" s="6">
        <v>0</v>
      </c>
      <c r="L338" s="6">
        <v>94.152000000000001</v>
      </c>
      <c r="M338" s="6">
        <v>94.152000000000001</v>
      </c>
      <c r="N338" s="6">
        <v>94.152000000000001</v>
      </c>
      <c r="O338" s="6">
        <v>94.152000000000001</v>
      </c>
      <c r="P338" s="6">
        <v>68</v>
      </c>
      <c r="Q338" s="4" t="s">
        <v>26</v>
      </c>
      <c r="R338" s="4">
        <v>0</v>
      </c>
      <c r="S338" s="6">
        <v>0</v>
      </c>
      <c r="T338" s="6">
        <v>46</v>
      </c>
      <c r="U338" s="6">
        <v>84</v>
      </c>
      <c r="V338" s="6">
        <f>IF(ISERROR(VLOOKUP($S$338,'TAR FIN'!$A$1:$O$88,15,0)),0,VLOOKUP($S$338,'TAR FIN'!$A$1:$O$88,15,0))</f>
        <v>0</v>
      </c>
      <c r="W338" s="6">
        <f>IF(ISERROR(VLOOKUP($T$338,'TAR FIN'!$A$1:$O$88,15,0)),0,VLOOKUP($T$338,'TAR FIN'!$A$1:$O$88,15,0))</f>
        <v>0</v>
      </c>
      <c r="X338" s="6">
        <f>IF(ISERROR(VLOOKUP($U$338,'TAR FIN'!$A$1:$O$88,15,0)),0,VLOOKUP($U$338,'TAR FIN'!$A$1:$O$88,15,0))</f>
        <v>0</v>
      </c>
      <c r="Y338" s="6"/>
      <c r="Z338" s="6">
        <f ca="1">('TUSD BE'!$AM$48+'TUSD BF_350'!$AM$48+'TUSD CVA'!$AM$48)*1</f>
        <v>310.49</v>
      </c>
      <c r="AA338" s="6">
        <f ca="1">('TE BE'!$AB$39+'TE BF_350'!$AB$39+'TE CVA'!$AB$39)*1</f>
        <v>262.52999999999997</v>
      </c>
      <c r="AB338" s="6">
        <f>$K$338*$V$338</f>
        <v>0</v>
      </c>
      <c r="AC338" s="6">
        <f>$M$338*$W$338</f>
        <v>0</v>
      </c>
      <c r="AD338" s="6">
        <f>$O$338*$X$338</f>
        <v>0</v>
      </c>
      <c r="AE338" s="6">
        <f>$K$338*$Y$338</f>
        <v>0</v>
      </c>
      <c r="AF338" s="6">
        <f ca="1">$M$338*$Z$338</f>
        <v>29233.25448</v>
      </c>
      <c r="AG338" s="6">
        <f ca="1">$O$338*$AA$338</f>
        <v>24717.724559999999</v>
      </c>
    </row>
    <row r="339" spans="1:33" ht="11.25" customHeight="1" x14ac:dyDescent="0.25">
      <c r="A339" s="4" t="s">
        <v>27</v>
      </c>
      <c r="B339" s="4" t="s">
        <v>32</v>
      </c>
      <c r="C339" s="4" t="s">
        <v>23</v>
      </c>
      <c r="D339" s="4" t="s">
        <v>33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44682</v>
      </c>
      <c r="J339" s="6">
        <v>0</v>
      </c>
      <c r="K339" s="6">
        <v>0</v>
      </c>
      <c r="L339" s="6">
        <v>0.19400000000000001</v>
      </c>
      <c r="M339" s="6">
        <v>0.19400000000000001</v>
      </c>
      <c r="N339" s="6">
        <v>0.19400000000000001</v>
      </c>
      <c r="O339" s="6">
        <v>0.19400000000000001</v>
      </c>
      <c r="P339" s="6">
        <v>1</v>
      </c>
      <c r="Q339" s="4" t="s">
        <v>26</v>
      </c>
      <c r="R339" s="4">
        <v>0</v>
      </c>
      <c r="S339" s="6">
        <v>0</v>
      </c>
      <c r="T339" s="6">
        <v>46</v>
      </c>
      <c r="U339" s="6">
        <v>84</v>
      </c>
      <c r="V339" s="6">
        <f>IF(ISERROR(VLOOKUP($S$339,'TAR FIN'!$A$1:$O$88,15,0)),0,VLOOKUP($S$339,'TAR FIN'!$A$1:$O$88,15,0))</f>
        <v>0</v>
      </c>
      <c r="W339" s="6">
        <f>IF(ISERROR(VLOOKUP($T$339,'TAR FIN'!$A$1:$O$88,15,0)),0,VLOOKUP($T$339,'TAR FIN'!$A$1:$O$88,15,0))</f>
        <v>0</v>
      </c>
      <c r="X339" s="6">
        <f>IF(ISERROR(VLOOKUP($U$339,'TAR FIN'!$A$1:$O$88,15,0)),0,VLOOKUP($U$339,'TAR FIN'!$A$1:$O$88,15,0))</f>
        <v>0</v>
      </c>
      <c r="Y339" s="6"/>
      <c r="Z339" s="6">
        <f ca="1">('TUSD BE'!$AM$48+'TUSD BF_350'!$AM$48+'TUSD CVA'!$AM$48)*1</f>
        <v>310.49</v>
      </c>
      <c r="AA339" s="6">
        <f ca="1">('TE BE'!$AB$39+'TE BF_350'!$AB$39+'TE CVA'!$AB$39)*1</f>
        <v>262.52999999999997</v>
      </c>
      <c r="AB339" s="6">
        <f>$K$339*$V$339</f>
        <v>0</v>
      </c>
      <c r="AC339" s="6">
        <f>$M$339*$W$339</f>
        <v>0</v>
      </c>
      <c r="AD339" s="6">
        <f>$O$339*$X$339</f>
        <v>0</v>
      </c>
      <c r="AE339" s="6">
        <f>$K$339*$Y$339</f>
        <v>0</v>
      </c>
      <c r="AF339" s="6">
        <f ca="1">$M$339*$Z$339</f>
        <v>60.235060000000004</v>
      </c>
      <c r="AG339" s="6">
        <f ca="1">$O$339*$AA$339</f>
        <v>50.930819999999997</v>
      </c>
    </row>
    <row r="340" spans="1:33" ht="11.25" customHeight="1" x14ac:dyDescent="0.25">
      <c r="A340" s="4" t="s">
        <v>21</v>
      </c>
      <c r="B340" s="4" t="s">
        <v>32</v>
      </c>
      <c r="C340" s="4" t="s">
        <v>23</v>
      </c>
      <c r="D340" s="4" t="s">
        <v>33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44713</v>
      </c>
      <c r="J340" s="6">
        <v>0</v>
      </c>
      <c r="K340" s="6">
        <v>0</v>
      </c>
      <c r="L340" s="6">
        <v>86.853999999999999</v>
      </c>
      <c r="M340" s="6">
        <v>86.853999999999999</v>
      </c>
      <c r="N340" s="6">
        <v>86.853999999999999</v>
      </c>
      <c r="O340" s="6">
        <v>86.853999999999999</v>
      </c>
      <c r="P340" s="6">
        <v>68</v>
      </c>
      <c r="Q340" s="4" t="s">
        <v>26</v>
      </c>
      <c r="R340" s="4">
        <v>0</v>
      </c>
      <c r="S340" s="6">
        <v>0</v>
      </c>
      <c r="T340" s="6">
        <v>46</v>
      </c>
      <c r="U340" s="6">
        <v>84</v>
      </c>
      <c r="V340" s="6">
        <f>IF(ISERROR(VLOOKUP($S$340,'TAR FIN'!$A$1:$O$88,15,0)),0,VLOOKUP($S$340,'TAR FIN'!$A$1:$O$88,15,0))</f>
        <v>0</v>
      </c>
      <c r="W340" s="6">
        <f>IF(ISERROR(VLOOKUP($T$340,'TAR FIN'!$A$1:$O$88,15,0)),0,VLOOKUP($T$340,'TAR FIN'!$A$1:$O$88,15,0))</f>
        <v>0</v>
      </c>
      <c r="X340" s="6">
        <f>IF(ISERROR(VLOOKUP($U$340,'TAR FIN'!$A$1:$O$88,15,0)),0,VLOOKUP($U$340,'TAR FIN'!$A$1:$O$88,15,0))</f>
        <v>0</v>
      </c>
      <c r="Y340" s="6"/>
      <c r="Z340" s="6">
        <f ca="1">('TUSD BE'!$AM$48+'TUSD BF_350'!$AM$48+'TUSD CVA'!$AM$48)*1</f>
        <v>310.49</v>
      </c>
      <c r="AA340" s="6">
        <f ca="1">('TE BE'!$AB$39+'TE BF_350'!$AB$39+'TE CVA'!$AB$39)*1</f>
        <v>262.52999999999997</v>
      </c>
      <c r="AB340" s="6">
        <f>$K$340*$V$340</f>
        <v>0</v>
      </c>
      <c r="AC340" s="6">
        <f>$M$340*$W$340</f>
        <v>0</v>
      </c>
      <c r="AD340" s="6">
        <f>$O$340*$X$340</f>
        <v>0</v>
      </c>
      <c r="AE340" s="6">
        <f>$K$340*$Y$340</f>
        <v>0</v>
      </c>
      <c r="AF340" s="6">
        <f ca="1">$M$340*$Z$340</f>
        <v>26967.298460000002</v>
      </c>
      <c r="AG340" s="6">
        <f ca="1">$O$340*$AA$340</f>
        <v>22801.780619999998</v>
      </c>
    </row>
    <row r="341" spans="1:33" ht="11.25" customHeight="1" x14ac:dyDescent="0.25">
      <c r="A341" s="4" t="s">
        <v>27</v>
      </c>
      <c r="B341" s="4" t="s">
        <v>32</v>
      </c>
      <c r="C341" s="4" t="s">
        <v>23</v>
      </c>
      <c r="D341" s="4" t="s">
        <v>33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44713</v>
      </c>
      <c r="J341" s="6">
        <v>0</v>
      </c>
      <c r="K341" s="6">
        <v>0</v>
      </c>
      <c r="L341" s="6">
        <v>0.115</v>
      </c>
      <c r="M341" s="6">
        <v>0.115</v>
      </c>
      <c r="N341" s="6">
        <v>0.115</v>
      </c>
      <c r="O341" s="6">
        <v>0.115</v>
      </c>
      <c r="P341" s="6">
        <v>1</v>
      </c>
      <c r="Q341" s="4" t="s">
        <v>26</v>
      </c>
      <c r="R341" s="4">
        <v>0</v>
      </c>
      <c r="S341" s="6">
        <v>0</v>
      </c>
      <c r="T341" s="6">
        <v>46</v>
      </c>
      <c r="U341" s="6">
        <v>84</v>
      </c>
      <c r="V341" s="6">
        <f>IF(ISERROR(VLOOKUP($S$341,'TAR FIN'!$A$1:$O$88,15,0)),0,VLOOKUP($S$341,'TAR FIN'!$A$1:$O$88,15,0))</f>
        <v>0</v>
      </c>
      <c r="W341" s="6">
        <f>IF(ISERROR(VLOOKUP($T$341,'TAR FIN'!$A$1:$O$88,15,0)),0,VLOOKUP($T$341,'TAR FIN'!$A$1:$O$88,15,0))</f>
        <v>0</v>
      </c>
      <c r="X341" s="6">
        <f>IF(ISERROR(VLOOKUP($U$341,'TAR FIN'!$A$1:$O$88,15,0)),0,VLOOKUP($U$341,'TAR FIN'!$A$1:$O$88,15,0))</f>
        <v>0</v>
      </c>
      <c r="Y341" s="6"/>
      <c r="Z341" s="6">
        <f ca="1">('TUSD BE'!$AM$48+'TUSD BF_350'!$AM$48+'TUSD CVA'!$AM$48)*1</f>
        <v>310.49</v>
      </c>
      <c r="AA341" s="6">
        <f ca="1">('TE BE'!$AB$39+'TE BF_350'!$AB$39+'TE CVA'!$AB$39)*1</f>
        <v>262.52999999999997</v>
      </c>
      <c r="AB341" s="6">
        <f>$K$341*$V$341</f>
        <v>0</v>
      </c>
      <c r="AC341" s="6">
        <f>$M$341*$W$341</f>
        <v>0</v>
      </c>
      <c r="AD341" s="6">
        <f>$O$341*$X$341</f>
        <v>0</v>
      </c>
      <c r="AE341" s="6">
        <f>$K$341*$Y$341</f>
        <v>0</v>
      </c>
      <c r="AF341" s="6">
        <f ca="1">$M$341*$Z$341</f>
        <v>35.70635</v>
      </c>
      <c r="AG341" s="6">
        <f ca="1">$O$341*$AA$341</f>
        <v>30.190949999999997</v>
      </c>
    </row>
    <row r="342" spans="1:33" ht="11.25" customHeight="1" x14ac:dyDescent="0.25">
      <c r="A342" s="4" t="s">
        <v>21</v>
      </c>
      <c r="B342" s="4" t="s">
        <v>32</v>
      </c>
      <c r="C342" s="4" t="s">
        <v>23</v>
      </c>
      <c r="D342" s="4" t="s">
        <v>33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44743</v>
      </c>
      <c r="J342" s="6">
        <v>0</v>
      </c>
      <c r="K342" s="6">
        <v>0</v>
      </c>
      <c r="L342" s="6">
        <v>90.668000000000006</v>
      </c>
      <c r="M342" s="6">
        <v>90.668000000000006</v>
      </c>
      <c r="N342" s="6">
        <v>90.668000000000006</v>
      </c>
      <c r="O342" s="6">
        <v>90.668000000000006</v>
      </c>
      <c r="P342" s="6">
        <v>69</v>
      </c>
      <c r="Q342" s="4" t="s">
        <v>26</v>
      </c>
      <c r="R342" s="4">
        <v>0</v>
      </c>
      <c r="S342" s="6">
        <v>0</v>
      </c>
      <c r="T342" s="6">
        <v>46</v>
      </c>
      <c r="U342" s="6">
        <v>84</v>
      </c>
      <c r="V342" s="6">
        <f>IF(ISERROR(VLOOKUP($S$342,'TAR FIN'!$A$1:$O$88,15,0)),0,VLOOKUP($S$342,'TAR FIN'!$A$1:$O$88,15,0))</f>
        <v>0</v>
      </c>
      <c r="W342" s="6">
        <f>IF(ISERROR(VLOOKUP($T$342,'TAR FIN'!$A$1:$O$88,15,0)),0,VLOOKUP($T$342,'TAR FIN'!$A$1:$O$88,15,0))</f>
        <v>0</v>
      </c>
      <c r="X342" s="6">
        <f>IF(ISERROR(VLOOKUP($U$342,'TAR FIN'!$A$1:$O$88,15,0)),0,VLOOKUP($U$342,'TAR FIN'!$A$1:$O$88,15,0))</f>
        <v>0</v>
      </c>
      <c r="Y342" s="6"/>
      <c r="Z342" s="6">
        <f ca="1">('TUSD BE'!$AM$48+'TUSD BF_350'!$AM$48+'TUSD CVA'!$AM$48)*1</f>
        <v>310.49</v>
      </c>
      <c r="AA342" s="6">
        <f ca="1">('TE BE'!$AB$39+'TE BF_350'!$AB$39+'TE CVA'!$AB$39)*1</f>
        <v>262.52999999999997</v>
      </c>
      <c r="AB342" s="6">
        <f>$K$342*$V$342</f>
        <v>0</v>
      </c>
      <c r="AC342" s="6">
        <f>$M$342*$W$342</f>
        <v>0</v>
      </c>
      <c r="AD342" s="6">
        <f>$O$342*$X$342</f>
        <v>0</v>
      </c>
      <c r="AE342" s="6">
        <f>$K$342*$Y$342</f>
        <v>0</v>
      </c>
      <c r="AF342" s="6">
        <f ca="1">$M$342*$Z$342</f>
        <v>28151.507320000004</v>
      </c>
      <c r="AG342" s="6">
        <f ca="1">$O$342*$AA$342</f>
        <v>23803.070039999999</v>
      </c>
    </row>
    <row r="343" spans="1:33" ht="11.25" customHeight="1" x14ac:dyDescent="0.25">
      <c r="A343" s="4" t="s">
        <v>27</v>
      </c>
      <c r="B343" s="4" t="s">
        <v>32</v>
      </c>
      <c r="C343" s="4" t="s">
        <v>23</v>
      </c>
      <c r="D343" s="4" t="s">
        <v>33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44743</v>
      </c>
      <c r="J343" s="6">
        <v>0</v>
      </c>
      <c r="K343" s="6">
        <v>0</v>
      </c>
      <c r="L343" s="6">
        <v>2.4089999999999998</v>
      </c>
      <c r="M343" s="6">
        <v>2.4089999999999998</v>
      </c>
      <c r="N343" s="6">
        <v>2.4089999999999998</v>
      </c>
      <c r="O343" s="6">
        <v>2.4089999999999998</v>
      </c>
      <c r="P343" s="6">
        <v>2</v>
      </c>
      <c r="Q343" s="4" t="s">
        <v>26</v>
      </c>
      <c r="R343" s="4">
        <v>0</v>
      </c>
      <c r="S343" s="6">
        <v>0</v>
      </c>
      <c r="T343" s="6">
        <v>46</v>
      </c>
      <c r="U343" s="6">
        <v>84</v>
      </c>
      <c r="V343" s="6">
        <f>IF(ISERROR(VLOOKUP($S$343,'TAR FIN'!$A$1:$O$88,15,0)),0,VLOOKUP($S$343,'TAR FIN'!$A$1:$O$88,15,0))</f>
        <v>0</v>
      </c>
      <c r="W343" s="6">
        <f>IF(ISERROR(VLOOKUP($T$343,'TAR FIN'!$A$1:$O$88,15,0)),0,VLOOKUP($T$343,'TAR FIN'!$A$1:$O$88,15,0))</f>
        <v>0</v>
      </c>
      <c r="X343" s="6">
        <f>IF(ISERROR(VLOOKUP($U$343,'TAR FIN'!$A$1:$O$88,15,0)),0,VLOOKUP($U$343,'TAR FIN'!$A$1:$O$88,15,0))</f>
        <v>0</v>
      </c>
      <c r="Y343" s="6"/>
      <c r="Z343" s="6">
        <f ca="1">('TUSD BE'!$AM$48+'TUSD BF_350'!$AM$48+'TUSD CVA'!$AM$48)*1</f>
        <v>310.49</v>
      </c>
      <c r="AA343" s="6">
        <f ca="1">('TE BE'!$AB$39+'TE BF_350'!$AB$39+'TE CVA'!$AB$39)*1</f>
        <v>262.52999999999997</v>
      </c>
      <c r="AB343" s="6">
        <f>$K$343*$V$343</f>
        <v>0</v>
      </c>
      <c r="AC343" s="6">
        <f>$M$343*$W$343</f>
        <v>0</v>
      </c>
      <c r="AD343" s="6">
        <f>$O$343*$X$343</f>
        <v>0</v>
      </c>
      <c r="AE343" s="6">
        <f>$K$343*$Y$343</f>
        <v>0</v>
      </c>
      <c r="AF343" s="6">
        <f ca="1">$M$343*$Z$343</f>
        <v>747.97041000000002</v>
      </c>
      <c r="AG343" s="6">
        <f ca="1">$O$343*$AA$343</f>
        <v>632.43476999999984</v>
      </c>
    </row>
    <row r="344" spans="1:33" ht="11.25" customHeight="1" x14ac:dyDescent="0.25">
      <c r="A344" s="4" t="s">
        <v>21</v>
      </c>
      <c r="B344" s="4" t="s">
        <v>32</v>
      </c>
      <c r="C344" s="4" t="s">
        <v>23</v>
      </c>
      <c r="D344" s="4" t="s">
        <v>43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44409</v>
      </c>
      <c r="J344" s="6">
        <v>0</v>
      </c>
      <c r="K344" s="6">
        <v>0</v>
      </c>
      <c r="L344" s="6">
        <v>32.207000000000001</v>
      </c>
      <c r="M344" s="6">
        <v>32.207000000000001</v>
      </c>
      <c r="N344" s="6">
        <v>32.207000000000001</v>
      </c>
      <c r="O344" s="6">
        <v>32.207000000000001</v>
      </c>
      <c r="P344" s="6">
        <v>51</v>
      </c>
      <c r="Q344" s="4" t="s">
        <v>26</v>
      </c>
      <c r="R344" s="4">
        <v>0</v>
      </c>
      <c r="S344" s="6">
        <v>0</v>
      </c>
      <c r="T344" s="6">
        <v>46</v>
      </c>
      <c r="U344" s="6">
        <v>84</v>
      </c>
      <c r="V344" s="6">
        <f>IF(ISERROR(VLOOKUP($S$344,'TAR FIN'!$A$1:$O$88,15,0)),0,VLOOKUP($S$344,'TAR FIN'!$A$1:$O$88,15,0))</f>
        <v>0</v>
      </c>
      <c r="W344" s="6">
        <f>IF(ISERROR(VLOOKUP($T$344,'TAR FIN'!$A$1:$O$88,15,0)),0,VLOOKUP($T$344,'TAR FIN'!$A$1:$O$88,15,0))</f>
        <v>0</v>
      </c>
      <c r="X344" s="6">
        <f>IF(ISERROR(VLOOKUP($U$344,'TAR FIN'!$A$1:$O$88,15,0)),0,VLOOKUP($U$344,'TAR FIN'!$A$1:$O$88,15,0))</f>
        <v>0</v>
      </c>
      <c r="Y344" s="6"/>
      <c r="Z344" s="6">
        <f ca="1">('TUSD BE'!$AM$48+'TUSD BF_350'!$AM$48+'TUSD CVA'!$AM$48)*1</f>
        <v>310.49</v>
      </c>
      <c r="AA344" s="6">
        <f ca="1">('TE BE'!$AB$39+'TE BF_350'!$AB$39+'TE CVA'!$AB$39)*1</f>
        <v>262.52999999999997</v>
      </c>
      <c r="AB344" s="6">
        <f>$K$344*$V$344</f>
        <v>0</v>
      </c>
      <c r="AC344" s="6">
        <f>$M$344*$W$344</f>
        <v>0</v>
      </c>
      <c r="AD344" s="6">
        <f>$O$344*$X$344</f>
        <v>0</v>
      </c>
      <c r="AE344" s="6">
        <f>$K$344*$Y$344</f>
        <v>0</v>
      </c>
      <c r="AF344" s="6">
        <f ca="1">$M$344*$Z$344</f>
        <v>9999.951430000001</v>
      </c>
      <c r="AG344" s="6">
        <f ca="1">$O$344*$AA$344</f>
        <v>8455.3037100000001</v>
      </c>
    </row>
    <row r="345" spans="1:33" ht="11.25" customHeight="1" x14ac:dyDescent="0.25">
      <c r="A345" s="4" t="s">
        <v>21</v>
      </c>
      <c r="B345" s="4" t="s">
        <v>32</v>
      </c>
      <c r="C345" s="4" t="s">
        <v>23</v>
      </c>
      <c r="D345" s="4" t="s">
        <v>43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44440</v>
      </c>
      <c r="J345" s="6">
        <v>0</v>
      </c>
      <c r="K345" s="6">
        <v>0</v>
      </c>
      <c r="L345" s="6">
        <v>29.888999999999999</v>
      </c>
      <c r="M345" s="6">
        <v>29.888999999999999</v>
      </c>
      <c r="N345" s="6">
        <v>29.888999999999999</v>
      </c>
      <c r="O345" s="6">
        <v>29.888999999999999</v>
      </c>
      <c r="P345" s="6">
        <v>51</v>
      </c>
      <c r="Q345" s="4" t="s">
        <v>26</v>
      </c>
      <c r="R345" s="4">
        <v>0</v>
      </c>
      <c r="S345" s="6">
        <v>0</v>
      </c>
      <c r="T345" s="6">
        <v>46</v>
      </c>
      <c r="U345" s="6">
        <v>84</v>
      </c>
      <c r="V345" s="6">
        <f>IF(ISERROR(VLOOKUP($S$345,'TAR FIN'!$A$1:$O$88,15,0)),0,VLOOKUP($S$345,'TAR FIN'!$A$1:$O$88,15,0))</f>
        <v>0</v>
      </c>
      <c r="W345" s="6">
        <f>IF(ISERROR(VLOOKUP($T$345,'TAR FIN'!$A$1:$O$88,15,0)),0,VLOOKUP($T$345,'TAR FIN'!$A$1:$O$88,15,0))</f>
        <v>0</v>
      </c>
      <c r="X345" s="6">
        <f>IF(ISERROR(VLOOKUP($U$345,'TAR FIN'!$A$1:$O$88,15,0)),0,VLOOKUP($U$345,'TAR FIN'!$A$1:$O$88,15,0))</f>
        <v>0</v>
      </c>
      <c r="Y345" s="6"/>
      <c r="Z345" s="6">
        <f ca="1">('TUSD BE'!$AM$48+'TUSD BF_350'!$AM$48+'TUSD CVA'!$AM$48)*1</f>
        <v>310.49</v>
      </c>
      <c r="AA345" s="6">
        <f ca="1">('TE BE'!$AB$39+'TE BF_350'!$AB$39+'TE CVA'!$AB$39)*1</f>
        <v>262.52999999999997</v>
      </c>
      <c r="AB345" s="6">
        <f>$K$345*$V$345</f>
        <v>0</v>
      </c>
      <c r="AC345" s="6">
        <f>$M$345*$W$345</f>
        <v>0</v>
      </c>
      <c r="AD345" s="6">
        <f>$O$345*$X$345</f>
        <v>0</v>
      </c>
      <c r="AE345" s="6">
        <f>$K$345*$Y$345</f>
        <v>0</v>
      </c>
      <c r="AF345" s="6">
        <f ca="1">$M$345*$Z$345</f>
        <v>9280.2356099999997</v>
      </c>
      <c r="AG345" s="6">
        <f ca="1">$O$345*$AA$345</f>
        <v>7846.7591699999994</v>
      </c>
    </row>
    <row r="346" spans="1:33" ht="11.25" customHeight="1" x14ac:dyDescent="0.25">
      <c r="A346" s="4" t="s">
        <v>21</v>
      </c>
      <c r="B346" s="4" t="s">
        <v>32</v>
      </c>
      <c r="C346" s="4" t="s">
        <v>23</v>
      </c>
      <c r="D346" s="4" t="s">
        <v>43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44470</v>
      </c>
      <c r="J346" s="6">
        <v>0</v>
      </c>
      <c r="K346" s="6">
        <v>0</v>
      </c>
      <c r="L346" s="6">
        <v>33.018000000000001</v>
      </c>
      <c r="M346" s="6">
        <v>33.018000000000001</v>
      </c>
      <c r="N346" s="6">
        <v>33.018000000000001</v>
      </c>
      <c r="O346" s="6">
        <v>33.018000000000001</v>
      </c>
      <c r="P346" s="6">
        <v>51</v>
      </c>
      <c r="Q346" s="4" t="s">
        <v>26</v>
      </c>
      <c r="R346" s="4">
        <v>0</v>
      </c>
      <c r="S346" s="6">
        <v>0</v>
      </c>
      <c r="T346" s="6">
        <v>46</v>
      </c>
      <c r="U346" s="6">
        <v>84</v>
      </c>
      <c r="V346" s="6">
        <f>IF(ISERROR(VLOOKUP($S$346,'TAR FIN'!$A$1:$O$88,15,0)),0,VLOOKUP($S$346,'TAR FIN'!$A$1:$O$88,15,0))</f>
        <v>0</v>
      </c>
      <c r="W346" s="6">
        <f>IF(ISERROR(VLOOKUP($T$346,'TAR FIN'!$A$1:$O$88,15,0)),0,VLOOKUP($T$346,'TAR FIN'!$A$1:$O$88,15,0))</f>
        <v>0</v>
      </c>
      <c r="X346" s="6">
        <f>IF(ISERROR(VLOOKUP($U$346,'TAR FIN'!$A$1:$O$88,15,0)),0,VLOOKUP($U$346,'TAR FIN'!$A$1:$O$88,15,0))</f>
        <v>0</v>
      </c>
      <c r="Y346" s="6"/>
      <c r="Z346" s="6">
        <f ca="1">('TUSD BE'!$AM$48+'TUSD BF_350'!$AM$48+'TUSD CVA'!$AM$48)*1</f>
        <v>310.49</v>
      </c>
      <c r="AA346" s="6">
        <f ca="1">('TE BE'!$AB$39+'TE BF_350'!$AB$39+'TE CVA'!$AB$39)*1</f>
        <v>262.52999999999997</v>
      </c>
      <c r="AB346" s="6">
        <f>$K$346*$V$346</f>
        <v>0</v>
      </c>
      <c r="AC346" s="6">
        <f>$M$346*$W$346</f>
        <v>0</v>
      </c>
      <c r="AD346" s="6">
        <f>$O$346*$X$346</f>
        <v>0</v>
      </c>
      <c r="AE346" s="6">
        <f>$K$346*$Y$346</f>
        <v>0</v>
      </c>
      <c r="AF346" s="6">
        <f ca="1">$M$346*$Z$346</f>
        <v>10251.758820000001</v>
      </c>
      <c r="AG346" s="6">
        <f ca="1">$O$346*$AA$346</f>
        <v>8668.2155399999992</v>
      </c>
    </row>
    <row r="347" spans="1:33" ht="11.25" customHeight="1" x14ac:dyDescent="0.25">
      <c r="A347" s="4" t="s">
        <v>21</v>
      </c>
      <c r="B347" s="4" t="s">
        <v>32</v>
      </c>
      <c r="C347" s="4" t="s">
        <v>23</v>
      </c>
      <c r="D347" s="4" t="s">
        <v>43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44501</v>
      </c>
      <c r="J347" s="6">
        <v>0</v>
      </c>
      <c r="K347" s="6">
        <v>0</v>
      </c>
      <c r="L347" s="6">
        <v>30.91</v>
      </c>
      <c r="M347" s="6">
        <v>30.91</v>
      </c>
      <c r="N347" s="6">
        <v>30.91</v>
      </c>
      <c r="O347" s="6">
        <v>30.91</v>
      </c>
      <c r="P347" s="6">
        <v>51</v>
      </c>
      <c r="Q347" s="4" t="s">
        <v>26</v>
      </c>
      <c r="R347" s="4">
        <v>0</v>
      </c>
      <c r="S347" s="6">
        <v>0</v>
      </c>
      <c r="T347" s="6">
        <v>46</v>
      </c>
      <c r="U347" s="6">
        <v>84</v>
      </c>
      <c r="V347" s="6">
        <f>IF(ISERROR(VLOOKUP($S$347,'TAR FIN'!$A$1:$O$88,15,0)),0,VLOOKUP($S$347,'TAR FIN'!$A$1:$O$88,15,0))</f>
        <v>0</v>
      </c>
      <c r="W347" s="6">
        <f>IF(ISERROR(VLOOKUP($T$347,'TAR FIN'!$A$1:$O$88,15,0)),0,VLOOKUP($T$347,'TAR FIN'!$A$1:$O$88,15,0))</f>
        <v>0</v>
      </c>
      <c r="X347" s="6">
        <f>IF(ISERROR(VLOOKUP($U$347,'TAR FIN'!$A$1:$O$88,15,0)),0,VLOOKUP($U$347,'TAR FIN'!$A$1:$O$88,15,0))</f>
        <v>0</v>
      </c>
      <c r="Y347" s="6"/>
      <c r="Z347" s="6">
        <f ca="1">('TUSD BE'!$AM$48+'TUSD BF_350'!$AM$48+'TUSD CVA'!$AM$48)*1</f>
        <v>310.49</v>
      </c>
      <c r="AA347" s="6">
        <f ca="1">('TE BE'!$AB$39+'TE BF_350'!$AB$39+'TE CVA'!$AB$39)*1</f>
        <v>262.52999999999997</v>
      </c>
      <c r="AB347" s="6">
        <f>$K$347*$V$347</f>
        <v>0</v>
      </c>
      <c r="AC347" s="6">
        <f>$M$347*$W$347</f>
        <v>0</v>
      </c>
      <c r="AD347" s="6">
        <f>$O$347*$X$347</f>
        <v>0</v>
      </c>
      <c r="AE347" s="6">
        <f>$K$347*$Y$347</f>
        <v>0</v>
      </c>
      <c r="AF347" s="6">
        <f ca="1">$M$347*$Z$347</f>
        <v>9597.2458999999999</v>
      </c>
      <c r="AG347" s="6">
        <f ca="1">$O$347*$AA$347</f>
        <v>8114.8022999999994</v>
      </c>
    </row>
    <row r="348" spans="1:33" ht="11.25" customHeight="1" x14ac:dyDescent="0.25">
      <c r="A348" s="4" t="s">
        <v>21</v>
      </c>
      <c r="B348" s="4" t="s">
        <v>32</v>
      </c>
      <c r="C348" s="4" t="s">
        <v>23</v>
      </c>
      <c r="D348" s="4" t="s">
        <v>43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44531</v>
      </c>
      <c r="J348" s="6">
        <v>0</v>
      </c>
      <c r="K348" s="6">
        <v>0</v>
      </c>
      <c r="L348" s="6">
        <v>39.243000000000002</v>
      </c>
      <c r="M348" s="6">
        <v>39.243000000000002</v>
      </c>
      <c r="N348" s="6">
        <v>39.243000000000002</v>
      </c>
      <c r="O348" s="6">
        <v>39.243000000000002</v>
      </c>
      <c r="P348" s="6">
        <v>51</v>
      </c>
      <c r="Q348" s="4" t="s">
        <v>26</v>
      </c>
      <c r="R348" s="4">
        <v>0</v>
      </c>
      <c r="S348" s="6">
        <v>0</v>
      </c>
      <c r="T348" s="6">
        <v>46</v>
      </c>
      <c r="U348" s="6">
        <v>84</v>
      </c>
      <c r="V348" s="6">
        <f>IF(ISERROR(VLOOKUP($S$348,'TAR FIN'!$A$1:$O$88,15,0)),0,VLOOKUP($S$348,'TAR FIN'!$A$1:$O$88,15,0))</f>
        <v>0</v>
      </c>
      <c r="W348" s="6">
        <f>IF(ISERROR(VLOOKUP($T$348,'TAR FIN'!$A$1:$O$88,15,0)),0,VLOOKUP($T$348,'TAR FIN'!$A$1:$O$88,15,0))</f>
        <v>0</v>
      </c>
      <c r="X348" s="6">
        <f>IF(ISERROR(VLOOKUP($U$348,'TAR FIN'!$A$1:$O$88,15,0)),0,VLOOKUP($U$348,'TAR FIN'!$A$1:$O$88,15,0))</f>
        <v>0</v>
      </c>
      <c r="Y348" s="6"/>
      <c r="Z348" s="6">
        <f ca="1">('TUSD BE'!$AM$48+'TUSD BF_350'!$AM$48+'TUSD CVA'!$AM$48)*1</f>
        <v>310.49</v>
      </c>
      <c r="AA348" s="6">
        <f ca="1">('TE BE'!$AB$39+'TE BF_350'!$AB$39+'TE CVA'!$AB$39)*1</f>
        <v>262.52999999999997</v>
      </c>
      <c r="AB348" s="6">
        <f>$K$348*$V$348</f>
        <v>0</v>
      </c>
      <c r="AC348" s="6">
        <f>$M$348*$W$348</f>
        <v>0</v>
      </c>
      <c r="AD348" s="6">
        <f>$O$348*$X$348</f>
        <v>0</v>
      </c>
      <c r="AE348" s="6">
        <f>$K$348*$Y$348</f>
        <v>0</v>
      </c>
      <c r="AF348" s="6">
        <f ca="1">$M$348*$Z$348</f>
        <v>12184.559070000001</v>
      </c>
      <c r="AG348" s="6">
        <f ca="1">$O$348*$AA$348</f>
        <v>10302.46479</v>
      </c>
    </row>
    <row r="349" spans="1:33" ht="11.25" customHeight="1" x14ac:dyDescent="0.25">
      <c r="A349" s="4" t="s">
        <v>21</v>
      </c>
      <c r="B349" s="4" t="s">
        <v>32</v>
      </c>
      <c r="C349" s="4" t="s">
        <v>23</v>
      </c>
      <c r="D349" s="4" t="s">
        <v>43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44562</v>
      </c>
      <c r="J349" s="6">
        <v>0</v>
      </c>
      <c r="K349" s="6">
        <v>0</v>
      </c>
      <c r="L349" s="6">
        <v>38.582999999999998</v>
      </c>
      <c r="M349" s="6">
        <v>38.582999999999998</v>
      </c>
      <c r="N349" s="6">
        <v>38.582999999999998</v>
      </c>
      <c r="O349" s="6">
        <v>38.582999999999998</v>
      </c>
      <c r="P349" s="6">
        <v>51</v>
      </c>
      <c r="Q349" s="4" t="s">
        <v>26</v>
      </c>
      <c r="R349" s="4">
        <v>0</v>
      </c>
      <c r="S349" s="6">
        <v>0</v>
      </c>
      <c r="T349" s="6">
        <v>46</v>
      </c>
      <c r="U349" s="6">
        <v>84</v>
      </c>
      <c r="V349" s="6">
        <f>IF(ISERROR(VLOOKUP($S$349,'TAR FIN'!$A$1:$O$88,15,0)),0,VLOOKUP($S$349,'TAR FIN'!$A$1:$O$88,15,0))</f>
        <v>0</v>
      </c>
      <c r="W349" s="6">
        <f>IF(ISERROR(VLOOKUP($T$349,'TAR FIN'!$A$1:$O$88,15,0)),0,VLOOKUP($T$349,'TAR FIN'!$A$1:$O$88,15,0))</f>
        <v>0</v>
      </c>
      <c r="X349" s="6">
        <f>IF(ISERROR(VLOOKUP($U$349,'TAR FIN'!$A$1:$O$88,15,0)),0,VLOOKUP($U$349,'TAR FIN'!$A$1:$O$88,15,0))</f>
        <v>0</v>
      </c>
      <c r="Y349" s="6"/>
      <c r="Z349" s="6">
        <f ca="1">('TUSD BE'!$AM$48+'TUSD BF_350'!$AM$48+'TUSD CVA'!$AM$48)*1</f>
        <v>310.49</v>
      </c>
      <c r="AA349" s="6">
        <f ca="1">('TE BE'!$AB$39+'TE BF_350'!$AB$39+'TE CVA'!$AB$39)*1</f>
        <v>262.52999999999997</v>
      </c>
      <c r="AB349" s="6">
        <f>$K$349*$V$349</f>
        <v>0</v>
      </c>
      <c r="AC349" s="6">
        <f>$M$349*$W$349</f>
        <v>0</v>
      </c>
      <c r="AD349" s="6">
        <f>$O$349*$X$349</f>
        <v>0</v>
      </c>
      <c r="AE349" s="6">
        <f>$K$349*$Y$349</f>
        <v>0</v>
      </c>
      <c r="AF349" s="6">
        <f ca="1">$M$349*$Z$349</f>
        <v>11979.63567</v>
      </c>
      <c r="AG349" s="6">
        <f ca="1">$O$349*$AA$349</f>
        <v>10129.194989999998</v>
      </c>
    </row>
    <row r="350" spans="1:33" ht="11.25" customHeight="1" x14ac:dyDescent="0.25">
      <c r="A350" s="4" t="s">
        <v>21</v>
      </c>
      <c r="B350" s="4" t="s">
        <v>32</v>
      </c>
      <c r="C350" s="4" t="s">
        <v>23</v>
      </c>
      <c r="D350" s="4" t="s">
        <v>43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44593</v>
      </c>
      <c r="J350" s="6">
        <v>0</v>
      </c>
      <c r="K350" s="6">
        <v>0</v>
      </c>
      <c r="L350" s="6">
        <v>50.277999999999999</v>
      </c>
      <c r="M350" s="6">
        <v>50.277999999999999</v>
      </c>
      <c r="N350" s="6">
        <v>50.277999999999999</v>
      </c>
      <c r="O350" s="6">
        <v>50.277999999999999</v>
      </c>
      <c r="P350" s="6">
        <v>51</v>
      </c>
      <c r="Q350" s="4" t="s">
        <v>26</v>
      </c>
      <c r="R350" s="4">
        <v>0</v>
      </c>
      <c r="S350" s="6">
        <v>0</v>
      </c>
      <c r="T350" s="6">
        <v>46</v>
      </c>
      <c r="U350" s="6">
        <v>84</v>
      </c>
      <c r="V350" s="6">
        <f>IF(ISERROR(VLOOKUP($S$350,'TAR FIN'!$A$1:$O$88,15,0)),0,VLOOKUP($S$350,'TAR FIN'!$A$1:$O$88,15,0))</f>
        <v>0</v>
      </c>
      <c r="W350" s="6">
        <f>IF(ISERROR(VLOOKUP($T$350,'TAR FIN'!$A$1:$O$88,15,0)),0,VLOOKUP($T$350,'TAR FIN'!$A$1:$O$88,15,0))</f>
        <v>0</v>
      </c>
      <c r="X350" s="6">
        <f>IF(ISERROR(VLOOKUP($U$350,'TAR FIN'!$A$1:$O$88,15,0)),0,VLOOKUP($U$350,'TAR FIN'!$A$1:$O$88,15,0))</f>
        <v>0</v>
      </c>
      <c r="Y350" s="6"/>
      <c r="Z350" s="6">
        <f ca="1">('TUSD BE'!$AM$48+'TUSD BF_350'!$AM$48+'TUSD CVA'!$AM$48)*1</f>
        <v>310.49</v>
      </c>
      <c r="AA350" s="6">
        <f ca="1">('TE BE'!$AB$39+'TE BF_350'!$AB$39+'TE CVA'!$AB$39)*1</f>
        <v>262.52999999999997</v>
      </c>
      <c r="AB350" s="6">
        <f>$K$350*$V$350</f>
        <v>0</v>
      </c>
      <c r="AC350" s="6">
        <f>$M$350*$W$350</f>
        <v>0</v>
      </c>
      <c r="AD350" s="6">
        <f>$O$350*$X$350</f>
        <v>0</v>
      </c>
      <c r="AE350" s="6">
        <f>$K$350*$Y$350</f>
        <v>0</v>
      </c>
      <c r="AF350" s="6">
        <f ca="1">$M$350*$Z$350</f>
        <v>15610.816220000001</v>
      </c>
      <c r="AG350" s="6">
        <f ca="1">$O$350*$AA$350</f>
        <v>13199.483339999999</v>
      </c>
    </row>
    <row r="351" spans="1:33" ht="11.25" customHeight="1" x14ac:dyDescent="0.25">
      <c r="A351" s="4" t="s">
        <v>21</v>
      </c>
      <c r="B351" s="4" t="s">
        <v>32</v>
      </c>
      <c r="C351" s="4" t="s">
        <v>23</v>
      </c>
      <c r="D351" s="4" t="s">
        <v>43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44621</v>
      </c>
      <c r="J351" s="6">
        <v>0</v>
      </c>
      <c r="K351" s="6">
        <v>0</v>
      </c>
      <c r="L351" s="6">
        <v>51.749000000000002</v>
      </c>
      <c r="M351" s="6">
        <v>51.749000000000002</v>
      </c>
      <c r="N351" s="6">
        <v>51.749000000000002</v>
      </c>
      <c r="O351" s="6">
        <v>51.749000000000002</v>
      </c>
      <c r="P351" s="6">
        <v>51</v>
      </c>
      <c r="Q351" s="4" t="s">
        <v>26</v>
      </c>
      <c r="R351" s="4">
        <v>0</v>
      </c>
      <c r="S351" s="6">
        <v>0</v>
      </c>
      <c r="T351" s="6">
        <v>46</v>
      </c>
      <c r="U351" s="6">
        <v>84</v>
      </c>
      <c r="V351" s="6">
        <f>IF(ISERROR(VLOOKUP($S$351,'TAR FIN'!$A$1:$O$88,15,0)),0,VLOOKUP($S$351,'TAR FIN'!$A$1:$O$88,15,0))</f>
        <v>0</v>
      </c>
      <c r="W351" s="6">
        <f>IF(ISERROR(VLOOKUP($T$351,'TAR FIN'!$A$1:$O$88,15,0)),0,VLOOKUP($T$351,'TAR FIN'!$A$1:$O$88,15,0))</f>
        <v>0</v>
      </c>
      <c r="X351" s="6">
        <f>IF(ISERROR(VLOOKUP($U$351,'TAR FIN'!$A$1:$O$88,15,0)),0,VLOOKUP($U$351,'TAR FIN'!$A$1:$O$88,15,0))</f>
        <v>0</v>
      </c>
      <c r="Y351" s="6"/>
      <c r="Z351" s="6">
        <f ca="1">('TUSD BE'!$AM$48+'TUSD BF_350'!$AM$48+'TUSD CVA'!$AM$48)*1</f>
        <v>310.49</v>
      </c>
      <c r="AA351" s="6">
        <f ca="1">('TE BE'!$AB$39+'TE BF_350'!$AB$39+'TE CVA'!$AB$39)*1</f>
        <v>262.52999999999997</v>
      </c>
      <c r="AB351" s="6">
        <f>$K$351*$V$351</f>
        <v>0</v>
      </c>
      <c r="AC351" s="6">
        <f>$M$351*$W$351</f>
        <v>0</v>
      </c>
      <c r="AD351" s="6">
        <f>$O$351*$X$351</f>
        <v>0</v>
      </c>
      <c r="AE351" s="6">
        <f>$K$351*$Y$351</f>
        <v>0</v>
      </c>
      <c r="AF351" s="6">
        <f ca="1">$M$351*$Z$351</f>
        <v>16067.547010000002</v>
      </c>
      <c r="AG351" s="6">
        <f ca="1">$O$351*$AA$351</f>
        <v>13585.66497</v>
      </c>
    </row>
    <row r="352" spans="1:33" ht="11.25" customHeight="1" x14ac:dyDescent="0.25">
      <c r="A352" s="4" t="s">
        <v>21</v>
      </c>
      <c r="B352" s="4" t="s">
        <v>32</v>
      </c>
      <c r="C352" s="4" t="s">
        <v>23</v>
      </c>
      <c r="D352" s="4" t="s">
        <v>43</v>
      </c>
      <c r="E352" s="4" t="s">
        <v>25</v>
      </c>
      <c r="F352" s="4" t="s">
        <v>25</v>
      </c>
      <c r="G352" s="4" t="s">
        <v>25</v>
      </c>
      <c r="H352" s="4" t="s">
        <v>25</v>
      </c>
      <c r="I352" s="5">
        <v>44652</v>
      </c>
      <c r="J352" s="6">
        <v>0</v>
      </c>
      <c r="K352" s="6">
        <v>0</v>
      </c>
      <c r="L352" s="6">
        <v>52.555</v>
      </c>
      <c r="M352" s="6">
        <v>52.555</v>
      </c>
      <c r="N352" s="6">
        <v>52.555</v>
      </c>
      <c r="O352" s="6">
        <v>52.555</v>
      </c>
      <c r="P352" s="6">
        <v>52</v>
      </c>
      <c r="Q352" s="4" t="s">
        <v>26</v>
      </c>
      <c r="R352" s="4">
        <v>0</v>
      </c>
      <c r="S352" s="6">
        <v>0</v>
      </c>
      <c r="T352" s="6">
        <v>46</v>
      </c>
      <c r="U352" s="6">
        <v>84</v>
      </c>
      <c r="V352" s="6">
        <f>IF(ISERROR(VLOOKUP($S$352,'TAR FIN'!$A$1:$O$88,15,0)),0,VLOOKUP($S$352,'TAR FIN'!$A$1:$O$88,15,0))</f>
        <v>0</v>
      </c>
      <c r="W352" s="6">
        <f>IF(ISERROR(VLOOKUP($T$352,'TAR FIN'!$A$1:$O$88,15,0)),0,VLOOKUP($T$352,'TAR FIN'!$A$1:$O$88,15,0))</f>
        <v>0</v>
      </c>
      <c r="X352" s="6">
        <f>IF(ISERROR(VLOOKUP($U$352,'TAR FIN'!$A$1:$O$88,15,0)),0,VLOOKUP($U$352,'TAR FIN'!$A$1:$O$88,15,0))</f>
        <v>0</v>
      </c>
      <c r="Y352" s="6"/>
      <c r="Z352" s="6">
        <f ca="1">('TUSD BE'!$AM$48+'TUSD BF_350'!$AM$48+'TUSD CVA'!$AM$48)*1</f>
        <v>310.49</v>
      </c>
      <c r="AA352" s="6">
        <f ca="1">('TE BE'!$AB$39+'TE BF_350'!$AB$39+'TE CVA'!$AB$39)*1</f>
        <v>262.52999999999997</v>
      </c>
      <c r="AB352" s="6">
        <f>$K$352*$V$352</f>
        <v>0</v>
      </c>
      <c r="AC352" s="6">
        <f>$M$352*$W$352</f>
        <v>0</v>
      </c>
      <c r="AD352" s="6">
        <f>$O$352*$X$352</f>
        <v>0</v>
      </c>
      <c r="AE352" s="6">
        <f>$K$352*$Y$352</f>
        <v>0</v>
      </c>
      <c r="AF352" s="6">
        <f ca="1">$M$352*$Z$352</f>
        <v>16317.801950000001</v>
      </c>
      <c r="AG352" s="6">
        <f ca="1">$O$352*$AA$352</f>
        <v>13797.264149999999</v>
      </c>
    </row>
    <row r="353" spans="1:33" ht="11.25" customHeight="1" x14ac:dyDescent="0.25">
      <c r="A353" s="4" t="s">
        <v>21</v>
      </c>
      <c r="B353" s="4" t="s">
        <v>32</v>
      </c>
      <c r="C353" s="4" t="s">
        <v>23</v>
      </c>
      <c r="D353" s="4" t="s">
        <v>43</v>
      </c>
      <c r="E353" s="4" t="s">
        <v>25</v>
      </c>
      <c r="F353" s="4" t="s">
        <v>25</v>
      </c>
      <c r="G353" s="4" t="s">
        <v>25</v>
      </c>
      <c r="H353" s="4" t="s">
        <v>25</v>
      </c>
      <c r="I353" s="5">
        <v>44682</v>
      </c>
      <c r="J353" s="6">
        <v>0</v>
      </c>
      <c r="K353" s="6">
        <v>0</v>
      </c>
      <c r="L353" s="6">
        <v>36.895000000000003</v>
      </c>
      <c r="M353" s="6">
        <v>36.895000000000003</v>
      </c>
      <c r="N353" s="6">
        <v>36.895000000000003</v>
      </c>
      <c r="O353" s="6">
        <v>36.895000000000003</v>
      </c>
      <c r="P353" s="6">
        <v>52</v>
      </c>
      <c r="Q353" s="4" t="s">
        <v>26</v>
      </c>
      <c r="R353" s="4">
        <v>0</v>
      </c>
      <c r="S353" s="6">
        <v>0</v>
      </c>
      <c r="T353" s="6">
        <v>46</v>
      </c>
      <c r="U353" s="6">
        <v>84</v>
      </c>
      <c r="V353" s="6">
        <f>IF(ISERROR(VLOOKUP($S$353,'TAR FIN'!$A$1:$O$88,15,0)),0,VLOOKUP($S$353,'TAR FIN'!$A$1:$O$88,15,0))</f>
        <v>0</v>
      </c>
      <c r="W353" s="6">
        <f>IF(ISERROR(VLOOKUP($T$353,'TAR FIN'!$A$1:$O$88,15,0)),0,VLOOKUP($T$353,'TAR FIN'!$A$1:$O$88,15,0))</f>
        <v>0</v>
      </c>
      <c r="X353" s="6">
        <f>IF(ISERROR(VLOOKUP($U$353,'TAR FIN'!$A$1:$O$88,15,0)),0,VLOOKUP($U$353,'TAR FIN'!$A$1:$O$88,15,0))</f>
        <v>0</v>
      </c>
      <c r="Y353" s="6"/>
      <c r="Z353" s="6">
        <f ca="1">('TUSD BE'!$AM$48+'TUSD BF_350'!$AM$48+'TUSD CVA'!$AM$48)*1</f>
        <v>310.49</v>
      </c>
      <c r="AA353" s="6">
        <f ca="1">('TE BE'!$AB$39+'TE BF_350'!$AB$39+'TE CVA'!$AB$39)*1</f>
        <v>262.52999999999997</v>
      </c>
      <c r="AB353" s="6">
        <f>$K$353*$V$353</f>
        <v>0</v>
      </c>
      <c r="AC353" s="6">
        <f>$M$353*$W$353</f>
        <v>0</v>
      </c>
      <c r="AD353" s="6">
        <f>$O$353*$X$353</f>
        <v>0</v>
      </c>
      <c r="AE353" s="6">
        <f>$K$353*$Y$353</f>
        <v>0</v>
      </c>
      <c r="AF353" s="6">
        <f ca="1">$M$353*$Z$353</f>
        <v>11455.528550000001</v>
      </c>
      <c r="AG353" s="6">
        <f ca="1">$O$353*$AA$353</f>
        <v>9686.0443500000001</v>
      </c>
    </row>
    <row r="354" spans="1:33" ht="11.25" customHeight="1" x14ac:dyDescent="0.25">
      <c r="A354" s="4" t="s">
        <v>21</v>
      </c>
      <c r="B354" s="4" t="s">
        <v>32</v>
      </c>
      <c r="C354" s="4" t="s">
        <v>23</v>
      </c>
      <c r="D354" s="4" t="s">
        <v>43</v>
      </c>
      <c r="E354" s="4" t="s">
        <v>25</v>
      </c>
      <c r="F354" s="4" t="s">
        <v>25</v>
      </c>
      <c r="G354" s="4" t="s">
        <v>25</v>
      </c>
      <c r="H354" s="4" t="s">
        <v>25</v>
      </c>
      <c r="I354" s="5">
        <v>44713</v>
      </c>
      <c r="J354" s="6">
        <v>0</v>
      </c>
      <c r="K354" s="6">
        <v>0</v>
      </c>
      <c r="L354" s="6">
        <v>31.05</v>
      </c>
      <c r="M354" s="6">
        <v>31.05</v>
      </c>
      <c r="N354" s="6">
        <v>31.05</v>
      </c>
      <c r="O354" s="6">
        <v>31.05</v>
      </c>
      <c r="P354" s="6">
        <v>52</v>
      </c>
      <c r="Q354" s="4" t="s">
        <v>26</v>
      </c>
      <c r="R354" s="4">
        <v>0</v>
      </c>
      <c r="S354" s="6">
        <v>0</v>
      </c>
      <c r="T354" s="6">
        <v>46</v>
      </c>
      <c r="U354" s="6">
        <v>84</v>
      </c>
      <c r="V354" s="6">
        <f>IF(ISERROR(VLOOKUP($S$354,'TAR FIN'!$A$1:$O$88,15,0)),0,VLOOKUP($S$354,'TAR FIN'!$A$1:$O$88,15,0))</f>
        <v>0</v>
      </c>
      <c r="W354" s="6">
        <f>IF(ISERROR(VLOOKUP($T$354,'TAR FIN'!$A$1:$O$88,15,0)),0,VLOOKUP($T$354,'TAR FIN'!$A$1:$O$88,15,0))</f>
        <v>0</v>
      </c>
      <c r="X354" s="6">
        <f>IF(ISERROR(VLOOKUP($U$354,'TAR FIN'!$A$1:$O$88,15,0)),0,VLOOKUP($U$354,'TAR FIN'!$A$1:$O$88,15,0))</f>
        <v>0</v>
      </c>
      <c r="Y354" s="6"/>
      <c r="Z354" s="6">
        <f ca="1">('TUSD BE'!$AM$48+'TUSD BF_350'!$AM$48+'TUSD CVA'!$AM$48)*1</f>
        <v>310.49</v>
      </c>
      <c r="AA354" s="6">
        <f ca="1">('TE BE'!$AB$39+'TE BF_350'!$AB$39+'TE CVA'!$AB$39)*1</f>
        <v>262.52999999999997</v>
      </c>
      <c r="AB354" s="6">
        <f>$K$354*$V$354</f>
        <v>0</v>
      </c>
      <c r="AC354" s="6">
        <f>$M$354*$W$354</f>
        <v>0</v>
      </c>
      <c r="AD354" s="6">
        <f>$O$354*$X$354</f>
        <v>0</v>
      </c>
      <c r="AE354" s="6">
        <f>$K$354*$Y$354</f>
        <v>0</v>
      </c>
      <c r="AF354" s="6">
        <f ca="1">$M$354*$Z$354</f>
        <v>9640.7145</v>
      </c>
      <c r="AG354" s="6">
        <f ca="1">$O$354*$AA$354</f>
        <v>8151.5564999999997</v>
      </c>
    </row>
    <row r="355" spans="1:33" ht="11.25" customHeight="1" x14ac:dyDescent="0.25">
      <c r="A355" s="4" t="s">
        <v>21</v>
      </c>
      <c r="B355" s="4" t="s">
        <v>32</v>
      </c>
      <c r="C355" s="4" t="s">
        <v>23</v>
      </c>
      <c r="D355" s="4" t="s">
        <v>43</v>
      </c>
      <c r="E355" s="4" t="s">
        <v>25</v>
      </c>
      <c r="F355" s="4" t="s">
        <v>25</v>
      </c>
      <c r="G355" s="4" t="s">
        <v>25</v>
      </c>
      <c r="H355" s="4" t="s">
        <v>25</v>
      </c>
      <c r="I355" s="5">
        <v>44743</v>
      </c>
      <c r="J355" s="6">
        <v>0</v>
      </c>
      <c r="K355" s="6">
        <v>0</v>
      </c>
      <c r="L355" s="6">
        <v>37.548000000000002</v>
      </c>
      <c r="M355" s="6">
        <v>37.548000000000002</v>
      </c>
      <c r="N355" s="6">
        <v>37.548000000000002</v>
      </c>
      <c r="O355" s="6">
        <v>37.548000000000002</v>
      </c>
      <c r="P355" s="6">
        <v>52</v>
      </c>
      <c r="Q355" s="4" t="s">
        <v>26</v>
      </c>
      <c r="R355" s="4">
        <v>0</v>
      </c>
      <c r="S355" s="6">
        <v>0</v>
      </c>
      <c r="T355" s="6">
        <v>46</v>
      </c>
      <c r="U355" s="6">
        <v>84</v>
      </c>
      <c r="V355" s="6">
        <f>IF(ISERROR(VLOOKUP($S$355,'TAR FIN'!$A$1:$O$88,15,0)),0,VLOOKUP($S$355,'TAR FIN'!$A$1:$O$88,15,0))</f>
        <v>0</v>
      </c>
      <c r="W355" s="6">
        <f>IF(ISERROR(VLOOKUP($T$355,'TAR FIN'!$A$1:$O$88,15,0)),0,VLOOKUP($T$355,'TAR FIN'!$A$1:$O$88,15,0))</f>
        <v>0</v>
      </c>
      <c r="X355" s="6">
        <f>IF(ISERROR(VLOOKUP($U$355,'TAR FIN'!$A$1:$O$88,15,0)),0,VLOOKUP($U$355,'TAR FIN'!$A$1:$O$88,15,0))</f>
        <v>0</v>
      </c>
      <c r="Y355" s="6"/>
      <c r="Z355" s="6">
        <f ca="1">('TUSD BE'!$AM$48+'TUSD BF_350'!$AM$48+'TUSD CVA'!$AM$48)*1</f>
        <v>310.49</v>
      </c>
      <c r="AA355" s="6">
        <f ca="1">('TE BE'!$AB$39+'TE BF_350'!$AB$39+'TE CVA'!$AB$39)*1</f>
        <v>262.52999999999997</v>
      </c>
      <c r="AB355" s="6">
        <f>$K$355*$V$355</f>
        <v>0</v>
      </c>
      <c r="AC355" s="6">
        <f>$M$355*$W$355</f>
        <v>0</v>
      </c>
      <c r="AD355" s="6">
        <f>$O$355*$X$355</f>
        <v>0</v>
      </c>
      <c r="AE355" s="6">
        <f>$K$355*$Y$355</f>
        <v>0</v>
      </c>
      <c r="AF355" s="6">
        <f ca="1">$M$355*$Z$355</f>
        <v>11658.278520000002</v>
      </c>
      <c r="AG355" s="6">
        <f ca="1">$O$355*$AA$355</f>
        <v>9857.4764399999985</v>
      </c>
    </row>
    <row r="356" spans="1:33" ht="11.25" customHeight="1" x14ac:dyDescent="0.25">
      <c r="A356" s="4" t="s">
        <v>21</v>
      </c>
      <c r="B356" s="4" t="s">
        <v>32</v>
      </c>
      <c r="C356" s="4" t="s">
        <v>23</v>
      </c>
      <c r="D356" s="4" t="s">
        <v>47</v>
      </c>
      <c r="E356" s="4" t="s">
        <v>48</v>
      </c>
      <c r="F356" s="4" t="s">
        <v>25</v>
      </c>
      <c r="G356" s="4" t="s">
        <v>25</v>
      </c>
      <c r="H356" s="4" t="s">
        <v>25</v>
      </c>
      <c r="I356" s="5">
        <v>44409</v>
      </c>
      <c r="J356" s="6">
        <v>0</v>
      </c>
      <c r="K356" s="52">
        <v>0</v>
      </c>
      <c r="L356" s="6">
        <v>0.91900000000000004</v>
      </c>
      <c r="M356" s="52">
        <v>0.91900000000000004</v>
      </c>
      <c r="N356" s="6">
        <v>0.91900000000000004</v>
      </c>
      <c r="O356" s="52">
        <v>0.91900000000000004</v>
      </c>
      <c r="P356" s="6">
        <v>1</v>
      </c>
      <c r="Q356" s="4" t="s">
        <v>26</v>
      </c>
      <c r="R356" s="4">
        <v>0</v>
      </c>
      <c r="S356" s="6">
        <v>0</v>
      </c>
      <c r="T356" s="6">
        <v>46</v>
      </c>
      <c r="U356" s="6">
        <v>84</v>
      </c>
      <c r="V356" s="52">
        <f>IF(ISERROR(VLOOKUP($S$356,'TAR FIN'!$A$1:$O$88,15,0)),0,VLOOKUP($S$356,'TAR FIN'!$A$1:$O$88,15,0))</f>
        <v>0</v>
      </c>
      <c r="W356" s="52">
        <f>IF(ISERROR(VLOOKUP($T$356,'TAR FIN'!$A$1:$O$88,15,0)),0,VLOOKUP($T$356,'TAR FIN'!$A$1:$O$88,15,0))*(1-0.06)</f>
        <v>0</v>
      </c>
      <c r="X356" s="52">
        <f>IF(ISERROR(VLOOKUP($U$356,'TAR FIN'!$A$1:$O$88,15,0)),0,VLOOKUP($U$356,'TAR FIN'!$A$1:$O$88,15,0))*(1-0.06)</f>
        <v>0</v>
      </c>
      <c r="Y356" s="52"/>
      <c r="Z356" s="52">
        <f ca="1">('TUSD BE'!$AM$48+'TUSD BF_350'!$AM$48+'TUSD CVA'!$AM$48)*1*(1-0.03)</f>
        <v>301.17529999999999</v>
      </c>
      <c r="AA356" s="52">
        <f ca="1">('TE BE'!$AB$39+'TE BF_350'!$AB$39+'TE CVA'!$AB$39)*1*(1-0.03)</f>
        <v>254.65409999999997</v>
      </c>
      <c r="AB356" s="6">
        <f>$K$356*$V$356</f>
        <v>0</v>
      </c>
      <c r="AC356" s="6">
        <f>$M$356*$W$356</f>
        <v>0</v>
      </c>
      <c r="AD356" s="6">
        <f>$O$356*$X$356</f>
        <v>0</v>
      </c>
      <c r="AE356" s="6">
        <f>$K$356*$Y$356</f>
        <v>0</v>
      </c>
      <c r="AF356" s="6">
        <f ca="1">$M$356*$Z$356</f>
        <v>276.78010069999999</v>
      </c>
      <c r="AG356" s="6">
        <f ca="1">$O$356*$AA$356</f>
        <v>234.02711789999998</v>
      </c>
    </row>
    <row r="357" spans="1:33" ht="11.25" customHeight="1" x14ac:dyDescent="0.25">
      <c r="A357" s="4" t="s">
        <v>21</v>
      </c>
      <c r="B357" s="4" t="s">
        <v>32</v>
      </c>
      <c r="C357" s="4" t="s">
        <v>23</v>
      </c>
      <c r="D357" s="4" t="s">
        <v>47</v>
      </c>
      <c r="E357" s="4" t="s">
        <v>48</v>
      </c>
      <c r="F357" s="4" t="s">
        <v>25</v>
      </c>
      <c r="G357" s="4" t="s">
        <v>25</v>
      </c>
      <c r="H357" s="4" t="s">
        <v>25</v>
      </c>
      <c r="I357" s="5">
        <v>44440</v>
      </c>
      <c r="J357" s="6">
        <v>0</v>
      </c>
      <c r="K357" s="52">
        <v>0</v>
      </c>
      <c r="L357" s="6">
        <v>0.93200000000000005</v>
      </c>
      <c r="M357" s="52">
        <v>0.93200000000000005</v>
      </c>
      <c r="N357" s="6">
        <v>0.93200000000000005</v>
      </c>
      <c r="O357" s="52">
        <v>0.93200000000000005</v>
      </c>
      <c r="P357" s="6">
        <v>1</v>
      </c>
      <c r="Q357" s="4" t="s">
        <v>26</v>
      </c>
      <c r="R357" s="4">
        <v>0</v>
      </c>
      <c r="S357" s="6">
        <v>0</v>
      </c>
      <c r="T357" s="6">
        <v>46</v>
      </c>
      <c r="U357" s="6">
        <v>84</v>
      </c>
      <c r="V357" s="52">
        <f>IF(ISERROR(VLOOKUP($S$357,'TAR FIN'!$A$1:$O$88,15,0)),0,VLOOKUP($S$357,'TAR FIN'!$A$1:$O$88,15,0))</f>
        <v>0</v>
      </c>
      <c r="W357" s="52">
        <f>IF(ISERROR(VLOOKUP($T$357,'TAR FIN'!$A$1:$O$88,15,0)),0,VLOOKUP($T$357,'TAR FIN'!$A$1:$O$88,15,0))*(1-0.06)</f>
        <v>0</v>
      </c>
      <c r="X357" s="52">
        <f>IF(ISERROR(VLOOKUP($U$357,'TAR FIN'!$A$1:$O$88,15,0)),0,VLOOKUP($U$357,'TAR FIN'!$A$1:$O$88,15,0))*(1-0.06)</f>
        <v>0</v>
      </c>
      <c r="Y357" s="52"/>
      <c r="Z357" s="52">
        <f ca="1">('TUSD BE'!$AM$48+'TUSD BF_350'!$AM$48+'TUSD CVA'!$AM$48)*1*(1-0.03)</f>
        <v>301.17529999999999</v>
      </c>
      <c r="AA357" s="52">
        <f ca="1">('TE BE'!$AB$39+'TE BF_350'!$AB$39+'TE CVA'!$AB$39)*1*(1-0.03)</f>
        <v>254.65409999999997</v>
      </c>
      <c r="AB357" s="6">
        <f>$K$357*$V$357</f>
        <v>0</v>
      </c>
      <c r="AC357" s="6">
        <f>$M$357*$W$357</f>
        <v>0</v>
      </c>
      <c r="AD357" s="6">
        <f>$O$357*$X$357</f>
        <v>0</v>
      </c>
      <c r="AE357" s="6">
        <f>$K$357*$Y$357</f>
        <v>0</v>
      </c>
      <c r="AF357" s="6">
        <f ca="1">$M$357*$Z$357</f>
        <v>280.69537960000002</v>
      </c>
      <c r="AG357" s="6">
        <f ca="1">$O$357*$AA$357</f>
        <v>237.33762119999997</v>
      </c>
    </row>
    <row r="358" spans="1:33" ht="11.25" customHeight="1" x14ac:dyDescent="0.25">
      <c r="A358" s="4" t="s">
        <v>21</v>
      </c>
      <c r="B358" s="4" t="s">
        <v>32</v>
      </c>
      <c r="C358" s="4" t="s">
        <v>23</v>
      </c>
      <c r="D358" s="4" t="s">
        <v>47</v>
      </c>
      <c r="E358" s="4" t="s">
        <v>48</v>
      </c>
      <c r="F358" s="4" t="s">
        <v>25</v>
      </c>
      <c r="G358" s="4" t="s">
        <v>25</v>
      </c>
      <c r="H358" s="4" t="s">
        <v>25</v>
      </c>
      <c r="I358" s="5">
        <v>44470</v>
      </c>
      <c r="J358" s="6">
        <v>0</v>
      </c>
      <c r="K358" s="52">
        <v>0</v>
      </c>
      <c r="L358" s="6">
        <v>1.2130000000000001</v>
      </c>
      <c r="M358" s="52">
        <v>1.2130000000000001</v>
      </c>
      <c r="N358" s="6">
        <v>1.2130000000000001</v>
      </c>
      <c r="O358" s="52">
        <v>1.2130000000000001</v>
      </c>
      <c r="P358" s="6">
        <v>1</v>
      </c>
      <c r="Q358" s="4" t="s">
        <v>26</v>
      </c>
      <c r="R358" s="4">
        <v>0</v>
      </c>
      <c r="S358" s="6">
        <v>0</v>
      </c>
      <c r="T358" s="6">
        <v>46</v>
      </c>
      <c r="U358" s="6">
        <v>84</v>
      </c>
      <c r="V358" s="52">
        <f>IF(ISERROR(VLOOKUP($S$358,'TAR FIN'!$A$1:$O$88,15,0)),0,VLOOKUP($S$358,'TAR FIN'!$A$1:$O$88,15,0))</f>
        <v>0</v>
      </c>
      <c r="W358" s="52">
        <f>IF(ISERROR(VLOOKUP($T$358,'TAR FIN'!$A$1:$O$88,15,0)),0,VLOOKUP($T$358,'TAR FIN'!$A$1:$O$88,15,0))*(1-0.06)</f>
        <v>0</v>
      </c>
      <c r="X358" s="52">
        <f>IF(ISERROR(VLOOKUP($U$358,'TAR FIN'!$A$1:$O$88,15,0)),0,VLOOKUP($U$358,'TAR FIN'!$A$1:$O$88,15,0))*(1-0.06)</f>
        <v>0</v>
      </c>
      <c r="Y358" s="52"/>
      <c r="Z358" s="52">
        <f ca="1">('TUSD BE'!$AM$48+'TUSD BF_350'!$AM$48+'TUSD CVA'!$AM$48)*1*(1-0.03)</f>
        <v>301.17529999999999</v>
      </c>
      <c r="AA358" s="52">
        <f ca="1">('TE BE'!$AB$39+'TE BF_350'!$AB$39+'TE CVA'!$AB$39)*1*(1-0.03)</f>
        <v>254.65409999999997</v>
      </c>
      <c r="AB358" s="6">
        <f>$K$358*$V$358</f>
        <v>0</v>
      </c>
      <c r="AC358" s="6">
        <f>$M$358*$W$358</f>
        <v>0</v>
      </c>
      <c r="AD358" s="6">
        <f>$O$358*$X$358</f>
        <v>0</v>
      </c>
      <c r="AE358" s="6">
        <f>$K$358*$Y$358</f>
        <v>0</v>
      </c>
      <c r="AF358" s="6">
        <f ca="1">$M$358*$Z$358</f>
        <v>365.3256389</v>
      </c>
      <c r="AG358" s="6">
        <f ca="1">$O$358*$AA$358</f>
        <v>308.8954233</v>
      </c>
    </row>
    <row r="359" spans="1:33" ht="11.25" customHeight="1" x14ac:dyDescent="0.25">
      <c r="A359" s="4" t="s">
        <v>21</v>
      </c>
      <c r="B359" s="4" t="s">
        <v>32</v>
      </c>
      <c r="C359" s="4" t="s">
        <v>23</v>
      </c>
      <c r="D359" s="4" t="s">
        <v>47</v>
      </c>
      <c r="E359" s="4" t="s">
        <v>48</v>
      </c>
      <c r="F359" s="4" t="s">
        <v>25</v>
      </c>
      <c r="G359" s="4" t="s">
        <v>25</v>
      </c>
      <c r="H359" s="4" t="s">
        <v>25</v>
      </c>
      <c r="I359" s="5">
        <v>44501</v>
      </c>
      <c r="J359" s="6">
        <v>0</v>
      </c>
      <c r="K359" s="52">
        <v>0</v>
      </c>
      <c r="L359" s="6">
        <v>1.141</v>
      </c>
      <c r="M359" s="52">
        <v>1.141</v>
      </c>
      <c r="N359" s="6">
        <v>1.141</v>
      </c>
      <c r="O359" s="52">
        <v>1.141</v>
      </c>
      <c r="P359" s="6">
        <v>1</v>
      </c>
      <c r="Q359" s="4" t="s">
        <v>26</v>
      </c>
      <c r="R359" s="4">
        <v>0</v>
      </c>
      <c r="S359" s="6">
        <v>0</v>
      </c>
      <c r="T359" s="6">
        <v>46</v>
      </c>
      <c r="U359" s="6">
        <v>84</v>
      </c>
      <c r="V359" s="52">
        <f>IF(ISERROR(VLOOKUP($S$359,'TAR FIN'!$A$1:$O$88,15,0)),0,VLOOKUP($S$359,'TAR FIN'!$A$1:$O$88,15,0))</f>
        <v>0</v>
      </c>
      <c r="W359" s="52">
        <f>IF(ISERROR(VLOOKUP($T$359,'TAR FIN'!$A$1:$O$88,15,0)),0,VLOOKUP($T$359,'TAR FIN'!$A$1:$O$88,15,0))*(1-0.06)</f>
        <v>0</v>
      </c>
      <c r="X359" s="52">
        <f>IF(ISERROR(VLOOKUP($U$359,'TAR FIN'!$A$1:$O$88,15,0)),0,VLOOKUP($U$359,'TAR FIN'!$A$1:$O$88,15,0))*(1-0.06)</f>
        <v>0</v>
      </c>
      <c r="Y359" s="52"/>
      <c r="Z359" s="52">
        <f ca="1">('TUSD BE'!$AM$48+'TUSD BF_350'!$AM$48+'TUSD CVA'!$AM$48)*1*(1-0.03)</f>
        <v>301.17529999999999</v>
      </c>
      <c r="AA359" s="52">
        <f ca="1">('TE BE'!$AB$39+'TE BF_350'!$AB$39+'TE CVA'!$AB$39)*1*(1-0.03)</f>
        <v>254.65409999999997</v>
      </c>
      <c r="AB359" s="6">
        <f>$K$359*$V$359</f>
        <v>0</v>
      </c>
      <c r="AC359" s="6">
        <f>$M$359*$W$359</f>
        <v>0</v>
      </c>
      <c r="AD359" s="6">
        <f>$O$359*$X$359</f>
        <v>0</v>
      </c>
      <c r="AE359" s="6">
        <f>$K$359*$Y$359</f>
        <v>0</v>
      </c>
      <c r="AF359" s="6">
        <f ca="1">$M$359*$Z$359</f>
        <v>343.64101729999999</v>
      </c>
      <c r="AG359" s="6">
        <f ca="1">$O$359*$AA$359</f>
        <v>290.56032809999999</v>
      </c>
    </row>
    <row r="360" spans="1:33" ht="11.25" customHeight="1" x14ac:dyDescent="0.25">
      <c r="A360" s="4" t="s">
        <v>21</v>
      </c>
      <c r="B360" s="4" t="s">
        <v>32</v>
      </c>
      <c r="C360" s="4" t="s">
        <v>23</v>
      </c>
      <c r="D360" s="4" t="s">
        <v>47</v>
      </c>
      <c r="E360" s="4" t="s">
        <v>48</v>
      </c>
      <c r="F360" s="4" t="s">
        <v>25</v>
      </c>
      <c r="G360" s="4" t="s">
        <v>25</v>
      </c>
      <c r="H360" s="4" t="s">
        <v>25</v>
      </c>
      <c r="I360" s="5">
        <v>44531</v>
      </c>
      <c r="J360" s="6">
        <v>0</v>
      </c>
      <c r="K360" s="52">
        <v>0</v>
      </c>
      <c r="L360" s="6">
        <v>0.86899999999999999</v>
      </c>
      <c r="M360" s="52">
        <v>0.86899999999999999</v>
      </c>
      <c r="N360" s="6">
        <v>0.86899999999999999</v>
      </c>
      <c r="O360" s="52">
        <v>0.86899999999999999</v>
      </c>
      <c r="P360" s="6">
        <v>1</v>
      </c>
      <c r="Q360" s="4" t="s">
        <v>26</v>
      </c>
      <c r="R360" s="4">
        <v>0</v>
      </c>
      <c r="S360" s="6">
        <v>0</v>
      </c>
      <c r="T360" s="6">
        <v>46</v>
      </c>
      <c r="U360" s="6">
        <v>84</v>
      </c>
      <c r="V360" s="52">
        <f>IF(ISERROR(VLOOKUP($S$360,'TAR FIN'!$A$1:$O$88,15,0)),0,VLOOKUP($S$360,'TAR FIN'!$A$1:$O$88,15,0))</f>
        <v>0</v>
      </c>
      <c r="W360" s="52">
        <f>IF(ISERROR(VLOOKUP($T$360,'TAR FIN'!$A$1:$O$88,15,0)),0,VLOOKUP($T$360,'TAR FIN'!$A$1:$O$88,15,0))*(1-0.06)</f>
        <v>0</v>
      </c>
      <c r="X360" s="52">
        <f>IF(ISERROR(VLOOKUP($U$360,'TAR FIN'!$A$1:$O$88,15,0)),0,VLOOKUP($U$360,'TAR FIN'!$A$1:$O$88,15,0))*(1-0.06)</f>
        <v>0</v>
      </c>
      <c r="Y360" s="52"/>
      <c r="Z360" s="52">
        <f ca="1">('TUSD BE'!$AM$48+'TUSD BF_350'!$AM$48+'TUSD CVA'!$AM$48)*1*(1-0.03)</f>
        <v>301.17529999999999</v>
      </c>
      <c r="AA360" s="52">
        <f ca="1">('TE BE'!$AB$39+'TE BF_350'!$AB$39+'TE CVA'!$AB$39)*1*(1-0.03)</f>
        <v>254.65409999999997</v>
      </c>
      <c r="AB360" s="6">
        <f>$K$360*$V$360</f>
        <v>0</v>
      </c>
      <c r="AC360" s="6">
        <f>$M$360*$W$360</f>
        <v>0</v>
      </c>
      <c r="AD360" s="6">
        <f>$O$360*$X$360</f>
        <v>0</v>
      </c>
      <c r="AE360" s="6">
        <f>$K$360*$Y$360</f>
        <v>0</v>
      </c>
      <c r="AF360" s="6">
        <f ca="1">$M$360*$Z$360</f>
        <v>261.7213357</v>
      </c>
      <c r="AG360" s="6">
        <f ca="1">$O$360*$AA$360</f>
        <v>221.29441289999997</v>
      </c>
    </row>
    <row r="361" spans="1:33" ht="11.25" customHeight="1" x14ac:dyDescent="0.25">
      <c r="A361" s="4" t="s">
        <v>21</v>
      </c>
      <c r="B361" s="4" t="s">
        <v>32</v>
      </c>
      <c r="C361" s="4" t="s">
        <v>23</v>
      </c>
      <c r="D361" s="4" t="s">
        <v>47</v>
      </c>
      <c r="E361" s="4" t="s">
        <v>48</v>
      </c>
      <c r="F361" s="4" t="s">
        <v>25</v>
      </c>
      <c r="G361" s="4" t="s">
        <v>25</v>
      </c>
      <c r="H361" s="4" t="s">
        <v>25</v>
      </c>
      <c r="I361" s="5">
        <v>44562</v>
      </c>
      <c r="J361" s="6">
        <v>0</v>
      </c>
      <c r="K361" s="52">
        <v>0</v>
      </c>
      <c r="L361" s="6">
        <v>0.69099999999999995</v>
      </c>
      <c r="M361" s="52">
        <v>0.69099999999999995</v>
      </c>
      <c r="N361" s="6">
        <v>0.69099999999999995</v>
      </c>
      <c r="O361" s="52">
        <v>0.69099999999999995</v>
      </c>
      <c r="P361" s="6">
        <v>1</v>
      </c>
      <c r="Q361" s="4" t="s">
        <v>26</v>
      </c>
      <c r="R361" s="4">
        <v>0</v>
      </c>
      <c r="S361" s="6">
        <v>0</v>
      </c>
      <c r="T361" s="6">
        <v>46</v>
      </c>
      <c r="U361" s="6">
        <v>84</v>
      </c>
      <c r="V361" s="52">
        <f>IF(ISERROR(VLOOKUP($S$361,'TAR FIN'!$A$1:$O$88,15,0)),0,VLOOKUP($S$361,'TAR FIN'!$A$1:$O$88,15,0))</f>
        <v>0</v>
      </c>
      <c r="W361" s="52">
        <f>IF(ISERROR(VLOOKUP($T$361,'TAR FIN'!$A$1:$O$88,15,0)),0,VLOOKUP($T$361,'TAR FIN'!$A$1:$O$88,15,0))*(1-0.06)</f>
        <v>0</v>
      </c>
      <c r="X361" s="52">
        <f>IF(ISERROR(VLOOKUP($U$361,'TAR FIN'!$A$1:$O$88,15,0)),0,VLOOKUP($U$361,'TAR FIN'!$A$1:$O$88,15,0))*(1-0.06)</f>
        <v>0</v>
      </c>
      <c r="Y361" s="52"/>
      <c r="Z361" s="52">
        <f ca="1">('TUSD BE'!$AM$48+'TUSD BF_350'!$AM$48+'TUSD CVA'!$AM$48)*1*(1-0.03)</f>
        <v>301.17529999999999</v>
      </c>
      <c r="AA361" s="52">
        <f ca="1">('TE BE'!$AB$39+'TE BF_350'!$AB$39+'TE CVA'!$AB$39)*1*(1-0.03)</f>
        <v>254.65409999999997</v>
      </c>
      <c r="AB361" s="6">
        <f>$K$361*$V$361</f>
        <v>0</v>
      </c>
      <c r="AC361" s="6">
        <f>$M$361*$W$361</f>
        <v>0</v>
      </c>
      <c r="AD361" s="6">
        <f>$O$361*$X$361</f>
        <v>0</v>
      </c>
      <c r="AE361" s="6">
        <f>$K$361*$Y$361</f>
        <v>0</v>
      </c>
      <c r="AF361" s="6">
        <f ca="1">$M$361*$Z$361</f>
        <v>208.11213229999998</v>
      </c>
      <c r="AG361" s="6">
        <f ca="1">$O$361*$AA$361</f>
        <v>175.96598309999996</v>
      </c>
    </row>
    <row r="362" spans="1:33" ht="11.25" customHeight="1" x14ac:dyDescent="0.25">
      <c r="A362" s="4" t="s">
        <v>21</v>
      </c>
      <c r="B362" s="4" t="s">
        <v>32</v>
      </c>
      <c r="C362" s="4" t="s">
        <v>23</v>
      </c>
      <c r="D362" s="4" t="s">
        <v>47</v>
      </c>
      <c r="E362" s="4" t="s">
        <v>48</v>
      </c>
      <c r="F362" s="4" t="s">
        <v>25</v>
      </c>
      <c r="G362" s="4" t="s">
        <v>25</v>
      </c>
      <c r="H362" s="4" t="s">
        <v>25</v>
      </c>
      <c r="I362" s="5">
        <v>44593</v>
      </c>
      <c r="J362" s="6">
        <v>0</v>
      </c>
      <c r="K362" s="52">
        <v>0</v>
      </c>
      <c r="L362" s="6">
        <v>0.88300000000000001</v>
      </c>
      <c r="M362" s="52">
        <v>0.88300000000000001</v>
      </c>
      <c r="N362" s="6">
        <v>0.88300000000000001</v>
      </c>
      <c r="O362" s="52">
        <v>0.88300000000000001</v>
      </c>
      <c r="P362" s="6">
        <v>1</v>
      </c>
      <c r="Q362" s="4" t="s">
        <v>26</v>
      </c>
      <c r="R362" s="4">
        <v>0</v>
      </c>
      <c r="S362" s="6">
        <v>0</v>
      </c>
      <c r="T362" s="6">
        <v>46</v>
      </c>
      <c r="U362" s="6">
        <v>84</v>
      </c>
      <c r="V362" s="52">
        <f>IF(ISERROR(VLOOKUP($S$362,'TAR FIN'!$A$1:$O$88,15,0)),0,VLOOKUP($S$362,'TAR FIN'!$A$1:$O$88,15,0))</f>
        <v>0</v>
      </c>
      <c r="W362" s="52">
        <f>IF(ISERROR(VLOOKUP($T$362,'TAR FIN'!$A$1:$O$88,15,0)),0,VLOOKUP($T$362,'TAR FIN'!$A$1:$O$88,15,0))*(1-0.06)</f>
        <v>0</v>
      </c>
      <c r="X362" s="52">
        <f>IF(ISERROR(VLOOKUP($U$362,'TAR FIN'!$A$1:$O$88,15,0)),0,VLOOKUP($U$362,'TAR FIN'!$A$1:$O$88,15,0))*(1-0.06)</f>
        <v>0</v>
      </c>
      <c r="Y362" s="52"/>
      <c r="Z362" s="52">
        <f ca="1">('TUSD BE'!$AM$48+'TUSD BF_350'!$AM$48+'TUSD CVA'!$AM$48)*1*(1-0.03)</f>
        <v>301.17529999999999</v>
      </c>
      <c r="AA362" s="52">
        <f ca="1">('TE BE'!$AB$39+'TE BF_350'!$AB$39+'TE CVA'!$AB$39)*1*(1-0.03)</f>
        <v>254.65409999999997</v>
      </c>
      <c r="AB362" s="6">
        <f>$K$362*$V$362</f>
        <v>0</v>
      </c>
      <c r="AC362" s="6">
        <f>$M$362*$W$362</f>
        <v>0</v>
      </c>
      <c r="AD362" s="6">
        <f>$O$362*$X$362</f>
        <v>0</v>
      </c>
      <c r="AE362" s="6">
        <f>$K$362*$Y$362</f>
        <v>0</v>
      </c>
      <c r="AF362" s="6">
        <f ca="1">$M$362*$Z$362</f>
        <v>265.93778989999998</v>
      </c>
      <c r="AG362" s="6">
        <f ca="1">$O$362*$AA$362</f>
        <v>224.85957029999997</v>
      </c>
    </row>
    <row r="363" spans="1:33" ht="11.25" customHeight="1" x14ac:dyDescent="0.25">
      <c r="A363" s="4" t="s">
        <v>21</v>
      </c>
      <c r="B363" s="4" t="s">
        <v>32</v>
      </c>
      <c r="C363" s="4" t="s">
        <v>23</v>
      </c>
      <c r="D363" s="4" t="s">
        <v>47</v>
      </c>
      <c r="E363" s="4" t="s">
        <v>48</v>
      </c>
      <c r="F363" s="4" t="s">
        <v>25</v>
      </c>
      <c r="G363" s="4" t="s">
        <v>25</v>
      </c>
      <c r="H363" s="4" t="s">
        <v>25</v>
      </c>
      <c r="I363" s="5">
        <v>44621</v>
      </c>
      <c r="J363" s="6">
        <v>0</v>
      </c>
      <c r="K363" s="52">
        <v>0</v>
      </c>
      <c r="L363" s="6">
        <v>0.71099999999999997</v>
      </c>
      <c r="M363" s="52">
        <v>0.71099999999999997</v>
      </c>
      <c r="N363" s="6">
        <v>0.71099999999999997</v>
      </c>
      <c r="O363" s="52">
        <v>0.71099999999999997</v>
      </c>
      <c r="P363" s="6">
        <v>1</v>
      </c>
      <c r="Q363" s="4" t="s">
        <v>26</v>
      </c>
      <c r="R363" s="4">
        <v>0</v>
      </c>
      <c r="S363" s="6">
        <v>0</v>
      </c>
      <c r="T363" s="6">
        <v>46</v>
      </c>
      <c r="U363" s="6">
        <v>84</v>
      </c>
      <c r="V363" s="52">
        <f>IF(ISERROR(VLOOKUP($S$363,'TAR FIN'!$A$1:$O$88,15,0)),0,VLOOKUP($S$363,'TAR FIN'!$A$1:$O$88,15,0))</f>
        <v>0</v>
      </c>
      <c r="W363" s="52">
        <f>IF(ISERROR(VLOOKUP($T$363,'TAR FIN'!$A$1:$O$88,15,0)),0,VLOOKUP($T$363,'TAR FIN'!$A$1:$O$88,15,0))*(1-0.06)</f>
        <v>0</v>
      </c>
      <c r="X363" s="52">
        <f>IF(ISERROR(VLOOKUP($U$363,'TAR FIN'!$A$1:$O$88,15,0)),0,VLOOKUP($U$363,'TAR FIN'!$A$1:$O$88,15,0))*(1-0.06)</f>
        <v>0</v>
      </c>
      <c r="Y363" s="52"/>
      <c r="Z363" s="52">
        <f ca="1">('TUSD BE'!$AM$48+'TUSD BF_350'!$AM$48+'TUSD CVA'!$AM$48)*1*(1-0.03)</f>
        <v>301.17529999999999</v>
      </c>
      <c r="AA363" s="52">
        <f ca="1">('TE BE'!$AB$39+'TE BF_350'!$AB$39+'TE CVA'!$AB$39)*1*(1-0.03)</f>
        <v>254.65409999999997</v>
      </c>
      <c r="AB363" s="6">
        <f>$K$363*$V$363</f>
        <v>0</v>
      </c>
      <c r="AC363" s="6">
        <f>$M$363*$W$363</f>
        <v>0</v>
      </c>
      <c r="AD363" s="6">
        <f>$O$363*$X$363</f>
        <v>0</v>
      </c>
      <c r="AE363" s="6">
        <f>$K$363*$Y$363</f>
        <v>0</v>
      </c>
      <c r="AF363" s="6">
        <f ca="1">$M$363*$Z$363</f>
        <v>214.13563829999998</v>
      </c>
      <c r="AG363" s="6">
        <f ca="1">$O$363*$AA$363</f>
        <v>181.05906509999997</v>
      </c>
    </row>
    <row r="364" spans="1:33" ht="11.25" customHeight="1" x14ac:dyDescent="0.25">
      <c r="A364" s="4" t="s">
        <v>21</v>
      </c>
      <c r="B364" s="4" t="s">
        <v>32</v>
      </c>
      <c r="C364" s="4" t="s">
        <v>23</v>
      </c>
      <c r="D364" s="4" t="s">
        <v>47</v>
      </c>
      <c r="E364" s="4" t="s">
        <v>48</v>
      </c>
      <c r="F364" s="4" t="s">
        <v>25</v>
      </c>
      <c r="G364" s="4" t="s">
        <v>25</v>
      </c>
      <c r="H364" s="4" t="s">
        <v>25</v>
      </c>
      <c r="I364" s="5">
        <v>44652</v>
      </c>
      <c r="J364" s="6">
        <v>0</v>
      </c>
      <c r="K364" s="52">
        <v>0</v>
      </c>
      <c r="L364" s="6">
        <v>0.79400000000000004</v>
      </c>
      <c r="M364" s="52">
        <v>0.79400000000000004</v>
      </c>
      <c r="N364" s="6">
        <v>0.79400000000000004</v>
      </c>
      <c r="O364" s="52">
        <v>0.79400000000000004</v>
      </c>
      <c r="P364" s="6">
        <v>1</v>
      </c>
      <c r="Q364" s="4" t="s">
        <v>26</v>
      </c>
      <c r="R364" s="4">
        <v>0</v>
      </c>
      <c r="S364" s="6">
        <v>0</v>
      </c>
      <c r="T364" s="6">
        <v>46</v>
      </c>
      <c r="U364" s="6">
        <v>84</v>
      </c>
      <c r="V364" s="52">
        <f>IF(ISERROR(VLOOKUP($S$364,'TAR FIN'!$A$1:$O$88,15,0)),0,VLOOKUP($S$364,'TAR FIN'!$A$1:$O$88,15,0))</f>
        <v>0</v>
      </c>
      <c r="W364" s="52">
        <f>IF(ISERROR(VLOOKUP($T$364,'TAR FIN'!$A$1:$O$88,15,0)),0,VLOOKUP($T$364,'TAR FIN'!$A$1:$O$88,15,0))*(1-0.06)</f>
        <v>0</v>
      </c>
      <c r="X364" s="52">
        <f>IF(ISERROR(VLOOKUP($U$364,'TAR FIN'!$A$1:$O$88,15,0)),0,VLOOKUP($U$364,'TAR FIN'!$A$1:$O$88,15,0))*(1-0.06)</f>
        <v>0</v>
      </c>
      <c r="Y364" s="52"/>
      <c r="Z364" s="52">
        <f ca="1">('TUSD BE'!$AM$48+'TUSD BF_350'!$AM$48+'TUSD CVA'!$AM$48)*1*(1-0.03)</f>
        <v>301.17529999999999</v>
      </c>
      <c r="AA364" s="52">
        <f ca="1">('TE BE'!$AB$39+'TE BF_350'!$AB$39+'TE CVA'!$AB$39)*1*(1-0.03)</f>
        <v>254.65409999999997</v>
      </c>
      <c r="AB364" s="6">
        <f>$K$364*$V$364</f>
        <v>0</v>
      </c>
      <c r="AC364" s="6">
        <f>$M$364*$W$364</f>
        <v>0</v>
      </c>
      <c r="AD364" s="6">
        <f>$O$364*$X$364</f>
        <v>0</v>
      </c>
      <c r="AE364" s="6">
        <f>$K$364*$Y$364</f>
        <v>0</v>
      </c>
      <c r="AF364" s="6">
        <f ca="1">$M$364*$Z$364</f>
        <v>239.13318820000001</v>
      </c>
      <c r="AG364" s="6">
        <f ca="1">$O$364*$AA$364</f>
        <v>202.19535539999998</v>
      </c>
    </row>
    <row r="365" spans="1:33" ht="11.25" customHeight="1" x14ac:dyDescent="0.25">
      <c r="A365" s="4" t="s">
        <v>21</v>
      </c>
      <c r="B365" s="4" t="s">
        <v>32</v>
      </c>
      <c r="C365" s="4" t="s">
        <v>23</v>
      </c>
      <c r="D365" s="4" t="s">
        <v>47</v>
      </c>
      <c r="E365" s="4" t="s">
        <v>48</v>
      </c>
      <c r="F365" s="4" t="s">
        <v>25</v>
      </c>
      <c r="G365" s="4" t="s">
        <v>25</v>
      </c>
      <c r="H365" s="4" t="s">
        <v>25</v>
      </c>
      <c r="I365" s="5">
        <v>44682</v>
      </c>
      <c r="J365" s="6">
        <v>0</v>
      </c>
      <c r="K365" s="52">
        <v>0</v>
      </c>
      <c r="L365" s="6">
        <v>0.67600000000000005</v>
      </c>
      <c r="M365" s="52">
        <v>0.67600000000000005</v>
      </c>
      <c r="N365" s="6">
        <v>0.67600000000000005</v>
      </c>
      <c r="O365" s="52">
        <v>0.67600000000000005</v>
      </c>
      <c r="P365" s="6">
        <v>1</v>
      </c>
      <c r="Q365" s="4" t="s">
        <v>26</v>
      </c>
      <c r="R365" s="4">
        <v>0</v>
      </c>
      <c r="S365" s="6">
        <v>0</v>
      </c>
      <c r="T365" s="6">
        <v>46</v>
      </c>
      <c r="U365" s="6">
        <v>84</v>
      </c>
      <c r="V365" s="52">
        <f>IF(ISERROR(VLOOKUP($S$365,'TAR FIN'!$A$1:$O$88,15,0)),0,VLOOKUP($S$365,'TAR FIN'!$A$1:$O$88,15,0))</f>
        <v>0</v>
      </c>
      <c r="W365" s="52">
        <f>IF(ISERROR(VLOOKUP($T$365,'TAR FIN'!$A$1:$O$88,15,0)),0,VLOOKUP($T$365,'TAR FIN'!$A$1:$O$88,15,0))*(1-0.06)</f>
        <v>0</v>
      </c>
      <c r="X365" s="52">
        <f>IF(ISERROR(VLOOKUP($U$365,'TAR FIN'!$A$1:$O$88,15,0)),0,VLOOKUP($U$365,'TAR FIN'!$A$1:$O$88,15,0))*(1-0.06)</f>
        <v>0</v>
      </c>
      <c r="Y365" s="52"/>
      <c r="Z365" s="52">
        <f ca="1">('TUSD BE'!$AM$48+'TUSD BF_350'!$AM$48+'TUSD CVA'!$AM$48)*1*(1-0.03)</f>
        <v>301.17529999999999</v>
      </c>
      <c r="AA365" s="52">
        <f ca="1">('TE BE'!$AB$39+'TE BF_350'!$AB$39+'TE CVA'!$AB$39)*1*(1-0.03)</f>
        <v>254.65409999999997</v>
      </c>
      <c r="AB365" s="6">
        <f>$K$365*$V$365</f>
        <v>0</v>
      </c>
      <c r="AC365" s="6">
        <f>$M$365*$W$365</f>
        <v>0</v>
      </c>
      <c r="AD365" s="6">
        <f>$O$365*$X$365</f>
        <v>0</v>
      </c>
      <c r="AE365" s="6">
        <f>$K$365*$Y$365</f>
        <v>0</v>
      </c>
      <c r="AF365" s="6">
        <f ca="1">$M$365*$Z$365</f>
        <v>203.59450280000001</v>
      </c>
      <c r="AG365" s="6">
        <f ca="1">$O$365*$AA$365</f>
        <v>172.1461716</v>
      </c>
    </row>
    <row r="366" spans="1:33" ht="11.25" customHeight="1" x14ac:dyDescent="0.25">
      <c r="A366" s="4" t="s">
        <v>21</v>
      </c>
      <c r="B366" s="4" t="s">
        <v>32</v>
      </c>
      <c r="C366" s="4" t="s">
        <v>23</v>
      </c>
      <c r="D366" s="4" t="s">
        <v>47</v>
      </c>
      <c r="E366" s="4" t="s">
        <v>48</v>
      </c>
      <c r="F366" s="4" t="s">
        <v>25</v>
      </c>
      <c r="G366" s="4" t="s">
        <v>25</v>
      </c>
      <c r="H366" s="4" t="s">
        <v>25</v>
      </c>
      <c r="I366" s="5">
        <v>44713</v>
      </c>
      <c r="J366" s="6">
        <v>0</v>
      </c>
      <c r="K366" s="52">
        <v>0</v>
      </c>
      <c r="L366" s="6">
        <v>0.84099999999999997</v>
      </c>
      <c r="M366" s="52">
        <v>0.84099999999999997</v>
      </c>
      <c r="N366" s="6">
        <v>0.84099999999999997</v>
      </c>
      <c r="O366" s="52">
        <v>0.84099999999999997</v>
      </c>
      <c r="P366" s="6">
        <v>1</v>
      </c>
      <c r="Q366" s="4" t="s">
        <v>26</v>
      </c>
      <c r="R366" s="4">
        <v>0</v>
      </c>
      <c r="S366" s="6">
        <v>0</v>
      </c>
      <c r="T366" s="6">
        <v>46</v>
      </c>
      <c r="U366" s="6">
        <v>84</v>
      </c>
      <c r="V366" s="52">
        <f>IF(ISERROR(VLOOKUP($S$366,'TAR FIN'!$A$1:$O$88,15,0)),0,VLOOKUP($S$366,'TAR FIN'!$A$1:$O$88,15,0))</f>
        <v>0</v>
      </c>
      <c r="W366" s="52">
        <f>IF(ISERROR(VLOOKUP($T$366,'TAR FIN'!$A$1:$O$88,15,0)),0,VLOOKUP($T$366,'TAR FIN'!$A$1:$O$88,15,0))*(1-0.06)</f>
        <v>0</v>
      </c>
      <c r="X366" s="52">
        <f>IF(ISERROR(VLOOKUP($U$366,'TAR FIN'!$A$1:$O$88,15,0)),0,VLOOKUP($U$366,'TAR FIN'!$A$1:$O$88,15,0))*(1-0.06)</f>
        <v>0</v>
      </c>
      <c r="Y366" s="52"/>
      <c r="Z366" s="52">
        <f ca="1">('TUSD BE'!$AM$48+'TUSD BF_350'!$AM$48+'TUSD CVA'!$AM$48)*1*(1-0.03)</f>
        <v>301.17529999999999</v>
      </c>
      <c r="AA366" s="52">
        <f ca="1">('TE BE'!$AB$39+'TE BF_350'!$AB$39+'TE CVA'!$AB$39)*1*(1-0.03)</f>
        <v>254.65409999999997</v>
      </c>
      <c r="AB366" s="6">
        <f>$K$366*$V$366</f>
        <v>0</v>
      </c>
      <c r="AC366" s="6">
        <f>$M$366*$W$366</f>
        <v>0</v>
      </c>
      <c r="AD366" s="6">
        <f>$O$366*$X$366</f>
        <v>0</v>
      </c>
      <c r="AE366" s="6">
        <f>$K$366*$Y$366</f>
        <v>0</v>
      </c>
      <c r="AF366" s="6">
        <f ca="1">$M$366*$Z$366</f>
        <v>253.2884273</v>
      </c>
      <c r="AG366" s="6">
        <f ca="1">$O$366*$AA$366</f>
        <v>214.16409809999996</v>
      </c>
    </row>
    <row r="367" spans="1:33" ht="11.25" customHeight="1" x14ac:dyDescent="0.25">
      <c r="A367" s="4" t="s">
        <v>21</v>
      </c>
      <c r="B367" s="4" t="s">
        <v>32</v>
      </c>
      <c r="C367" s="4" t="s">
        <v>23</v>
      </c>
      <c r="D367" s="4" t="s">
        <v>47</v>
      </c>
      <c r="E367" s="4" t="s">
        <v>48</v>
      </c>
      <c r="F367" s="4" t="s">
        <v>25</v>
      </c>
      <c r="G367" s="4" t="s">
        <v>25</v>
      </c>
      <c r="H367" s="4" t="s">
        <v>25</v>
      </c>
      <c r="I367" s="5">
        <v>44743</v>
      </c>
      <c r="J367" s="6">
        <v>0</v>
      </c>
      <c r="K367" s="52">
        <v>0</v>
      </c>
      <c r="L367" s="6">
        <v>0.82899999999999996</v>
      </c>
      <c r="M367" s="52">
        <v>0.82899999999999996</v>
      </c>
      <c r="N367" s="6">
        <v>0.82899999999999996</v>
      </c>
      <c r="O367" s="52">
        <v>0.82899999999999996</v>
      </c>
      <c r="P367" s="6">
        <v>1</v>
      </c>
      <c r="Q367" s="4" t="s">
        <v>26</v>
      </c>
      <c r="R367" s="4">
        <v>0</v>
      </c>
      <c r="S367" s="6">
        <v>0</v>
      </c>
      <c r="T367" s="6">
        <v>46</v>
      </c>
      <c r="U367" s="6">
        <v>84</v>
      </c>
      <c r="V367" s="52">
        <f>IF(ISERROR(VLOOKUP($S$367,'TAR FIN'!$A$1:$O$88,15,0)),0,VLOOKUP($S$367,'TAR FIN'!$A$1:$O$88,15,0))</f>
        <v>0</v>
      </c>
      <c r="W367" s="52">
        <f>IF(ISERROR(VLOOKUP($T$367,'TAR FIN'!$A$1:$O$88,15,0)),0,VLOOKUP($T$367,'TAR FIN'!$A$1:$O$88,15,0))*(1-0.06)</f>
        <v>0</v>
      </c>
      <c r="X367" s="52">
        <f>IF(ISERROR(VLOOKUP($U$367,'TAR FIN'!$A$1:$O$88,15,0)),0,VLOOKUP($U$367,'TAR FIN'!$A$1:$O$88,15,0))*(1-0.06)</f>
        <v>0</v>
      </c>
      <c r="Y367" s="52"/>
      <c r="Z367" s="52">
        <f ca="1">('TUSD BE'!$AM$48+'TUSD BF_350'!$AM$48+'TUSD CVA'!$AM$48)*1*(1-0.03)</f>
        <v>301.17529999999999</v>
      </c>
      <c r="AA367" s="52">
        <f ca="1">('TE BE'!$AB$39+'TE BF_350'!$AB$39+'TE CVA'!$AB$39)*1*(1-0.03)</f>
        <v>254.65409999999997</v>
      </c>
      <c r="AB367" s="6">
        <f>$K$367*$V$367</f>
        <v>0</v>
      </c>
      <c r="AC367" s="6">
        <f>$M$367*$W$367</f>
        <v>0</v>
      </c>
      <c r="AD367" s="6">
        <f>$O$367*$X$367</f>
        <v>0</v>
      </c>
      <c r="AE367" s="6">
        <f>$K$367*$Y$367</f>
        <v>0</v>
      </c>
      <c r="AF367" s="6">
        <f ca="1">$M$367*$Z$367</f>
        <v>249.67432369999997</v>
      </c>
      <c r="AG367" s="6">
        <f ca="1">$O$367*$AA$367</f>
        <v>211.10824889999998</v>
      </c>
    </row>
    <row r="368" spans="1:33" ht="11.25" customHeight="1" x14ac:dyDescent="0.25">
      <c r="A368" s="4" t="s">
        <v>21</v>
      </c>
      <c r="B368" s="4" t="s">
        <v>44</v>
      </c>
      <c r="C368" s="4" t="s">
        <v>23</v>
      </c>
      <c r="D368" s="4" t="s">
        <v>45</v>
      </c>
      <c r="E368" s="4" t="s">
        <v>46</v>
      </c>
      <c r="F368" s="4" t="s">
        <v>25</v>
      </c>
      <c r="G368" s="4" t="s">
        <v>25</v>
      </c>
      <c r="H368" s="4" t="s">
        <v>25</v>
      </c>
      <c r="I368" s="5">
        <v>44409</v>
      </c>
      <c r="J368" s="6">
        <v>0</v>
      </c>
      <c r="K368" s="6">
        <v>0</v>
      </c>
      <c r="L368" s="6">
        <v>30.279</v>
      </c>
      <c r="M368" s="6">
        <v>30.279</v>
      </c>
      <c r="N368" s="6">
        <v>30.279</v>
      </c>
      <c r="O368" s="6">
        <v>30.279</v>
      </c>
      <c r="P368" s="6">
        <v>1</v>
      </c>
      <c r="Q368" s="4" t="s">
        <v>26</v>
      </c>
      <c r="R368" s="4">
        <v>0</v>
      </c>
      <c r="S368" s="6">
        <v>0</v>
      </c>
      <c r="T368" s="6">
        <v>48</v>
      </c>
      <c r="U368" s="6">
        <v>86</v>
      </c>
      <c r="V368" s="6">
        <f>IF(ISERROR(VLOOKUP($S$368,'TAR FIN'!$A$1:$O$88,15,0)),0,VLOOKUP($S$368,'TAR FIN'!$A$1:$O$88,15,0))</f>
        <v>0</v>
      </c>
      <c r="W368" s="6">
        <f>IF(ISERROR(VLOOKUP($T$368,'TAR FIN'!$A$1:$O$88,15,0)),0,VLOOKUP($T$368,'TAR FIN'!$A$1:$O$88,15,0))</f>
        <v>0</v>
      </c>
      <c r="X368" s="6">
        <f>IF(ISERROR(VLOOKUP($U$368,'TAR FIN'!$A$1:$O$88,15,0)),0,VLOOKUP($U$368,'TAR FIN'!$A$1:$O$88,15,0))</f>
        <v>0</v>
      </c>
      <c r="Y368" s="6"/>
      <c r="Z368" s="6">
        <f ca="1">('TUSD BE'!$AM$50+'TUSD BF_350'!$AM$50+'TUSD CVA'!$AM$50)*1</f>
        <v>170.77</v>
      </c>
      <c r="AA368" s="6">
        <f ca="1">('TE BE'!$AB$41+'TE BF_350'!$AB$41+'TE CVA'!$AB$41)*1</f>
        <v>144.38999999999999</v>
      </c>
      <c r="AB368" s="6">
        <f>$K$368*$V$368</f>
        <v>0</v>
      </c>
      <c r="AC368" s="6">
        <f>$M$368*$W$368</f>
        <v>0</v>
      </c>
      <c r="AD368" s="6">
        <f>$O$368*$X$368</f>
        <v>0</v>
      </c>
      <c r="AE368" s="6">
        <f>$K$368*$Y$368</f>
        <v>0</v>
      </c>
      <c r="AF368" s="6">
        <f ca="1">$M$368*$Z$368</f>
        <v>5170.7448300000005</v>
      </c>
      <c r="AG368" s="6">
        <f ca="1">$O$368*$AA$368</f>
        <v>4371.9848099999999</v>
      </c>
    </row>
    <row r="369" spans="1:33" ht="11.25" customHeight="1" x14ac:dyDescent="0.25">
      <c r="A369" s="4" t="s">
        <v>21</v>
      </c>
      <c r="B369" s="4" t="s">
        <v>44</v>
      </c>
      <c r="C369" s="4" t="s">
        <v>23</v>
      </c>
      <c r="D369" s="4" t="s">
        <v>45</v>
      </c>
      <c r="E369" s="4" t="s">
        <v>46</v>
      </c>
      <c r="F369" s="4" t="s">
        <v>25</v>
      </c>
      <c r="G369" s="4" t="s">
        <v>25</v>
      </c>
      <c r="H369" s="4" t="s">
        <v>25</v>
      </c>
      <c r="I369" s="5">
        <v>44440</v>
      </c>
      <c r="J369" s="6">
        <v>0</v>
      </c>
      <c r="K369" s="6">
        <v>0</v>
      </c>
      <c r="L369" s="6">
        <v>29.314</v>
      </c>
      <c r="M369" s="6">
        <v>29.314</v>
      </c>
      <c r="N369" s="6">
        <v>29.314</v>
      </c>
      <c r="O369" s="6">
        <v>29.314</v>
      </c>
      <c r="P369" s="6">
        <v>1</v>
      </c>
      <c r="Q369" s="4" t="s">
        <v>26</v>
      </c>
      <c r="R369" s="4">
        <v>0</v>
      </c>
      <c r="S369" s="6">
        <v>0</v>
      </c>
      <c r="T369" s="6">
        <v>48</v>
      </c>
      <c r="U369" s="6">
        <v>86</v>
      </c>
      <c r="V369" s="6">
        <f>IF(ISERROR(VLOOKUP($S$369,'TAR FIN'!$A$1:$O$88,15,0)),0,VLOOKUP($S$369,'TAR FIN'!$A$1:$O$88,15,0))</f>
        <v>0</v>
      </c>
      <c r="W369" s="6">
        <f>IF(ISERROR(VLOOKUP($T$369,'TAR FIN'!$A$1:$O$88,15,0)),0,VLOOKUP($T$369,'TAR FIN'!$A$1:$O$88,15,0))</f>
        <v>0</v>
      </c>
      <c r="X369" s="6">
        <f>IF(ISERROR(VLOOKUP($U$369,'TAR FIN'!$A$1:$O$88,15,0)),0,VLOOKUP($U$369,'TAR FIN'!$A$1:$O$88,15,0))</f>
        <v>0</v>
      </c>
      <c r="Y369" s="6"/>
      <c r="Z369" s="6">
        <f ca="1">('TUSD BE'!$AM$50+'TUSD BF_350'!$AM$50+'TUSD CVA'!$AM$50)*1</f>
        <v>170.77</v>
      </c>
      <c r="AA369" s="6">
        <f ca="1">('TE BE'!$AB$41+'TE BF_350'!$AB$41+'TE CVA'!$AB$41)*1</f>
        <v>144.38999999999999</v>
      </c>
      <c r="AB369" s="6">
        <f>$K$369*$V$369</f>
        <v>0</v>
      </c>
      <c r="AC369" s="6">
        <f>$M$369*$W$369</f>
        <v>0</v>
      </c>
      <c r="AD369" s="6">
        <f>$O$369*$X$369</f>
        <v>0</v>
      </c>
      <c r="AE369" s="6">
        <f>$K$369*$Y$369</f>
        <v>0</v>
      </c>
      <c r="AF369" s="6">
        <f ca="1">$M$369*$Z$369</f>
        <v>5005.9517800000003</v>
      </c>
      <c r="AG369" s="6">
        <f ca="1">$O$369*$AA$369</f>
        <v>4232.6484599999994</v>
      </c>
    </row>
    <row r="370" spans="1:33" ht="11.25" customHeight="1" x14ac:dyDescent="0.25">
      <c r="A370" s="4" t="s">
        <v>21</v>
      </c>
      <c r="B370" s="4" t="s">
        <v>44</v>
      </c>
      <c r="C370" s="4" t="s">
        <v>23</v>
      </c>
      <c r="D370" s="4" t="s">
        <v>45</v>
      </c>
      <c r="E370" s="4" t="s">
        <v>46</v>
      </c>
      <c r="F370" s="4" t="s">
        <v>25</v>
      </c>
      <c r="G370" s="4" t="s">
        <v>25</v>
      </c>
      <c r="H370" s="4" t="s">
        <v>25</v>
      </c>
      <c r="I370" s="5">
        <v>44470</v>
      </c>
      <c r="J370" s="6">
        <v>0</v>
      </c>
      <c r="K370" s="6">
        <v>0</v>
      </c>
      <c r="L370" s="6">
        <v>30.283999999999999</v>
      </c>
      <c r="M370" s="6">
        <v>30.283999999999999</v>
      </c>
      <c r="N370" s="6">
        <v>30.283999999999999</v>
      </c>
      <c r="O370" s="6">
        <v>30.283999999999999</v>
      </c>
      <c r="P370" s="6">
        <v>1</v>
      </c>
      <c r="Q370" s="4" t="s">
        <v>26</v>
      </c>
      <c r="R370" s="4">
        <v>0</v>
      </c>
      <c r="S370" s="6">
        <v>0</v>
      </c>
      <c r="T370" s="6">
        <v>48</v>
      </c>
      <c r="U370" s="6">
        <v>86</v>
      </c>
      <c r="V370" s="6">
        <f>IF(ISERROR(VLOOKUP($S$370,'TAR FIN'!$A$1:$O$88,15,0)),0,VLOOKUP($S$370,'TAR FIN'!$A$1:$O$88,15,0))</f>
        <v>0</v>
      </c>
      <c r="W370" s="6">
        <f>IF(ISERROR(VLOOKUP($T$370,'TAR FIN'!$A$1:$O$88,15,0)),0,VLOOKUP($T$370,'TAR FIN'!$A$1:$O$88,15,0))</f>
        <v>0</v>
      </c>
      <c r="X370" s="6">
        <f>IF(ISERROR(VLOOKUP($U$370,'TAR FIN'!$A$1:$O$88,15,0)),0,VLOOKUP($U$370,'TAR FIN'!$A$1:$O$88,15,0))</f>
        <v>0</v>
      </c>
      <c r="Y370" s="6"/>
      <c r="Z370" s="6">
        <f ca="1">('TUSD BE'!$AM$50+'TUSD BF_350'!$AM$50+'TUSD CVA'!$AM$50)*1</f>
        <v>170.77</v>
      </c>
      <c r="AA370" s="6">
        <f ca="1">('TE BE'!$AB$41+'TE BF_350'!$AB$41+'TE CVA'!$AB$41)*1</f>
        <v>144.38999999999999</v>
      </c>
      <c r="AB370" s="6">
        <f>$K$370*$V$370</f>
        <v>0</v>
      </c>
      <c r="AC370" s="6">
        <f>$M$370*$W$370</f>
        <v>0</v>
      </c>
      <c r="AD370" s="6">
        <f>$O$370*$X$370</f>
        <v>0</v>
      </c>
      <c r="AE370" s="6">
        <f>$K$370*$Y$370</f>
        <v>0</v>
      </c>
      <c r="AF370" s="6">
        <f ca="1">$M$370*$Z$370</f>
        <v>5171.5986800000001</v>
      </c>
      <c r="AG370" s="6">
        <f ca="1">$O$370*$AA$370</f>
        <v>4372.7067599999991</v>
      </c>
    </row>
    <row r="371" spans="1:33" ht="11.25" customHeight="1" x14ac:dyDescent="0.25">
      <c r="A371" s="4" t="s">
        <v>21</v>
      </c>
      <c r="B371" s="4" t="s">
        <v>44</v>
      </c>
      <c r="C371" s="4" t="s">
        <v>23</v>
      </c>
      <c r="D371" s="4" t="s">
        <v>45</v>
      </c>
      <c r="E371" s="4" t="s">
        <v>46</v>
      </c>
      <c r="F371" s="4" t="s">
        <v>25</v>
      </c>
      <c r="G371" s="4" t="s">
        <v>25</v>
      </c>
      <c r="H371" s="4" t="s">
        <v>25</v>
      </c>
      <c r="I371" s="5">
        <v>44501</v>
      </c>
      <c r="J371" s="6">
        <v>0</v>
      </c>
      <c r="K371" s="6">
        <v>0</v>
      </c>
      <c r="L371" s="6">
        <v>29.344999999999999</v>
      </c>
      <c r="M371" s="6">
        <v>29.344999999999999</v>
      </c>
      <c r="N371" s="6">
        <v>29.344999999999999</v>
      </c>
      <c r="O371" s="6">
        <v>29.344999999999999</v>
      </c>
      <c r="P371" s="6">
        <v>1</v>
      </c>
      <c r="Q371" s="4" t="s">
        <v>26</v>
      </c>
      <c r="R371" s="4">
        <v>0</v>
      </c>
      <c r="S371" s="6">
        <v>0</v>
      </c>
      <c r="T371" s="6">
        <v>48</v>
      </c>
      <c r="U371" s="6">
        <v>86</v>
      </c>
      <c r="V371" s="6">
        <f>IF(ISERROR(VLOOKUP($S$371,'TAR FIN'!$A$1:$O$88,15,0)),0,VLOOKUP($S$371,'TAR FIN'!$A$1:$O$88,15,0))</f>
        <v>0</v>
      </c>
      <c r="W371" s="6">
        <f>IF(ISERROR(VLOOKUP($T$371,'TAR FIN'!$A$1:$O$88,15,0)),0,VLOOKUP($T$371,'TAR FIN'!$A$1:$O$88,15,0))</f>
        <v>0</v>
      </c>
      <c r="X371" s="6">
        <f>IF(ISERROR(VLOOKUP($U$371,'TAR FIN'!$A$1:$O$88,15,0)),0,VLOOKUP($U$371,'TAR FIN'!$A$1:$O$88,15,0))</f>
        <v>0</v>
      </c>
      <c r="Y371" s="6"/>
      <c r="Z371" s="6">
        <f ca="1">('TUSD BE'!$AM$50+'TUSD BF_350'!$AM$50+'TUSD CVA'!$AM$50)*1</f>
        <v>170.77</v>
      </c>
      <c r="AA371" s="6">
        <f ca="1">('TE BE'!$AB$41+'TE BF_350'!$AB$41+'TE CVA'!$AB$41)*1</f>
        <v>144.38999999999999</v>
      </c>
      <c r="AB371" s="6">
        <f>$K$371*$V$371</f>
        <v>0</v>
      </c>
      <c r="AC371" s="6">
        <f>$M$371*$W$371</f>
        <v>0</v>
      </c>
      <c r="AD371" s="6">
        <f>$O$371*$X$371</f>
        <v>0</v>
      </c>
      <c r="AE371" s="6">
        <f>$K$371*$Y$371</f>
        <v>0</v>
      </c>
      <c r="AF371" s="6">
        <f ca="1">$M$371*$Z$371</f>
        <v>5011.2456499999998</v>
      </c>
      <c r="AG371" s="6">
        <f ca="1">$O$371*$AA$371</f>
        <v>4237.1245499999995</v>
      </c>
    </row>
    <row r="372" spans="1:33" ht="11.25" customHeight="1" x14ac:dyDescent="0.25">
      <c r="A372" s="4" t="s">
        <v>21</v>
      </c>
      <c r="B372" s="4" t="s">
        <v>44</v>
      </c>
      <c r="C372" s="4" t="s">
        <v>23</v>
      </c>
      <c r="D372" s="4" t="s">
        <v>45</v>
      </c>
      <c r="E372" s="4" t="s">
        <v>46</v>
      </c>
      <c r="F372" s="4" t="s">
        <v>25</v>
      </c>
      <c r="G372" s="4" t="s">
        <v>25</v>
      </c>
      <c r="H372" s="4" t="s">
        <v>25</v>
      </c>
      <c r="I372" s="5">
        <v>44531</v>
      </c>
      <c r="J372" s="6">
        <v>0</v>
      </c>
      <c r="K372" s="6">
        <v>0</v>
      </c>
      <c r="L372" s="6">
        <v>31.134</v>
      </c>
      <c r="M372" s="6">
        <v>31.134</v>
      </c>
      <c r="N372" s="6">
        <v>31.134</v>
      </c>
      <c r="O372" s="6">
        <v>31.134</v>
      </c>
      <c r="P372" s="6">
        <v>1</v>
      </c>
      <c r="Q372" s="4" t="s">
        <v>26</v>
      </c>
      <c r="R372" s="4">
        <v>0</v>
      </c>
      <c r="S372" s="6">
        <v>0</v>
      </c>
      <c r="T372" s="6">
        <v>48</v>
      </c>
      <c r="U372" s="6">
        <v>86</v>
      </c>
      <c r="V372" s="6">
        <f>IF(ISERROR(VLOOKUP($S$372,'TAR FIN'!$A$1:$O$88,15,0)),0,VLOOKUP($S$372,'TAR FIN'!$A$1:$O$88,15,0))</f>
        <v>0</v>
      </c>
      <c r="W372" s="6">
        <f>IF(ISERROR(VLOOKUP($T$372,'TAR FIN'!$A$1:$O$88,15,0)),0,VLOOKUP($T$372,'TAR FIN'!$A$1:$O$88,15,0))</f>
        <v>0</v>
      </c>
      <c r="X372" s="6">
        <f>IF(ISERROR(VLOOKUP($U$372,'TAR FIN'!$A$1:$O$88,15,0)),0,VLOOKUP($U$372,'TAR FIN'!$A$1:$O$88,15,0))</f>
        <v>0</v>
      </c>
      <c r="Y372" s="6"/>
      <c r="Z372" s="6">
        <f ca="1">('TUSD BE'!$AM$50+'TUSD BF_350'!$AM$50+'TUSD CVA'!$AM$50)*1</f>
        <v>170.77</v>
      </c>
      <c r="AA372" s="6">
        <f ca="1">('TE BE'!$AB$41+'TE BF_350'!$AB$41+'TE CVA'!$AB$41)*1</f>
        <v>144.38999999999999</v>
      </c>
      <c r="AB372" s="6">
        <f>$K$372*$V$372</f>
        <v>0</v>
      </c>
      <c r="AC372" s="6">
        <f>$M$372*$W$372</f>
        <v>0</v>
      </c>
      <c r="AD372" s="6">
        <f>$O$372*$X$372</f>
        <v>0</v>
      </c>
      <c r="AE372" s="6">
        <f>$K$372*$Y$372</f>
        <v>0</v>
      </c>
      <c r="AF372" s="6">
        <f ca="1">$M$372*$Z$372</f>
        <v>5316.7531800000006</v>
      </c>
      <c r="AG372" s="6">
        <f ca="1">$O$372*$AA$372</f>
        <v>4495.4382599999999</v>
      </c>
    </row>
    <row r="373" spans="1:33" ht="11.25" customHeight="1" x14ac:dyDescent="0.25">
      <c r="A373" s="4" t="s">
        <v>21</v>
      </c>
      <c r="B373" s="4" t="s">
        <v>44</v>
      </c>
      <c r="C373" s="4" t="s">
        <v>23</v>
      </c>
      <c r="D373" s="4" t="s">
        <v>45</v>
      </c>
      <c r="E373" s="4" t="s">
        <v>46</v>
      </c>
      <c r="F373" s="4" t="s">
        <v>25</v>
      </c>
      <c r="G373" s="4" t="s">
        <v>25</v>
      </c>
      <c r="H373" s="4" t="s">
        <v>25</v>
      </c>
      <c r="I373" s="5">
        <v>44562</v>
      </c>
      <c r="J373" s="6">
        <v>0</v>
      </c>
      <c r="K373" s="6">
        <v>0</v>
      </c>
      <c r="L373" s="6">
        <v>30.346</v>
      </c>
      <c r="M373" s="6">
        <v>30.346</v>
      </c>
      <c r="N373" s="6">
        <v>30.346</v>
      </c>
      <c r="O373" s="6">
        <v>30.346</v>
      </c>
      <c r="P373" s="6">
        <v>1</v>
      </c>
      <c r="Q373" s="4" t="s">
        <v>26</v>
      </c>
      <c r="R373" s="4">
        <v>0</v>
      </c>
      <c r="S373" s="6">
        <v>0</v>
      </c>
      <c r="T373" s="6">
        <v>48</v>
      </c>
      <c r="U373" s="6">
        <v>86</v>
      </c>
      <c r="V373" s="6">
        <f>IF(ISERROR(VLOOKUP($S$373,'TAR FIN'!$A$1:$O$88,15,0)),0,VLOOKUP($S$373,'TAR FIN'!$A$1:$O$88,15,0))</f>
        <v>0</v>
      </c>
      <c r="W373" s="6">
        <f>IF(ISERROR(VLOOKUP($T$373,'TAR FIN'!$A$1:$O$88,15,0)),0,VLOOKUP($T$373,'TAR FIN'!$A$1:$O$88,15,0))</f>
        <v>0</v>
      </c>
      <c r="X373" s="6">
        <f>IF(ISERROR(VLOOKUP($U$373,'TAR FIN'!$A$1:$O$88,15,0)),0,VLOOKUP($U$373,'TAR FIN'!$A$1:$O$88,15,0))</f>
        <v>0</v>
      </c>
      <c r="Y373" s="6"/>
      <c r="Z373" s="6">
        <f ca="1">('TUSD BE'!$AM$50+'TUSD BF_350'!$AM$50+'TUSD CVA'!$AM$50)*1</f>
        <v>170.77</v>
      </c>
      <c r="AA373" s="6">
        <f ca="1">('TE BE'!$AB$41+'TE BF_350'!$AB$41+'TE CVA'!$AB$41)*1</f>
        <v>144.38999999999999</v>
      </c>
      <c r="AB373" s="6">
        <f>$K$373*$V$373</f>
        <v>0</v>
      </c>
      <c r="AC373" s="6">
        <f>$M$373*$W$373</f>
        <v>0</v>
      </c>
      <c r="AD373" s="6">
        <f>$O$373*$X$373</f>
        <v>0</v>
      </c>
      <c r="AE373" s="6">
        <f>$K$373*$Y$373</f>
        <v>0</v>
      </c>
      <c r="AF373" s="6">
        <f ca="1">$M$373*$Z$373</f>
        <v>5182.18642</v>
      </c>
      <c r="AG373" s="6">
        <f ca="1">$O$373*$AA$373</f>
        <v>4381.6589399999993</v>
      </c>
    </row>
    <row r="374" spans="1:33" ht="11.25" customHeight="1" x14ac:dyDescent="0.25">
      <c r="A374" s="4" t="s">
        <v>21</v>
      </c>
      <c r="B374" s="4" t="s">
        <v>44</v>
      </c>
      <c r="C374" s="4" t="s">
        <v>23</v>
      </c>
      <c r="D374" s="4" t="s">
        <v>45</v>
      </c>
      <c r="E374" s="4" t="s">
        <v>46</v>
      </c>
      <c r="F374" s="4" t="s">
        <v>25</v>
      </c>
      <c r="G374" s="4" t="s">
        <v>25</v>
      </c>
      <c r="H374" s="4" t="s">
        <v>25</v>
      </c>
      <c r="I374" s="5">
        <v>44593</v>
      </c>
      <c r="J374" s="6">
        <v>0</v>
      </c>
      <c r="K374" s="6">
        <v>0</v>
      </c>
      <c r="L374" s="6">
        <v>27.167000000000002</v>
      </c>
      <c r="M374" s="6">
        <v>27.167000000000002</v>
      </c>
      <c r="N374" s="6">
        <v>27.167000000000002</v>
      </c>
      <c r="O374" s="6">
        <v>27.167000000000002</v>
      </c>
      <c r="P374" s="6">
        <v>1</v>
      </c>
      <c r="Q374" s="4" t="s">
        <v>26</v>
      </c>
      <c r="R374" s="4">
        <v>0</v>
      </c>
      <c r="S374" s="6">
        <v>0</v>
      </c>
      <c r="T374" s="6">
        <v>48</v>
      </c>
      <c r="U374" s="6">
        <v>86</v>
      </c>
      <c r="V374" s="6">
        <f>IF(ISERROR(VLOOKUP($S$374,'TAR FIN'!$A$1:$O$88,15,0)),0,VLOOKUP($S$374,'TAR FIN'!$A$1:$O$88,15,0))</f>
        <v>0</v>
      </c>
      <c r="W374" s="6">
        <f>IF(ISERROR(VLOOKUP($T$374,'TAR FIN'!$A$1:$O$88,15,0)),0,VLOOKUP($T$374,'TAR FIN'!$A$1:$O$88,15,0))</f>
        <v>0</v>
      </c>
      <c r="X374" s="6">
        <f>IF(ISERROR(VLOOKUP($U$374,'TAR FIN'!$A$1:$O$88,15,0)),0,VLOOKUP($U$374,'TAR FIN'!$A$1:$O$88,15,0))</f>
        <v>0</v>
      </c>
      <c r="Y374" s="6"/>
      <c r="Z374" s="6">
        <f ca="1">('TUSD BE'!$AM$50+'TUSD BF_350'!$AM$50+'TUSD CVA'!$AM$50)*1</f>
        <v>170.77</v>
      </c>
      <c r="AA374" s="6">
        <f ca="1">('TE BE'!$AB$41+'TE BF_350'!$AB$41+'TE CVA'!$AB$41)*1</f>
        <v>144.38999999999999</v>
      </c>
      <c r="AB374" s="6">
        <f>$K$374*$V$374</f>
        <v>0</v>
      </c>
      <c r="AC374" s="6">
        <f>$M$374*$W$374</f>
        <v>0</v>
      </c>
      <c r="AD374" s="6">
        <f>$O$374*$X$374</f>
        <v>0</v>
      </c>
      <c r="AE374" s="6">
        <f>$K$374*$Y$374</f>
        <v>0</v>
      </c>
      <c r="AF374" s="6">
        <f ca="1">$M$374*$Z$374</f>
        <v>4639.3085900000005</v>
      </c>
      <c r="AG374" s="6">
        <f ca="1">$O$374*$AA$374</f>
        <v>3922.6431299999999</v>
      </c>
    </row>
    <row r="375" spans="1:33" ht="11.25" customHeight="1" x14ac:dyDescent="0.25">
      <c r="A375" s="4" t="s">
        <v>21</v>
      </c>
      <c r="B375" s="4" t="s">
        <v>44</v>
      </c>
      <c r="C375" s="4" t="s">
        <v>23</v>
      </c>
      <c r="D375" s="4" t="s">
        <v>45</v>
      </c>
      <c r="E375" s="4" t="s">
        <v>46</v>
      </c>
      <c r="F375" s="4" t="s">
        <v>25</v>
      </c>
      <c r="G375" s="4" t="s">
        <v>25</v>
      </c>
      <c r="H375" s="4" t="s">
        <v>25</v>
      </c>
      <c r="I375" s="5">
        <v>44621</v>
      </c>
      <c r="J375" s="6">
        <v>0</v>
      </c>
      <c r="K375" s="6">
        <v>0</v>
      </c>
      <c r="L375" s="6">
        <v>30.222000000000001</v>
      </c>
      <c r="M375" s="6">
        <v>30.222000000000001</v>
      </c>
      <c r="N375" s="6">
        <v>30.222000000000001</v>
      </c>
      <c r="O375" s="6">
        <v>30.222000000000001</v>
      </c>
      <c r="P375" s="6">
        <v>1</v>
      </c>
      <c r="Q375" s="4" t="s">
        <v>26</v>
      </c>
      <c r="R375" s="4">
        <v>0</v>
      </c>
      <c r="S375" s="6">
        <v>0</v>
      </c>
      <c r="T375" s="6">
        <v>48</v>
      </c>
      <c r="U375" s="6">
        <v>86</v>
      </c>
      <c r="V375" s="6">
        <f>IF(ISERROR(VLOOKUP($S$375,'TAR FIN'!$A$1:$O$88,15,0)),0,VLOOKUP($S$375,'TAR FIN'!$A$1:$O$88,15,0))</f>
        <v>0</v>
      </c>
      <c r="W375" s="6">
        <f>IF(ISERROR(VLOOKUP($T$375,'TAR FIN'!$A$1:$O$88,15,0)),0,VLOOKUP($T$375,'TAR FIN'!$A$1:$O$88,15,0))</f>
        <v>0</v>
      </c>
      <c r="X375" s="6">
        <f>IF(ISERROR(VLOOKUP($U$375,'TAR FIN'!$A$1:$O$88,15,0)),0,VLOOKUP($U$375,'TAR FIN'!$A$1:$O$88,15,0))</f>
        <v>0</v>
      </c>
      <c r="Y375" s="6"/>
      <c r="Z375" s="6">
        <f ca="1">('TUSD BE'!$AM$50+'TUSD BF_350'!$AM$50+'TUSD CVA'!$AM$50)*1</f>
        <v>170.77</v>
      </c>
      <c r="AA375" s="6">
        <f ca="1">('TE BE'!$AB$41+'TE BF_350'!$AB$41+'TE CVA'!$AB$41)*1</f>
        <v>144.38999999999999</v>
      </c>
      <c r="AB375" s="6">
        <f>$K$375*$V$375</f>
        <v>0</v>
      </c>
      <c r="AC375" s="6">
        <f>$M$375*$W$375</f>
        <v>0</v>
      </c>
      <c r="AD375" s="6">
        <f>$O$375*$X$375</f>
        <v>0</v>
      </c>
      <c r="AE375" s="6">
        <f>$K$375*$Y$375</f>
        <v>0</v>
      </c>
      <c r="AF375" s="6">
        <f ca="1">$M$375*$Z$375</f>
        <v>5161.0109400000001</v>
      </c>
      <c r="AG375" s="6">
        <f ca="1">$O$375*$AA$375</f>
        <v>4363.7545799999998</v>
      </c>
    </row>
    <row r="376" spans="1:33" ht="11.25" customHeight="1" x14ac:dyDescent="0.25">
      <c r="A376" s="4" t="s">
        <v>21</v>
      </c>
      <c r="B376" s="4" t="s">
        <v>44</v>
      </c>
      <c r="C376" s="4" t="s">
        <v>23</v>
      </c>
      <c r="D376" s="4" t="s">
        <v>45</v>
      </c>
      <c r="E376" s="4" t="s">
        <v>46</v>
      </c>
      <c r="F376" s="4" t="s">
        <v>25</v>
      </c>
      <c r="G376" s="4" t="s">
        <v>25</v>
      </c>
      <c r="H376" s="4" t="s">
        <v>25</v>
      </c>
      <c r="I376" s="5">
        <v>44652</v>
      </c>
      <c r="J376" s="6">
        <v>0</v>
      </c>
      <c r="K376" s="6">
        <v>0</v>
      </c>
      <c r="L376" s="6">
        <v>29.305</v>
      </c>
      <c r="M376" s="6">
        <v>29.305</v>
      </c>
      <c r="N376" s="6">
        <v>29.305</v>
      </c>
      <c r="O376" s="6">
        <v>29.305</v>
      </c>
      <c r="P376" s="6">
        <v>1</v>
      </c>
      <c r="Q376" s="4" t="s">
        <v>26</v>
      </c>
      <c r="R376" s="4">
        <v>0</v>
      </c>
      <c r="S376" s="6">
        <v>0</v>
      </c>
      <c r="T376" s="6">
        <v>48</v>
      </c>
      <c r="U376" s="6">
        <v>86</v>
      </c>
      <c r="V376" s="6">
        <f>IF(ISERROR(VLOOKUP($S$376,'TAR FIN'!$A$1:$O$88,15,0)),0,VLOOKUP($S$376,'TAR FIN'!$A$1:$O$88,15,0))</f>
        <v>0</v>
      </c>
      <c r="W376" s="6">
        <f>IF(ISERROR(VLOOKUP($T$376,'TAR FIN'!$A$1:$O$88,15,0)),0,VLOOKUP($T$376,'TAR FIN'!$A$1:$O$88,15,0))</f>
        <v>0</v>
      </c>
      <c r="X376" s="6">
        <f>IF(ISERROR(VLOOKUP($U$376,'TAR FIN'!$A$1:$O$88,15,0)),0,VLOOKUP($U$376,'TAR FIN'!$A$1:$O$88,15,0))</f>
        <v>0</v>
      </c>
      <c r="Y376" s="6"/>
      <c r="Z376" s="6">
        <f ca="1">('TUSD BE'!$AM$50+'TUSD BF_350'!$AM$50+'TUSD CVA'!$AM$50)*1</f>
        <v>170.77</v>
      </c>
      <c r="AA376" s="6">
        <f ca="1">('TE BE'!$AB$41+'TE BF_350'!$AB$41+'TE CVA'!$AB$41)*1</f>
        <v>144.38999999999999</v>
      </c>
      <c r="AB376" s="6">
        <f>$K$376*$V$376</f>
        <v>0</v>
      </c>
      <c r="AC376" s="6">
        <f>$M$376*$W$376</f>
        <v>0</v>
      </c>
      <c r="AD376" s="6">
        <f>$O$376*$X$376</f>
        <v>0</v>
      </c>
      <c r="AE376" s="6">
        <f>$K$376*$Y$376</f>
        <v>0</v>
      </c>
      <c r="AF376" s="6">
        <f ca="1">$M$376*$Z$376</f>
        <v>5004.4148500000001</v>
      </c>
      <c r="AG376" s="6">
        <f ca="1">$O$376*$AA$376</f>
        <v>4231.3489499999996</v>
      </c>
    </row>
    <row r="377" spans="1:33" ht="11.25" customHeight="1" x14ac:dyDescent="0.25">
      <c r="A377" s="4" t="s">
        <v>21</v>
      </c>
      <c r="B377" s="4" t="s">
        <v>44</v>
      </c>
      <c r="C377" s="4" t="s">
        <v>23</v>
      </c>
      <c r="D377" s="4" t="s">
        <v>45</v>
      </c>
      <c r="E377" s="4" t="s">
        <v>46</v>
      </c>
      <c r="F377" s="4" t="s">
        <v>25</v>
      </c>
      <c r="G377" s="4" t="s">
        <v>25</v>
      </c>
      <c r="H377" s="4" t="s">
        <v>25</v>
      </c>
      <c r="I377" s="5">
        <v>44682</v>
      </c>
      <c r="J377" s="6">
        <v>0</v>
      </c>
      <c r="K377" s="6">
        <v>0</v>
      </c>
      <c r="L377" s="6">
        <v>30.077000000000002</v>
      </c>
      <c r="M377" s="6">
        <v>30.077000000000002</v>
      </c>
      <c r="N377" s="6">
        <v>30.077000000000002</v>
      </c>
      <c r="O377" s="6">
        <v>30.077000000000002</v>
      </c>
      <c r="P377" s="6">
        <v>1</v>
      </c>
      <c r="Q377" s="4" t="s">
        <v>26</v>
      </c>
      <c r="R377" s="4">
        <v>0</v>
      </c>
      <c r="S377" s="6">
        <v>0</v>
      </c>
      <c r="T377" s="6">
        <v>48</v>
      </c>
      <c r="U377" s="6">
        <v>86</v>
      </c>
      <c r="V377" s="6">
        <f>IF(ISERROR(VLOOKUP($S$377,'TAR FIN'!$A$1:$O$88,15,0)),0,VLOOKUP($S$377,'TAR FIN'!$A$1:$O$88,15,0))</f>
        <v>0</v>
      </c>
      <c r="W377" s="6">
        <f>IF(ISERROR(VLOOKUP($T$377,'TAR FIN'!$A$1:$O$88,15,0)),0,VLOOKUP($T$377,'TAR FIN'!$A$1:$O$88,15,0))</f>
        <v>0</v>
      </c>
      <c r="X377" s="6">
        <f>IF(ISERROR(VLOOKUP($U$377,'TAR FIN'!$A$1:$O$88,15,0)),0,VLOOKUP($U$377,'TAR FIN'!$A$1:$O$88,15,0))</f>
        <v>0</v>
      </c>
      <c r="Y377" s="6"/>
      <c r="Z377" s="6">
        <f ca="1">('TUSD BE'!$AM$50+'TUSD BF_350'!$AM$50+'TUSD CVA'!$AM$50)*1</f>
        <v>170.77</v>
      </c>
      <c r="AA377" s="6">
        <f ca="1">('TE BE'!$AB$41+'TE BF_350'!$AB$41+'TE CVA'!$AB$41)*1</f>
        <v>144.38999999999999</v>
      </c>
      <c r="AB377" s="6">
        <f>$K$377*$V$377</f>
        <v>0</v>
      </c>
      <c r="AC377" s="6">
        <f>$M$377*$W$377</f>
        <v>0</v>
      </c>
      <c r="AD377" s="6">
        <f>$O$377*$X$377</f>
        <v>0</v>
      </c>
      <c r="AE377" s="6">
        <f>$K$377*$Y$377</f>
        <v>0</v>
      </c>
      <c r="AF377" s="6">
        <f ca="1">$M$377*$Z$377</f>
        <v>5136.2492900000007</v>
      </c>
      <c r="AG377" s="6">
        <f ca="1">$O$377*$AA$377</f>
        <v>4342.8180299999995</v>
      </c>
    </row>
    <row r="378" spans="1:33" ht="11.25" customHeight="1" x14ac:dyDescent="0.25">
      <c r="A378" s="4" t="s">
        <v>21</v>
      </c>
      <c r="B378" s="4" t="s">
        <v>44</v>
      </c>
      <c r="C378" s="4" t="s">
        <v>23</v>
      </c>
      <c r="D378" s="4" t="s">
        <v>45</v>
      </c>
      <c r="E378" s="4" t="s">
        <v>46</v>
      </c>
      <c r="F378" s="4" t="s">
        <v>25</v>
      </c>
      <c r="G378" s="4" t="s">
        <v>25</v>
      </c>
      <c r="H378" s="4" t="s">
        <v>25</v>
      </c>
      <c r="I378" s="5">
        <v>44713</v>
      </c>
      <c r="J378" s="6">
        <v>0</v>
      </c>
      <c r="K378" s="6">
        <v>0</v>
      </c>
      <c r="L378" s="6">
        <v>29.158000000000001</v>
      </c>
      <c r="M378" s="6">
        <v>29.158000000000001</v>
      </c>
      <c r="N378" s="6">
        <v>29.158000000000001</v>
      </c>
      <c r="O378" s="6">
        <v>29.158000000000001</v>
      </c>
      <c r="P378" s="6">
        <v>1</v>
      </c>
      <c r="Q378" s="4" t="s">
        <v>26</v>
      </c>
      <c r="R378" s="4">
        <v>0</v>
      </c>
      <c r="S378" s="6">
        <v>0</v>
      </c>
      <c r="T378" s="6">
        <v>48</v>
      </c>
      <c r="U378" s="6">
        <v>86</v>
      </c>
      <c r="V378" s="6">
        <f>IF(ISERROR(VLOOKUP($S$378,'TAR FIN'!$A$1:$O$88,15,0)),0,VLOOKUP($S$378,'TAR FIN'!$A$1:$O$88,15,0))</f>
        <v>0</v>
      </c>
      <c r="W378" s="6">
        <f>IF(ISERROR(VLOOKUP($T$378,'TAR FIN'!$A$1:$O$88,15,0)),0,VLOOKUP($T$378,'TAR FIN'!$A$1:$O$88,15,0))</f>
        <v>0</v>
      </c>
      <c r="X378" s="6">
        <f>IF(ISERROR(VLOOKUP($U$378,'TAR FIN'!$A$1:$O$88,15,0)),0,VLOOKUP($U$378,'TAR FIN'!$A$1:$O$88,15,0))</f>
        <v>0</v>
      </c>
      <c r="Y378" s="6"/>
      <c r="Z378" s="6">
        <f ca="1">('TUSD BE'!$AM$50+'TUSD BF_350'!$AM$50+'TUSD CVA'!$AM$50)*1</f>
        <v>170.77</v>
      </c>
      <c r="AA378" s="6">
        <f ca="1">('TE BE'!$AB$41+'TE BF_350'!$AB$41+'TE CVA'!$AB$41)*1</f>
        <v>144.38999999999999</v>
      </c>
      <c r="AB378" s="6">
        <f>$K$378*$V$378</f>
        <v>0</v>
      </c>
      <c r="AC378" s="6">
        <f>$M$378*$W$378</f>
        <v>0</v>
      </c>
      <c r="AD378" s="6">
        <f>$O$378*$X$378</f>
        <v>0</v>
      </c>
      <c r="AE378" s="6">
        <f>$K$378*$Y$378</f>
        <v>0</v>
      </c>
      <c r="AF378" s="6">
        <f ca="1">$M$378*$Z$378</f>
        <v>4979.3116600000003</v>
      </c>
      <c r="AG378" s="6">
        <f ca="1">$O$378*$AA$378</f>
        <v>4210.1236199999994</v>
      </c>
    </row>
    <row r="379" spans="1:33" ht="11.25" customHeight="1" x14ac:dyDescent="0.25">
      <c r="A379" s="4" t="s">
        <v>21</v>
      </c>
      <c r="B379" s="4" t="s">
        <v>44</v>
      </c>
      <c r="C379" s="4" t="s">
        <v>23</v>
      </c>
      <c r="D379" s="4" t="s">
        <v>45</v>
      </c>
      <c r="E379" s="4" t="s">
        <v>46</v>
      </c>
      <c r="F379" s="4" t="s">
        <v>25</v>
      </c>
      <c r="G379" s="4" t="s">
        <v>25</v>
      </c>
      <c r="H379" s="4" t="s">
        <v>25</v>
      </c>
      <c r="I379" s="5">
        <v>44743</v>
      </c>
      <c r="J379" s="6">
        <v>0</v>
      </c>
      <c r="K379" s="6">
        <v>0</v>
      </c>
      <c r="L379" s="6">
        <v>30.065000000000001</v>
      </c>
      <c r="M379" s="6">
        <v>30.065000000000001</v>
      </c>
      <c r="N379" s="6">
        <v>30.065000000000001</v>
      </c>
      <c r="O379" s="6">
        <v>30.065000000000001</v>
      </c>
      <c r="P379" s="6">
        <v>1</v>
      </c>
      <c r="Q379" s="4" t="s">
        <v>26</v>
      </c>
      <c r="R379" s="4">
        <v>0</v>
      </c>
      <c r="S379" s="6">
        <v>0</v>
      </c>
      <c r="T379" s="6">
        <v>48</v>
      </c>
      <c r="U379" s="6">
        <v>86</v>
      </c>
      <c r="V379" s="6">
        <f>IF(ISERROR(VLOOKUP($S$379,'TAR FIN'!$A$1:$O$88,15,0)),0,VLOOKUP($S$379,'TAR FIN'!$A$1:$O$88,15,0))</f>
        <v>0</v>
      </c>
      <c r="W379" s="6">
        <f>IF(ISERROR(VLOOKUP($T$379,'TAR FIN'!$A$1:$O$88,15,0)),0,VLOOKUP($T$379,'TAR FIN'!$A$1:$O$88,15,0))</f>
        <v>0</v>
      </c>
      <c r="X379" s="6">
        <f>IF(ISERROR(VLOOKUP($U$379,'TAR FIN'!$A$1:$O$88,15,0)),0,VLOOKUP($U$379,'TAR FIN'!$A$1:$O$88,15,0))</f>
        <v>0</v>
      </c>
      <c r="Y379" s="6"/>
      <c r="Z379" s="6">
        <f ca="1">('TUSD BE'!$AM$50+'TUSD BF_350'!$AM$50+'TUSD CVA'!$AM$50)*1</f>
        <v>170.77</v>
      </c>
      <c r="AA379" s="6">
        <f ca="1">('TE BE'!$AB$41+'TE BF_350'!$AB$41+'TE CVA'!$AB$41)*1</f>
        <v>144.38999999999999</v>
      </c>
      <c r="AB379" s="6">
        <f>$K$379*$V$379</f>
        <v>0</v>
      </c>
      <c r="AC379" s="6">
        <f>$M$379*$W$379</f>
        <v>0</v>
      </c>
      <c r="AD379" s="6">
        <f>$O$379*$X$379</f>
        <v>0</v>
      </c>
      <c r="AE379" s="6">
        <f>$K$379*$Y$379</f>
        <v>0</v>
      </c>
      <c r="AF379" s="6">
        <f ca="1">$M$379*$Z$379</f>
        <v>5134.2000500000004</v>
      </c>
      <c r="AG379" s="6">
        <f ca="1">$O$379*$AA$379</f>
        <v>4341.0853499999994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0149-7869-4D5D-AD80-17CBDA706D9E}">
  <sheetPr codeName="Planilha31">
    <tabColor indexed="12" tint="-0.249977111117893"/>
  </sheetPr>
  <dimension ref="B1:AB20"/>
  <sheetViews>
    <sheetView workbookViewId="0">
      <selection activeCell="H25" sqref="H25"/>
    </sheetView>
  </sheetViews>
  <sheetFormatPr defaultRowHeight="15" x14ac:dyDescent="0.25"/>
  <cols>
    <col min="2" max="2" width="15.85546875" bestFit="1" customWidth="1"/>
    <col min="3" max="3" width="11.7109375" bestFit="1" customWidth="1"/>
    <col min="4" max="4" width="13.28515625" bestFit="1" customWidth="1"/>
    <col min="5" max="5" width="11.140625" bestFit="1" customWidth="1"/>
    <col min="6" max="6" width="15.42578125" bestFit="1" customWidth="1"/>
    <col min="7" max="7" width="13.5703125" bestFit="1" customWidth="1"/>
    <col min="8" max="8" width="29.42578125" bestFit="1" customWidth="1"/>
    <col min="9" max="9" width="13.42578125" bestFit="1" customWidth="1"/>
    <col min="10" max="10" width="29.28515625" bestFit="1" customWidth="1"/>
    <col min="28" max="28" width="5" bestFit="1" customWidth="1"/>
  </cols>
  <sheetData>
    <row r="1" spans="2:28" x14ac:dyDescent="0.25">
      <c r="AA1" t="s">
        <v>721</v>
      </c>
      <c r="AB1">
        <v>5697</v>
      </c>
    </row>
    <row r="2" spans="2:28" x14ac:dyDescent="0.25">
      <c r="AA2" t="s">
        <v>722</v>
      </c>
      <c r="AB2">
        <v>2022</v>
      </c>
    </row>
    <row r="3" spans="2:28" x14ac:dyDescent="0.25">
      <c r="AA3" t="s">
        <v>563</v>
      </c>
      <c r="AB3">
        <v>0</v>
      </c>
    </row>
    <row r="4" spans="2:28" ht="15.75" thickBot="1" x14ac:dyDescent="0.3">
      <c r="B4" s="57" t="s">
        <v>458</v>
      </c>
      <c r="C4" s="57" t="s">
        <v>58</v>
      </c>
      <c r="D4" s="57" t="s">
        <v>59</v>
      </c>
      <c r="E4" s="57" t="s">
        <v>64</v>
      </c>
      <c r="F4" s="57" t="s">
        <v>723</v>
      </c>
      <c r="G4" s="57" t="s">
        <v>724</v>
      </c>
      <c r="H4" s="57" t="s">
        <v>725</v>
      </c>
      <c r="I4" s="57" t="s">
        <v>726</v>
      </c>
      <c r="J4" s="57" t="s">
        <v>727</v>
      </c>
    </row>
    <row r="5" spans="2:28" x14ac:dyDescent="0.25">
      <c r="B5" s="61" t="s">
        <v>419</v>
      </c>
      <c r="C5" s="62" t="s">
        <v>34</v>
      </c>
      <c r="D5" s="62" t="s">
        <v>73</v>
      </c>
      <c r="E5" s="62" t="s">
        <v>728</v>
      </c>
      <c r="F5" s="65">
        <f>SUMIFS(Mercado_Receita!J:J,Mercado_Receita!B:B,"=A4",Mercado_Receita!C:C,"=AZUL",Mercado_Receita!H:H,"=Ponta")</f>
        <v>0</v>
      </c>
      <c r="G5" s="65">
        <f ca="1">ROUND('TUSD BE'!$AM$5+'TUSD BF'!$AM$5+'TUSD CVA'!$AM$5,2)</f>
        <v>48.3</v>
      </c>
      <c r="H5" s="65">
        <v>32.35</v>
      </c>
      <c r="I5" s="65">
        <f t="shared" ref="I5:I14" ca="1" si="0">F5*G5</f>
        <v>0</v>
      </c>
      <c r="J5" s="66">
        <f t="shared" ref="J5:J14" si="1">F5*H5</f>
        <v>0</v>
      </c>
    </row>
    <row r="6" spans="2:28" x14ac:dyDescent="0.25">
      <c r="B6" s="59" t="s">
        <v>419</v>
      </c>
      <c r="C6" s="33" t="s">
        <v>34</v>
      </c>
      <c r="D6" s="33" t="s">
        <v>73</v>
      </c>
      <c r="E6" s="33" t="s">
        <v>729</v>
      </c>
      <c r="F6" s="67">
        <f>SUMIFS(Mercado_Receita!J:J,Mercado_Receita!B:B,"=A4",Mercado_Receita!C:C,"=AZUL",Mercado_Receita!H:H,"=Fora Ponta")</f>
        <v>0</v>
      </c>
      <c r="G6" s="67">
        <f ca="1">ROUND('TUSD BE'!$AM$6+'TUSD BF'!$AM$6+'TUSD CVA'!$AM$6,2)</f>
        <v>17.7</v>
      </c>
      <c r="H6" s="67">
        <v>15.64</v>
      </c>
      <c r="I6" s="67">
        <f t="shared" ca="1" si="0"/>
        <v>0</v>
      </c>
      <c r="J6" s="68">
        <f t="shared" si="1"/>
        <v>0</v>
      </c>
    </row>
    <row r="7" spans="2:28" x14ac:dyDescent="0.25">
      <c r="B7" s="59" t="s">
        <v>419</v>
      </c>
      <c r="C7" s="33" t="s">
        <v>34</v>
      </c>
      <c r="D7" s="33" t="s">
        <v>73</v>
      </c>
      <c r="E7" s="33" t="s">
        <v>11</v>
      </c>
      <c r="F7" s="67">
        <f>SUMIFS(Mercado_Receita!L:L,Mercado_Receita!B:B,"=A4",Mercado_Receita!C:C,"=AZUL",Mercado_Receita!H:H,"&lt;&gt;Não se aplica",Mercado_Receita!Q:Q,"=Cativo")+SUMIFS(Mercado_Receita!L:L,Mercado_Receita!B:B,"=A4",Mercado_Receita!C:C,"=AZUL",Mercado_Receita!Q:Q,"=Livre")</f>
        <v>0</v>
      </c>
      <c r="G7" s="67">
        <f ca="1">ROUND('TUSD BE'!$AM$7+'TUSD BF'!$AM$7+'TUSD CVA'!$AM$7,2)</f>
        <v>110</v>
      </c>
      <c r="H7" s="67">
        <v>126.25</v>
      </c>
      <c r="I7" s="67">
        <f t="shared" ca="1" si="0"/>
        <v>0</v>
      </c>
      <c r="J7" s="68">
        <f t="shared" si="1"/>
        <v>0</v>
      </c>
    </row>
    <row r="8" spans="2:28" x14ac:dyDescent="0.25">
      <c r="B8" s="59" t="s">
        <v>447</v>
      </c>
      <c r="C8" s="33" t="s">
        <v>34</v>
      </c>
      <c r="D8" s="33" t="s">
        <v>73</v>
      </c>
      <c r="E8" s="33" t="s">
        <v>730</v>
      </c>
      <c r="F8" s="67">
        <f>SUMIFS(Mercado_Receita!N:N,Mercado_Receita!B:B,"=A4",Mercado_Receita!C:C,"=AZUL",Mercado_Receita!H:H,"=Ponta",Mercado_Receita!Q:Q,"=Cativo")</f>
        <v>0</v>
      </c>
      <c r="G8" s="67">
        <f>ROUND('TE BE'!$AB$5+'TE BF'!$AB$5+'TE CVA'!$AB$5,2)</f>
        <v>469.67</v>
      </c>
      <c r="H8" s="67">
        <v>399.84</v>
      </c>
      <c r="I8" s="67">
        <f t="shared" si="0"/>
        <v>0</v>
      </c>
      <c r="J8" s="68">
        <f t="shared" si="1"/>
        <v>0</v>
      </c>
    </row>
    <row r="9" spans="2:28" ht="15.75" thickBot="1" x14ac:dyDescent="0.3">
      <c r="B9" s="60" t="s">
        <v>447</v>
      </c>
      <c r="C9" s="32" t="s">
        <v>34</v>
      </c>
      <c r="D9" s="32" t="s">
        <v>73</v>
      </c>
      <c r="E9" s="32" t="s">
        <v>731</v>
      </c>
      <c r="F9" s="72">
        <f>SUMIFS(Mercado_Receita!N:N,Mercado_Receita!B:B,"=A4",Mercado_Receita!C:C,"=AZUL",Mercado_Receita!H:H,"=Fora Ponta",Mercado_Receita!Q:Q,"=Cativo")</f>
        <v>0</v>
      </c>
      <c r="G9" s="72">
        <f>ROUND('TE BE'!$AB$6+'TE BF'!$AB$6+'TE CVA'!$AB$6,2)</f>
        <v>274.24</v>
      </c>
      <c r="H9" s="72">
        <v>250.04</v>
      </c>
      <c r="I9" s="72">
        <f t="shared" si="0"/>
        <v>0</v>
      </c>
      <c r="J9" s="73">
        <f t="shared" si="1"/>
        <v>0</v>
      </c>
    </row>
    <row r="10" spans="2:28" x14ac:dyDescent="0.25">
      <c r="B10" s="61" t="s">
        <v>419</v>
      </c>
      <c r="C10" s="62" t="s">
        <v>34</v>
      </c>
      <c r="D10" s="62" t="s">
        <v>35</v>
      </c>
      <c r="E10" s="62" t="s">
        <v>9</v>
      </c>
      <c r="F10" s="65">
        <f>SUMIFS(Mercado_Receita!J:J,Mercado_Receita!B:B,"=A4",Mercado_Receita!C:C,"=VERDE",Mercado_Receita!H:H,"=Não se aplica")</f>
        <v>31517</v>
      </c>
      <c r="G10" s="65">
        <f ca="1">ROUND('TUSD BE'!$AM$10+'TUSD BF'!$AM$10+'TUSD CVA'!$AM$10,2)</f>
        <v>17.7</v>
      </c>
      <c r="H10" s="65">
        <v>15.64</v>
      </c>
      <c r="I10" s="65">
        <f t="shared" ca="1" si="0"/>
        <v>557850.9</v>
      </c>
      <c r="J10" s="66">
        <f t="shared" si="1"/>
        <v>492925.88</v>
      </c>
    </row>
    <row r="11" spans="2:28" x14ac:dyDescent="0.25">
      <c r="B11" s="59" t="s">
        <v>419</v>
      </c>
      <c r="C11" s="33" t="s">
        <v>34</v>
      </c>
      <c r="D11" s="33" t="s">
        <v>35</v>
      </c>
      <c r="E11" s="33" t="s">
        <v>732</v>
      </c>
      <c r="F11" s="67">
        <f>SUMIFS(Mercado_Receita!L:L,Mercado_Receita!B:B,"=A4",Mercado_Receita!C:C,"=VERDE",Mercado_Receita!H:H,"=Ponta")</f>
        <v>644.95300000000009</v>
      </c>
      <c r="G11" s="67">
        <f ca="1">ROUND('TUSD BE'!$AM$11+'TUSD BF'!$AM$11+'TUSD CVA'!$AM$11,2)</f>
        <v>1283.8499999999999</v>
      </c>
      <c r="H11" s="67">
        <v>911.84</v>
      </c>
      <c r="I11" s="67">
        <f t="shared" ca="1" si="0"/>
        <v>828022.90905000002</v>
      </c>
      <c r="J11" s="68">
        <f t="shared" si="1"/>
        <v>588093.94352000009</v>
      </c>
    </row>
    <row r="12" spans="2:28" x14ac:dyDescent="0.25">
      <c r="B12" s="59" t="s">
        <v>419</v>
      </c>
      <c r="C12" s="33" t="s">
        <v>34</v>
      </c>
      <c r="D12" s="33" t="s">
        <v>35</v>
      </c>
      <c r="E12" s="33" t="s">
        <v>733</v>
      </c>
      <c r="F12" s="67">
        <f>SUMIFS(Mercado_Receita!L:L,Mercado_Receita!B:B,"=A4",Mercado_Receita!C:C,"=VERDE",Mercado_Receita!H:H,"=Fora Ponta")</f>
        <v>8036.4480000000003</v>
      </c>
      <c r="G12" s="67">
        <f ca="1">ROUND('TUSD BE'!$AM$12+'TUSD BF'!$AM$12+'TUSD CVA'!$AM$12,2)</f>
        <v>110</v>
      </c>
      <c r="H12" s="67">
        <v>126.25</v>
      </c>
      <c r="I12" s="67">
        <f t="shared" ca="1" si="0"/>
        <v>884009.28</v>
      </c>
      <c r="J12" s="68">
        <f t="shared" si="1"/>
        <v>1014601.56</v>
      </c>
    </row>
    <row r="13" spans="2:28" x14ac:dyDescent="0.25">
      <c r="B13" s="59" t="s">
        <v>447</v>
      </c>
      <c r="C13" s="33" t="s">
        <v>34</v>
      </c>
      <c r="D13" s="33" t="s">
        <v>35</v>
      </c>
      <c r="E13" s="33" t="s">
        <v>730</v>
      </c>
      <c r="F13" s="67">
        <f>SUMIFS(Mercado_Receita!N:N,Mercado_Receita!B:B,"=A4",Mercado_Receita!C:C,"=VERDE",Mercado_Receita!H:H,"=Ponta",Mercado_Receita!Q:Q,"=Cativo")</f>
        <v>86.265000000000001</v>
      </c>
      <c r="G13" s="67">
        <f>ROUND('TE BE'!$AB$5+'TE BF'!$AB$5+'TE CVA'!$AB$5,2)</f>
        <v>469.67</v>
      </c>
      <c r="H13" s="67">
        <v>399.84</v>
      </c>
      <c r="I13" s="67">
        <f t="shared" si="0"/>
        <v>40516.082549999999</v>
      </c>
      <c r="J13" s="68">
        <f t="shared" si="1"/>
        <v>34492.1976</v>
      </c>
    </row>
    <row r="14" spans="2:28" ht="15.75" thickBot="1" x14ac:dyDescent="0.3">
      <c r="B14" s="63" t="s">
        <v>447</v>
      </c>
      <c r="C14" s="64" t="s">
        <v>34</v>
      </c>
      <c r="D14" s="64" t="s">
        <v>35</v>
      </c>
      <c r="E14" s="64" t="s">
        <v>731</v>
      </c>
      <c r="F14" s="69">
        <f>SUMIFS(Mercado_Receita!N:N,Mercado_Receita!B:B,"=A4",Mercado_Receita!C:C,"=VERDE",Mercado_Receita!H:H,"=Fora Ponta",Mercado_Receita!Q:Q,"=Cativo")</f>
        <v>2218.5819999999999</v>
      </c>
      <c r="G14" s="69">
        <f>ROUND('TE BE'!$AB$6+'TE BF'!$AB$6+'TE CVA'!$AB$6,2)</f>
        <v>274.24</v>
      </c>
      <c r="H14" s="69">
        <v>250.04</v>
      </c>
      <c r="I14" s="69">
        <f t="shared" si="0"/>
        <v>608423.92767999996</v>
      </c>
      <c r="J14" s="70">
        <f t="shared" si="1"/>
        <v>554734.24327999994</v>
      </c>
    </row>
    <row r="16" spans="2:28" ht="15.75" thickBot="1" x14ac:dyDescent="0.3">
      <c r="D16" t="s">
        <v>734</v>
      </c>
      <c r="E16" t="s">
        <v>735</v>
      </c>
      <c r="F16" t="s">
        <v>736</v>
      </c>
      <c r="G16" t="s">
        <v>737</v>
      </c>
    </row>
    <row r="17" spans="2:7" ht="15.75" thickBot="1" x14ac:dyDescent="0.3">
      <c r="B17" t="s">
        <v>738</v>
      </c>
      <c r="C17" s="74" t="s">
        <v>34</v>
      </c>
      <c r="D17" s="79">
        <f ca="1">SUMIFS($I$5:$I$14,$C$5:$C$14,C17,$B$5:$B$14,"TUSD")/(SUMIFS($F$5:$F$14,$C$5:$C$14,C17,$B$5:$B$14,"TUSD",$E$5:$E$14,"TUSD_E")+SUMIFS($F$5:$F$14,$C$5:$C$14,C17,$B$5:$B$14,"TUSD",$E$5:$E$14,"TUSD_E P")+SUMIFS($F$5:$F$14,$C$5:$C$14,C17,$B$5:$B$14,"TUSD",$E$5:$E$14,"TUSD_E FP"))</f>
        <v>261.46506641612342</v>
      </c>
      <c r="E17" s="79">
        <f>SUMIFS($J$5:$J$14,$C$5:$C$14,C17,$B$5:$B$14,"TUSD")/(SUMIFS($F$5:$F$14,$C$5:$C$14,C17,$B$5:$B$14,"TUSD",$E$5:$E$14,"TUSD_E")+SUMIFS($F$5:$F$14,$C$5:$C$14,C17,$B$5:$B$14,"TUSD",$E$5:$E$14,"TUSD_E P")+SUMIFS($F$5:$F$14,$C$5:$C$14,C17,$B$5:$B$14,"TUSD",$E$5:$E$14,"TUSD_E FP"))</f>
        <v>241.39207295228042</v>
      </c>
      <c r="F17" s="71" t="str">
        <f ca="1">IF(AND(E17&lt;D17,NOT(ISERROR(_xlfn.XMATCH("AVALIAR " &amp;C17,$F$17:$F$20,2)))),"APLICAR","NÃO APLICAR")</f>
        <v>APLICAR</v>
      </c>
      <c r="G17" s="80">
        <f ca="1">IF(AND(E17&lt;D17,NOT(ISERROR(_xlfn.XMATCH("AVALIAR " &amp;C17,$F$17:$F$20,2)))),1,0)</f>
        <v>1</v>
      </c>
    </row>
    <row r="18" spans="2:7" ht="15.75" thickBot="1" x14ac:dyDescent="0.3">
      <c r="B18" t="s">
        <v>739</v>
      </c>
      <c r="C18" s="74" t="s">
        <v>34</v>
      </c>
      <c r="D18" s="79">
        <f>IF((SUMIFS($F$5:$F$14,$C$5:$C$14,C18,$B$5:$B$14,"TE",$E$5:$E$14,"TE P")+SUMIFS($F$5:$F$14,$C$5:$C$14,C18,$B$5:$B$14,"TE",$E$5:$E$14,"TE FP") = 0),0,SUMIFS($I$5:$I$14,$C$5:$C$14,C18,$B$5:$B$14,"TE")/(SUMIFS($F$5:$F$14,$C$5:$C$14,C18,$B$5:$B$14,"TUSD",$E$5:$E$14,"TUSD_E")+SUMIFS($F$5:$F$14,$C$5:$C$14,C18,$B$5:$B$14,"TUSD",$E$5:$E$14,"TUSD_E P")+SUMIFS($F$5:$F$14,$C$5:$C$14,C18,$B$5:$B$14,"TUSD",$E$5:$E$14,"TUSD_E FP")))</f>
        <v>74.750608827999073</v>
      </c>
      <c r="E18" s="79">
        <f>IF((SUMIFS($F$5:$F$14,$C$5:$C$14,C18,$B$5:$B$14,"TE",$E$5:$E$14,"TE P")+SUMIFS($F$5:$F$14,$C$5:$C$14,C18,$B$5:$B$14,"TE",$E$5:$E$14,"TE FP") = 0),0,SUMIFS($J$5:$J$14,$C$5:$C$14,C18,$B$5:$B$14,"TE")/(SUMIFS($F$5:$F$14,$C$5:$C$14,C18,$B$5:$B$14,"TUSD",$E$5:$E$14,"TUSD_E")+SUMIFS($F$5:$F$14,$C$5:$C$14,C18,$B$5:$B$14,"TUSD",$E$5:$E$14,"TUSD_E P")+SUMIFS($F$5:$F$14,$C$5:$C$14,C18,$B$5:$B$14,"TUSD",$E$5:$E$14,"TUSD_E FP")))</f>
        <v>67.8722755555238</v>
      </c>
      <c r="F18" s="71" t="str">
        <f ca="1">IF(AND(E18&lt;D18,NOT(ISERROR(_xlfn.XMATCH("AVALIAR " &amp;C18,$F$17:$F$20,2)))),"APLICAR","NÃO APLICAR")</f>
        <v>APLICAR</v>
      </c>
      <c r="G18" s="80">
        <f ca="1">IF(AND(E18&lt;D18,NOT(ISERROR(_xlfn.XMATCH("AVALIAR " &amp;C18,$F$17:$F$20,2)))),1,0)</f>
        <v>1</v>
      </c>
    </row>
    <row r="19" spans="2:7" ht="15.75" thickBot="1" x14ac:dyDescent="0.3">
      <c r="B19" t="s">
        <v>740</v>
      </c>
      <c r="C19" s="74" t="s">
        <v>34</v>
      </c>
      <c r="D19" s="79">
        <f ca="1">SUMIFS(D$17:D$18,C$17:C$18,C19)</f>
        <v>336.21567524412251</v>
      </c>
      <c r="E19" s="79">
        <f>SUMIFS(E$17:E$18,C$17:C$18,C19)</f>
        <v>309.26434850780424</v>
      </c>
      <c r="F19" s="71" t="str">
        <f ca="1">IF(E19&lt;D19,"AVALIAR "&amp;C19,"NÃO ALTERAR")</f>
        <v>AVALIAR A4</v>
      </c>
      <c r="G19" s="80">
        <f ca="1">IF(E19&lt;D19,1,0)</f>
        <v>1</v>
      </c>
    </row>
    <row r="20" spans="2:7" ht="15.75" thickBot="1" x14ac:dyDescent="0.3">
      <c r="B20" t="s">
        <v>741</v>
      </c>
      <c r="C20" s="75" t="s">
        <v>742</v>
      </c>
      <c r="D20" s="78">
        <f ca="1">ROUND('TE BE'!$AB$11+'TE BF'!$AB$11+'TE CVA'!$AB$11,2)+ROUND('TUSD BE'!$AM$20+'TUSD BF'!$AM$20+'TUSD CVA'!$AM$20,2)</f>
        <v>783.63</v>
      </c>
      <c r="E20" s="78">
        <v>573.02</v>
      </c>
      <c r="F20" s="76" t="str">
        <f ca="1">IF(D20&lt;=E20,"NÃO ALTERAR","AVALIAR TarB1")</f>
        <v>AVALIAR TarB1</v>
      </c>
      <c r="G20" s="77">
        <f ca="1">IF(E20&lt;D20,1,0)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518B-58A9-41FD-9AE5-EDE17AF5CA35}">
  <sheetPr codeName="Planilha32"/>
  <dimension ref="B1:U16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51" t="s">
        <v>652</v>
      </c>
      <c r="C1" s="51" t="s">
        <v>653</v>
      </c>
      <c r="D1" s="51" t="s">
        <v>654</v>
      </c>
      <c r="E1" s="51" t="s">
        <v>2</v>
      </c>
      <c r="F1" s="51" t="s">
        <v>655</v>
      </c>
      <c r="G1" s="51" t="s">
        <v>562</v>
      </c>
      <c r="H1" s="51" t="s">
        <v>3</v>
      </c>
      <c r="I1" s="51" t="s">
        <v>656</v>
      </c>
      <c r="J1" s="51" t="s">
        <v>5</v>
      </c>
      <c r="K1" s="51" t="s">
        <v>1</v>
      </c>
      <c r="L1" s="51" t="s">
        <v>657</v>
      </c>
      <c r="M1" s="51" t="s">
        <v>658</v>
      </c>
      <c r="N1" s="51" t="s">
        <v>659</v>
      </c>
      <c r="O1" s="51" t="s">
        <v>660</v>
      </c>
      <c r="P1" s="51" t="s">
        <v>661</v>
      </c>
      <c r="Q1" s="51" t="s">
        <v>662</v>
      </c>
      <c r="R1" s="51" t="s">
        <v>663</v>
      </c>
      <c r="S1" s="51" t="s">
        <v>664</v>
      </c>
      <c r="T1" s="51" t="s">
        <v>665</v>
      </c>
      <c r="U1" s="51" t="s">
        <v>666</v>
      </c>
    </row>
    <row r="2" spans="2:21" x14ac:dyDescent="0.25">
      <c r="B2" s="50" t="s">
        <v>636</v>
      </c>
      <c r="C2" s="50">
        <v>5117</v>
      </c>
      <c r="D2" s="50">
        <v>88</v>
      </c>
      <c r="E2" s="50"/>
      <c r="F2" s="50">
        <v>1</v>
      </c>
      <c r="G2" s="50" t="s">
        <v>637</v>
      </c>
      <c r="H2" s="50" t="s">
        <v>42</v>
      </c>
      <c r="I2" s="50" t="s">
        <v>25</v>
      </c>
      <c r="J2" s="50" t="s">
        <v>587</v>
      </c>
      <c r="K2" s="50" t="s">
        <v>41</v>
      </c>
      <c r="L2" s="50">
        <v>0.32</v>
      </c>
      <c r="M2" s="50">
        <v>0.25600000000000001</v>
      </c>
      <c r="N2" s="50">
        <v>0.192</v>
      </c>
      <c r="O2" s="50">
        <v>0.128</v>
      </c>
      <c r="P2" s="50">
        <v>6.4000000000000001E-2</v>
      </c>
      <c r="Q2" s="50">
        <v>0</v>
      </c>
      <c r="R2" s="50"/>
      <c r="S2" s="50"/>
      <c r="T2" s="50"/>
      <c r="U2" s="50">
        <v>3</v>
      </c>
    </row>
    <row r="3" spans="2:21" x14ac:dyDescent="0.25">
      <c r="B3" s="50" t="s">
        <v>638</v>
      </c>
      <c r="C3" s="50">
        <v>7974</v>
      </c>
      <c r="D3" s="50">
        <v>88</v>
      </c>
      <c r="E3" s="50" t="s">
        <v>73</v>
      </c>
      <c r="F3" s="50">
        <v>1</v>
      </c>
      <c r="G3" s="50" t="s">
        <v>637</v>
      </c>
      <c r="H3" s="50" t="s">
        <v>42</v>
      </c>
      <c r="I3" s="50" t="s">
        <v>25</v>
      </c>
      <c r="J3" s="50" t="s">
        <v>586</v>
      </c>
      <c r="K3" s="50" t="s">
        <v>34</v>
      </c>
      <c r="L3" s="50">
        <v>0.1</v>
      </c>
      <c r="M3" s="50">
        <v>0.08</v>
      </c>
      <c r="N3" s="50">
        <v>0.06</v>
      </c>
      <c r="O3" s="50">
        <v>0.04</v>
      </c>
      <c r="P3" s="50">
        <v>0.02</v>
      </c>
      <c r="Q3" s="50">
        <v>0</v>
      </c>
      <c r="R3" s="50"/>
      <c r="S3" s="50"/>
      <c r="T3" s="50"/>
      <c r="U3" s="50">
        <v>3</v>
      </c>
    </row>
    <row r="4" spans="2:21" x14ac:dyDescent="0.25">
      <c r="B4" s="50" t="s">
        <v>639</v>
      </c>
      <c r="C4" s="50">
        <v>7975</v>
      </c>
      <c r="D4" s="50">
        <v>88</v>
      </c>
      <c r="E4" s="50" t="s">
        <v>35</v>
      </c>
      <c r="F4" s="50">
        <v>1</v>
      </c>
      <c r="G4" s="50" t="s">
        <v>637</v>
      </c>
      <c r="H4" s="50" t="s">
        <v>42</v>
      </c>
      <c r="I4" s="50" t="s">
        <v>25</v>
      </c>
      <c r="J4" s="50" t="s">
        <v>586</v>
      </c>
      <c r="K4" s="50" t="s">
        <v>34</v>
      </c>
      <c r="L4" s="50">
        <v>0.1</v>
      </c>
      <c r="M4" s="50">
        <v>0.08</v>
      </c>
      <c r="N4" s="50">
        <v>0.06</v>
      </c>
      <c r="O4" s="50">
        <v>0.04</v>
      </c>
      <c r="P4" s="50">
        <v>0.02</v>
      </c>
      <c r="Q4" s="50">
        <v>0</v>
      </c>
      <c r="R4" s="50"/>
      <c r="S4" s="50"/>
      <c r="T4" s="50"/>
      <c r="U4" s="50">
        <v>3</v>
      </c>
    </row>
    <row r="5" spans="2:21" x14ac:dyDescent="0.25">
      <c r="B5" s="50" t="s">
        <v>640</v>
      </c>
      <c r="C5" s="50">
        <v>7976</v>
      </c>
      <c r="D5" s="50">
        <v>88</v>
      </c>
      <c r="E5" s="50" t="s">
        <v>23</v>
      </c>
      <c r="F5" s="50">
        <v>1</v>
      </c>
      <c r="G5" s="50" t="s">
        <v>637</v>
      </c>
      <c r="H5" s="50" t="s">
        <v>42</v>
      </c>
      <c r="I5" s="50" t="s">
        <v>25</v>
      </c>
      <c r="J5" s="50" t="s">
        <v>586</v>
      </c>
      <c r="K5" s="50" t="s">
        <v>34</v>
      </c>
      <c r="L5" s="50">
        <v>0.1</v>
      </c>
      <c r="M5" s="50">
        <v>0.08</v>
      </c>
      <c r="N5" s="50">
        <v>0.06</v>
      </c>
      <c r="O5" s="50">
        <v>0.04</v>
      </c>
      <c r="P5" s="50">
        <v>0.02</v>
      </c>
      <c r="Q5" s="50">
        <v>0</v>
      </c>
      <c r="R5" s="50"/>
      <c r="S5" s="50"/>
      <c r="T5" s="50"/>
      <c r="U5" s="50">
        <v>3</v>
      </c>
    </row>
    <row r="6" spans="2:21" x14ac:dyDescent="0.25">
      <c r="B6" s="50" t="s">
        <v>641</v>
      </c>
      <c r="C6" s="50">
        <v>7977</v>
      </c>
      <c r="D6" s="50">
        <v>88</v>
      </c>
      <c r="E6" s="50" t="s">
        <v>73</v>
      </c>
      <c r="F6" s="50">
        <v>1</v>
      </c>
      <c r="G6" s="50" t="s">
        <v>637</v>
      </c>
      <c r="H6" s="50" t="s">
        <v>47</v>
      </c>
      <c r="I6" s="50" t="s">
        <v>48</v>
      </c>
      <c r="J6" s="50" t="s">
        <v>587</v>
      </c>
      <c r="K6" s="50" t="s">
        <v>34</v>
      </c>
      <c r="L6" s="50">
        <v>0.15</v>
      </c>
      <c r="M6" s="50">
        <v>0.12</v>
      </c>
      <c r="N6" s="50">
        <v>0.09</v>
      </c>
      <c r="O6" s="50">
        <v>0.06</v>
      </c>
      <c r="P6" s="50">
        <v>0.03</v>
      </c>
      <c r="Q6" s="50">
        <v>0</v>
      </c>
      <c r="R6" s="50"/>
      <c r="S6" s="50"/>
      <c r="T6" s="50"/>
      <c r="U6" s="50">
        <v>3</v>
      </c>
    </row>
    <row r="7" spans="2:21" x14ac:dyDescent="0.25">
      <c r="B7" s="50" t="s">
        <v>642</v>
      </c>
      <c r="C7" s="50">
        <v>7978</v>
      </c>
      <c r="D7" s="50">
        <v>88</v>
      </c>
      <c r="E7" s="50" t="s">
        <v>35</v>
      </c>
      <c r="F7" s="50">
        <v>1</v>
      </c>
      <c r="G7" s="50" t="s">
        <v>637</v>
      </c>
      <c r="H7" s="50" t="s">
        <v>47</v>
      </c>
      <c r="I7" s="50" t="s">
        <v>48</v>
      </c>
      <c r="J7" s="50" t="s">
        <v>587</v>
      </c>
      <c r="K7" s="50" t="s">
        <v>34</v>
      </c>
      <c r="L7" s="50">
        <v>0.15</v>
      </c>
      <c r="M7" s="50">
        <v>0.12</v>
      </c>
      <c r="N7" s="50">
        <v>0.09</v>
      </c>
      <c r="O7" s="50">
        <v>0.06</v>
      </c>
      <c r="P7" s="50">
        <v>0.03</v>
      </c>
      <c r="Q7" s="50">
        <v>0</v>
      </c>
      <c r="R7" s="50"/>
      <c r="S7" s="50"/>
      <c r="T7" s="50"/>
      <c r="U7" s="50">
        <v>3</v>
      </c>
    </row>
    <row r="8" spans="2:21" x14ac:dyDescent="0.25">
      <c r="B8" s="50" t="s">
        <v>643</v>
      </c>
      <c r="C8" s="50">
        <v>7979</v>
      </c>
      <c r="D8" s="50">
        <v>88</v>
      </c>
      <c r="E8" s="50" t="s">
        <v>589</v>
      </c>
      <c r="F8" s="50">
        <v>1</v>
      </c>
      <c r="G8" s="50" t="s">
        <v>637</v>
      </c>
      <c r="H8" s="50" t="s">
        <v>47</v>
      </c>
      <c r="I8" s="50" t="s">
        <v>48</v>
      </c>
      <c r="J8" s="50" t="s">
        <v>587</v>
      </c>
      <c r="K8" s="50" t="s">
        <v>34</v>
      </c>
      <c r="L8" s="50">
        <v>0.15</v>
      </c>
      <c r="M8" s="50">
        <v>0.12</v>
      </c>
      <c r="N8" s="50">
        <v>0.09</v>
      </c>
      <c r="O8" s="50">
        <v>0.06</v>
      </c>
      <c r="P8" s="50">
        <v>0.03</v>
      </c>
      <c r="Q8" s="50">
        <v>0</v>
      </c>
      <c r="R8" s="50"/>
      <c r="S8" s="50"/>
      <c r="T8" s="50"/>
      <c r="U8" s="50">
        <v>3</v>
      </c>
    </row>
    <row r="9" spans="2:21" x14ac:dyDescent="0.25">
      <c r="B9" s="50" t="s">
        <v>644</v>
      </c>
      <c r="C9" s="50">
        <v>7980</v>
      </c>
      <c r="D9" s="50">
        <v>88</v>
      </c>
      <c r="E9" s="50" t="s">
        <v>23</v>
      </c>
      <c r="F9" s="50">
        <v>1</v>
      </c>
      <c r="G9" s="50" t="s">
        <v>637</v>
      </c>
      <c r="H9" s="50" t="s">
        <v>42</v>
      </c>
      <c r="I9" s="50" t="s">
        <v>25</v>
      </c>
      <c r="J9" s="50" t="s">
        <v>42</v>
      </c>
      <c r="K9" s="50" t="s">
        <v>41</v>
      </c>
      <c r="L9" s="50">
        <v>0.3</v>
      </c>
      <c r="M9" s="50">
        <v>0.24</v>
      </c>
      <c r="N9" s="50">
        <v>0.18</v>
      </c>
      <c r="O9" s="50">
        <v>0.12</v>
      </c>
      <c r="P9" s="50">
        <v>0.06</v>
      </c>
      <c r="Q9" s="50">
        <v>0</v>
      </c>
      <c r="R9" s="50"/>
      <c r="S9" s="50"/>
      <c r="T9" s="50"/>
      <c r="U9" s="50">
        <v>3</v>
      </c>
    </row>
    <row r="10" spans="2:21" x14ac:dyDescent="0.25">
      <c r="B10" s="50" t="s">
        <v>645</v>
      </c>
      <c r="C10" s="50">
        <v>7981</v>
      </c>
      <c r="D10" s="50">
        <v>88</v>
      </c>
      <c r="E10" s="50" t="s">
        <v>38</v>
      </c>
      <c r="F10" s="50">
        <v>1</v>
      </c>
      <c r="G10" s="50" t="s">
        <v>637</v>
      </c>
      <c r="H10" s="50" t="s">
        <v>42</v>
      </c>
      <c r="I10" s="50" t="s">
        <v>25</v>
      </c>
      <c r="J10" s="50" t="s">
        <v>42</v>
      </c>
      <c r="K10" s="50" t="s">
        <v>41</v>
      </c>
      <c r="L10" s="50">
        <v>0.3</v>
      </c>
      <c r="M10" s="50">
        <v>0.24</v>
      </c>
      <c r="N10" s="50">
        <v>0.18</v>
      </c>
      <c r="O10" s="50">
        <v>0.12</v>
      </c>
      <c r="P10" s="50">
        <v>0.06</v>
      </c>
      <c r="Q10" s="50">
        <v>0</v>
      </c>
      <c r="R10" s="50"/>
      <c r="S10" s="50"/>
      <c r="T10" s="50"/>
      <c r="U10" s="50">
        <v>3</v>
      </c>
    </row>
    <row r="11" spans="2:21" x14ac:dyDescent="0.25">
      <c r="B11" s="50" t="s">
        <v>646</v>
      </c>
      <c r="C11" s="50">
        <v>7982</v>
      </c>
      <c r="D11" s="50">
        <v>88</v>
      </c>
      <c r="E11" s="50" t="s">
        <v>23</v>
      </c>
      <c r="F11" s="50">
        <v>1</v>
      </c>
      <c r="G11" s="50" t="s">
        <v>637</v>
      </c>
      <c r="H11" s="50" t="s">
        <v>42</v>
      </c>
      <c r="I11" s="50" t="s">
        <v>85</v>
      </c>
      <c r="J11" s="50" t="s">
        <v>587</v>
      </c>
      <c r="K11" s="50" t="s">
        <v>41</v>
      </c>
      <c r="L11" s="50">
        <v>0.3</v>
      </c>
      <c r="M11" s="50">
        <v>0.24</v>
      </c>
      <c r="N11" s="50">
        <v>0.18</v>
      </c>
      <c r="O11" s="50">
        <v>0.12</v>
      </c>
      <c r="P11" s="50">
        <v>0.06</v>
      </c>
      <c r="Q11" s="50">
        <v>0</v>
      </c>
      <c r="R11" s="50"/>
      <c r="S11" s="50"/>
      <c r="T11" s="50"/>
      <c r="U11" s="50">
        <v>3</v>
      </c>
    </row>
    <row r="12" spans="2:21" x14ac:dyDescent="0.25">
      <c r="B12" s="50" t="s">
        <v>647</v>
      </c>
      <c r="C12" s="50">
        <v>7983</v>
      </c>
      <c r="D12" s="50">
        <v>88</v>
      </c>
      <c r="E12" s="50" t="s">
        <v>588</v>
      </c>
      <c r="F12" s="50">
        <v>1</v>
      </c>
      <c r="G12" s="50" t="s">
        <v>637</v>
      </c>
      <c r="H12" s="50" t="s">
        <v>42</v>
      </c>
      <c r="I12" s="50" t="s">
        <v>85</v>
      </c>
      <c r="J12" s="50" t="s">
        <v>587</v>
      </c>
      <c r="K12" s="50" t="s">
        <v>41</v>
      </c>
      <c r="L12" s="50">
        <v>0.3</v>
      </c>
      <c r="M12" s="50">
        <v>0.24</v>
      </c>
      <c r="N12" s="50">
        <v>0.18</v>
      </c>
      <c r="O12" s="50">
        <v>0.12</v>
      </c>
      <c r="P12" s="50">
        <v>0.06</v>
      </c>
      <c r="Q12" s="50">
        <v>0</v>
      </c>
      <c r="R12" s="50"/>
      <c r="S12" s="50"/>
      <c r="T12" s="50"/>
      <c r="U12" s="50">
        <v>3</v>
      </c>
    </row>
    <row r="13" spans="2:21" x14ac:dyDescent="0.25">
      <c r="B13" s="50" t="s">
        <v>648</v>
      </c>
      <c r="C13" s="50">
        <v>7984</v>
      </c>
      <c r="D13" s="50">
        <v>88</v>
      </c>
      <c r="E13" s="50" t="s">
        <v>23</v>
      </c>
      <c r="F13" s="50">
        <v>1</v>
      </c>
      <c r="G13" s="50" t="s">
        <v>637</v>
      </c>
      <c r="H13" s="50" t="s">
        <v>42</v>
      </c>
      <c r="I13" s="50" t="s">
        <v>86</v>
      </c>
      <c r="J13" s="50" t="s">
        <v>587</v>
      </c>
      <c r="K13" s="50" t="s">
        <v>41</v>
      </c>
      <c r="L13" s="50">
        <v>0.4</v>
      </c>
      <c r="M13" s="50">
        <v>0.32</v>
      </c>
      <c r="N13" s="50">
        <v>0.24</v>
      </c>
      <c r="O13" s="50">
        <v>0.16</v>
      </c>
      <c r="P13" s="50">
        <v>0.08</v>
      </c>
      <c r="Q13" s="50">
        <v>0</v>
      </c>
      <c r="R13" s="50"/>
      <c r="S13" s="50"/>
      <c r="T13" s="50"/>
      <c r="U13" s="50">
        <v>3</v>
      </c>
    </row>
    <row r="14" spans="2:21" x14ac:dyDescent="0.25">
      <c r="B14" s="50" t="s">
        <v>649</v>
      </c>
      <c r="C14" s="50">
        <v>7985</v>
      </c>
      <c r="D14" s="50">
        <v>88</v>
      </c>
      <c r="E14" s="50" t="s">
        <v>588</v>
      </c>
      <c r="F14" s="50">
        <v>1</v>
      </c>
      <c r="G14" s="50" t="s">
        <v>637</v>
      </c>
      <c r="H14" s="50" t="s">
        <v>42</v>
      </c>
      <c r="I14" s="50" t="s">
        <v>86</v>
      </c>
      <c r="J14" s="50" t="s">
        <v>587</v>
      </c>
      <c r="K14" s="50" t="s">
        <v>41</v>
      </c>
      <c r="L14" s="50">
        <v>0.4</v>
      </c>
      <c r="M14" s="50">
        <v>0.32</v>
      </c>
      <c r="N14" s="50">
        <v>0.24</v>
      </c>
      <c r="O14" s="50">
        <v>0.16</v>
      </c>
      <c r="P14" s="50">
        <v>0.08</v>
      </c>
      <c r="Q14" s="50">
        <v>0</v>
      </c>
      <c r="R14" s="50"/>
      <c r="S14" s="50"/>
      <c r="T14" s="50"/>
      <c r="U14" s="50">
        <v>3</v>
      </c>
    </row>
    <row r="15" spans="2:21" x14ac:dyDescent="0.25">
      <c r="B15" s="50" t="s">
        <v>650</v>
      </c>
      <c r="C15" s="50">
        <v>7986</v>
      </c>
      <c r="D15" s="50">
        <v>88</v>
      </c>
      <c r="E15" s="50" t="s">
        <v>23</v>
      </c>
      <c r="F15" s="50">
        <v>1</v>
      </c>
      <c r="G15" s="50" t="s">
        <v>637</v>
      </c>
      <c r="H15" s="50" t="s">
        <v>47</v>
      </c>
      <c r="I15" s="50" t="s">
        <v>48</v>
      </c>
      <c r="J15" s="50" t="s">
        <v>587</v>
      </c>
      <c r="K15" s="50" t="s">
        <v>32</v>
      </c>
      <c r="L15" s="50">
        <v>0.15</v>
      </c>
      <c r="M15" s="50">
        <v>0.12</v>
      </c>
      <c r="N15" s="50">
        <v>0.09</v>
      </c>
      <c r="O15" s="50">
        <v>0.06</v>
      </c>
      <c r="P15" s="50">
        <v>0.03</v>
      </c>
      <c r="Q15" s="50">
        <v>0</v>
      </c>
      <c r="R15" s="50"/>
      <c r="S15" s="50"/>
      <c r="T15" s="50"/>
      <c r="U15" s="50">
        <v>3</v>
      </c>
    </row>
    <row r="16" spans="2:21" x14ac:dyDescent="0.25">
      <c r="B16" s="50" t="s">
        <v>651</v>
      </c>
      <c r="C16" s="50">
        <v>7987</v>
      </c>
      <c r="D16" s="50">
        <v>88</v>
      </c>
      <c r="E16" s="50" t="s">
        <v>38</v>
      </c>
      <c r="F16" s="50">
        <v>1</v>
      </c>
      <c r="G16" s="50" t="s">
        <v>637</v>
      </c>
      <c r="H16" s="50" t="s">
        <v>47</v>
      </c>
      <c r="I16" s="50" t="s">
        <v>48</v>
      </c>
      <c r="J16" s="50" t="s">
        <v>587</v>
      </c>
      <c r="K16" s="50" t="s">
        <v>32</v>
      </c>
      <c r="L16" s="50">
        <v>0.15</v>
      </c>
      <c r="M16" s="50">
        <v>0.12</v>
      </c>
      <c r="N16" s="50">
        <v>0.09</v>
      </c>
      <c r="O16" s="50">
        <v>0.06</v>
      </c>
      <c r="P16" s="50">
        <v>0.03</v>
      </c>
      <c r="Q16" s="50">
        <v>0</v>
      </c>
      <c r="R16" s="50"/>
      <c r="S16" s="50"/>
      <c r="T16" s="50"/>
      <c r="U16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07AD-745B-4B65-9DEB-7A481C9F7ED5}">
  <sheetPr codeName="Plan1"/>
  <dimension ref="A1:L18"/>
  <sheetViews>
    <sheetView showGridLines="0" workbookViewId="0">
      <selection activeCell="H32" sqref="H32"/>
    </sheetView>
  </sheetViews>
  <sheetFormatPr defaultColWidth="9.140625"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110" t="s">
        <v>1147</v>
      </c>
      <c r="B1" s="110" t="s">
        <v>22</v>
      </c>
      <c r="C1" s="110" t="s">
        <v>1146</v>
      </c>
      <c r="D1" s="110" t="s">
        <v>1145</v>
      </c>
      <c r="E1" s="110" t="s">
        <v>32</v>
      </c>
      <c r="F1" s="110" t="s">
        <v>1144</v>
      </c>
      <c r="G1" s="110" t="s">
        <v>1143</v>
      </c>
      <c r="H1" s="110" t="s">
        <v>555</v>
      </c>
      <c r="I1" s="110" t="s">
        <v>34</v>
      </c>
      <c r="J1" s="110" t="s">
        <v>554</v>
      </c>
      <c r="K1" s="110" t="s">
        <v>553</v>
      </c>
      <c r="L1" s="110" t="s">
        <v>552</v>
      </c>
    </row>
    <row r="2" spans="1:12" x14ac:dyDescent="0.2">
      <c r="A2" s="106" t="s">
        <v>1142</v>
      </c>
      <c r="B2" s="112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305.75197986622794</v>
      </c>
      <c r="C2" s="112">
        <f t="shared" si="0"/>
        <v>287.25891656786735</v>
      </c>
      <c r="D2" s="112">
        <f t="shared" si="0"/>
        <v>281.30004061617342</v>
      </c>
      <c r="E2" s="112">
        <f t="shared" si="0"/>
        <v>305.75197986622794</v>
      </c>
      <c r="F2" s="112">
        <f t="shared" si="0"/>
        <v>168.08139753398819</v>
      </c>
      <c r="G2" s="112">
        <f t="shared" si="0"/>
        <v>183.49228361595533</v>
      </c>
      <c r="H2" s="112">
        <f t="shared" si="0"/>
        <v>0</v>
      </c>
      <c r="I2" s="112">
        <f t="shared" si="0"/>
        <v>115.1076666133211</v>
      </c>
      <c r="J2" s="112">
        <f t="shared" si="0"/>
        <v>0</v>
      </c>
      <c r="K2" s="112">
        <f t="shared" si="0"/>
        <v>0</v>
      </c>
      <c r="L2" s="112">
        <f t="shared" si="0"/>
        <v>0</v>
      </c>
    </row>
    <row r="3" spans="1:12" ht="12" thickBot="1" x14ac:dyDescent="0.25">
      <c r="A3" s="104" t="s">
        <v>1141</v>
      </c>
      <c r="B3" s="111">
        <v>14.88</v>
      </c>
      <c r="C3" s="111">
        <v>13.98</v>
      </c>
      <c r="D3" s="111">
        <v>13.69</v>
      </c>
      <c r="E3" s="111">
        <v>14.88</v>
      </c>
      <c r="F3" s="111">
        <v>8.18</v>
      </c>
      <c r="G3" s="111">
        <v>8.93</v>
      </c>
      <c r="H3" s="111">
        <v>0</v>
      </c>
      <c r="I3" s="111">
        <f>'TUSD BE'!$AC$6</f>
        <v>5.6019329129302777</v>
      </c>
      <c r="J3" s="111">
        <v>0</v>
      </c>
      <c r="K3" s="111">
        <v>0</v>
      </c>
      <c r="L3" s="111">
        <v>0</v>
      </c>
    </row>
    <row r="5" spans="1:12" ht="12" thickBot="1" x14ac:dyDescent="0.25">
      <c r="A5" s="110" t="s">
        <v>1140</v>
      </c>
      <c r="B5" s="110" t="s">
        <v>1139</v>
      </c>
    </row>
    <row r="6" spans="1:12" x14ac:dyDescent="0.2">
      <c r="A6" s="106" t="s">
        <v>1138</v>
      </c>
      <c r="B6" s="109">
        <v>0.1063543545436658</v>
      </c>
    </row>
    <row r="7" spans="1:12" x14ac:dyDescent="0.2">
      <c r="A7" s="108" t="s">
        <v>1137</v>
      </c>
      <c r="B7" s="107">
        <v>0.34</v>
      </c>
    </row>
    <row r="8" spans="1:12" x14ac:dyDescent="0.2">
      <c r="A8" s="106" t="s">
        <v>1136</v>
      </c>
      <c r="B8" s="105">
        <v>3249588.7505686115</v>
      </c>
    </row>
    <row r="9" spans="1:12" x14ac:dyDescent="0.2">
      <c r="A9" s="108" t="s">
        <v>1135</v>
      </c>
      <c r="B9" s="107">
        <v>3.8399999999999997E-2</v>
      </c>
    </row>
    <row r="10" spans="1:12" x14ac:dyDescent="0.2">
      <c r="A10" s="106" t="s">
        <v>1134</v>
      </c>
      <c r="B10" s="105">
        <v>2611929.2113786358</v>
      </c>
    </row>
    <row r="11" spans="1:12" ht="12" thickBot="1" x14ac:dyDescent="0.25">
      <c r="A11" s="104" t="s">
        <v>1133</v>
      </c>
      <c r="B11" s="103">
        <f>(1+$B$6)^(1/IF($B$9&lt;&gt;0,$B$9,1))*$B$6/IF((1+$B$6)^(1/IF($B$9&lt;&gt;0,$B$9,1))-1&lt;&gt;0,(1+$B$6)^(1/IF($B$9&lt;&gt;0,$B$9,1))-1,1)</f>
        <v>0.11459755654231368</v>
      </c>
    </row>
    <row r="18" spans="2:2" x14ac:dyDescent="0.2">
      <c r="B18" s="10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9ED0-34F9-493C-98F0-8209013D52AD}">
  <dimension ref="B1:AT49"/>
  <sheetViews>
    <sheetView showGridLines="0" tabSelected="1" workbookViewId="0">
      <selection activeCell="E23" sqref="E23"/>
    </sheetView>
  </sheetViews>
  <sheetFormatPr defaultRowHeight="15" x14ac:dyDescent="0.25"/>
  <cols>
    <col min="2" max="2" width="12.7109375" bestFit="1" customWidth="1"/>
    <col min="3" max="3" width="25.42578125" bestFit="1" customWidth="1"/>
    <col min="4" max="4" width="16.28515625" bestFit="1" customWidth="1"/>
    <col min="5" max="5" width="28.7109375" bestFit="1" customWidth="1"/>
    <col min="6" max="6" width="11.85546875" bestFit="1" customWidth="1"/>
    <col min="7" max="7" width="12.140625" bestFit="1" customWidth="1"/>
    <col min="8" max="8" width="11.140625" bestFit="1" customWidth="1"/>
    <col min="9" max="9" width="13.140625" bestFit="1" customWidth="1"/>
    <col min="10" max="10" width="12.42578125" bestFit="1" customWidth="1"/>
    <col min="11" max="11" width="9.85546875" bestFit="1" customWidth="1"/>
    <col min="12" max="12" width="18.7109375" bestFit="1" customWidth="1"/>
    <col min="13" max="13" width="13.7109375" bestFit="1" customWidth="1"/>
    <col min="14" max="14" width="12.140625" bestFit="1" customWidth="1"/>
    <col min="15" max="15" width="12.42578125" bestFit="1" customWidth="1"/>
    <col min="16" max="17" width="12.140625" bestFit="1" customWidth="1"/>
    <col min="18" max="18" width="16.42578125" bestFit="1" customWidth="1"/>
    <col min="19" max="19" width="10.42578125" bestFit="1" customWidth="1"/>
    <col min="20" max="20" width="11" bestFit="1" customWidth="1"/>
    <col min="21" max="21" width="10.7109375" bestFit="1" customWidth="1"/>
    <col min="22" max="22" width="12" bestFit="1" customWidth="1"/>
    <col min="23" max="23" width="12.28515625" bestFit="1" customWidth="1"/>
    <col min="24" max="24" width="13.42578125" bestFit="1" customWidth="1"/>
    <col min="25" max="25" width="11" bestFit="1" customWidth="1"/>
    <col min="26" max="26" width="13.7109375" bestFit="1" customWidth="1"/>
    <col min="27" max="27" width="12.28515625" bestFit="1" customWidth="1"/>
    <col min="28" max="28" width="15.42578125" bestFit="1" customWidth="1"/>
    <col min="29" max="29" width="24.28515625" bestFit="1" customWidth="1"/>
    <col min="30" max="30" width="13.85546875" bestFit="1" customWidth="1"/>
    <col min="31" max="31" width="12" bestFit="1" customWidth="1"/>
    <col min="32" max="32" width="17.140625" bestFit="1" customWidth="1"/>
    <col min="33" max="33" width="12.28515625" bestFit="1" customWidth="1"/>
    <col min="34" max="34" width="12" bestFit="1" customWidth="1"/>
    <col min="35" max="35" width="16.140625" bestFit="1" customWidth="1"/>
    <col min="36" max="36" width="14.42578125" bestFit="1" customWidth="1"/>
    <col min="37" max="37" width="12" bestFit="1" customWidth="1"/>
    <col min="38" max="38" width="12.42578125" bestFit="1" customWidth="1"/>
    <col min="39" max="39" width="11.85546875" bestFit="1" customWidth="1"/>
    <col min="40" max="40" width="13.7109375" bestFit="1" customWidth="1"/>
    <col min="41" max="41" width="24.5703125" bestFit="1" customWidth="1"/>
    <col min="42" max="42" width="17.42578125" bestFit="1" customWidth="1"/>
    <col min="43" max="43" width="13.28515625" bestFit="1" customWidth="1"/>
    <col min="44" max="44" width="12.7109375" bestFit="1" customWidth="1"/>
    <col min="45" max="45" width="21.7109375" bestFit="1" customWidth="1"/>
    <col min="46" max="46" width="12.28515625" bestFit="1" customWidth="1"/>
  </cols>
  <sheetData>
    <row r="1" spans="2:46" ht="12" customHeight="1" x14ac:dyDescent="0.25">
      <c r="L1" s="162" t="s">
        <v>1187</v>
      </c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</row>
    <row r="2" spans="2:46" ht="12" customHeight="1" x14ac:dyDescent="0.25">
      <c r="L2" s="163" t="s">
        <v>420</v>
      </c>
      <c r="M2" s="163"/>
      <c r="N2" s="163"/>
      <c r="O2" s="163"/>
      <c r="P2" s="163"/>
      <c r="Q2" s="163"/>
      <c r="R2" s="163"/>
      <c r="S2" s="164"/>
      <c r="T2" s="163" t="s">
        <v>429</v>
      </c>
      <c r="U2" s="163"/>
      <c r="V2" s="163"/>
      <c r="W2" s="163"/>
      <c r="X2" s="163"/>
      <c r="Y2" s="163"/>
      <c r="Z2" s="164"/>
      <c r="AA2" s="123" t="s">
        <v>437</v>
      </c>
      <c r="AB2" s="163" t="s">
        <v>25</v>
      </c>
      <c r="AC2" s="163"/>
      <c r="AD2" s="164"/>
      <c r="AE2" s="163" t="s">
        <v>1186</v>
      </c>
      <c r="AF2" s="163"/>
      <c r="AG2" s="163"/>
      <c r="AH2" s="164"/>
      <c r="AI2" s="163" t="s">
        <v>420</v>
      </c>
      <c r="AJ2" s="163"/>
      <c r="AK2" s="163"/>
      <c r="AL2" s="163"/>
      <c r="AM2" s="164"/>
      <c r="AN2" s="123" t="s">
        <v>451</v>
      </c>
      <c r="AO2" s="163" t="s">
        <v>429</v>
      </c>
      <c r="AP2" s="163"/>
      <c r="AQ2" s="163"/>
      <c r="AR2" s="163"/>
      <c r="AS2" s="164"/>
      <c r="AT2" s="122" t="s">
        <v>1186</v>
      </c>
    </row>
    <row r="3" spans="2:46" ht="12" customHeight="1" x14ac:dyDescent="0.25">
      <c r="B3" s="113" t="s">
        <v>58</v>
      </c>
      <c r="C3" s="114" t="s">
        <v>59</v>
      </c>
      <c r="D3" s="114" t="s">
        <v>60</v>
      </c>
      <c r="E3" s="114" t="s">
        <v>61</v>
      </c>
      <c r="F3" s="114" t="s">
        <v>62</v>
      </c>
      <c r="G3" s="114" t="s">
        <v>64</v>
      </c>
      <c r="H3" s="114" t="s">
        <v>65</v>
      </c>
      <c r="I3" s="114" t="s">
        <v>697</v>
      </c>
      <c r="J3" s="114" t="s">
        <v>1148</v>
      </c>
      <c r="K3" s="114" t="s">
        <v>1149</v>
      </c>
      <c r="L3" s="114" t="s">
        <v>1150</v>
      </c>
      <c r="M3" s="114" t="s">
        <v>1151</v>
      </c>
      <c r="N3" s="114" t="s">
        <v>1152</v>
      </c>
      <c r="O3" s="114" t="s">
        <v>1153</v>
      </c>
      <c r="P3" s="114" t="s">
        <v>1154</v>
      </c>
      <c r="Q3" s="114" t="s">
        <v>1155</v>
      </c>
      <c r="R3" s="114" t="s">
        <v>1156</v>
      </c>
      <c r="S3" s="114" t="s">
        <v>1157</v>
      </c>
      <c r="T3" s="114" t="s">
        <v>1158</v>
      </c>
      <c r="U3" s="114" t="s">
        <v>1159</v>
      </c>
      <c r="V3" s="114" t="s">
        <v>1160</v>
      </c>
      <c r="W3" s="114" t="s">
        <v>1161</v>
      </c>
      <c r="X3" s="114" t="s">
        <v>1162</v>
      </c>
      <c r="Y3" s="114" t="s">
        <v>1163</v>
      </c>
      <c r="Z3" s="114" t="s">
        <v>1164</v>
      </c>
      <c r="AA3" s="114" t="s">
        <v>1165</v>
      </c>
      <c r="AB3" s="114" t="s">
        <v>1166</v>
      </c>
      <c r="AC3" s="114" t="s">
        <v>1167</v>
      </c>
      <c r="AD3" s="114" t="s">
        <v>1168</v>
      </c>
      <c r="AE3" s="114" t="s">
        <v>1169</v>
      </c>
      <c r="AF3" s="114" t="s">
        <v>1170</v>
      </c>
      <c r="AG3" s="114" t="s">
        <v>1171</v>
      </c>
      <c r="AH3" s="114" t="s">
        <v>1172</v>
      </c>
      <c r="AI3" s="114" t="s">
        <v>1173</v>
      </c>
      <c r="AJ3" s="114" t="s">
        <v>1174</v>
      </c>
      <c r="AK3" s="114" t="s">
        <v>1175</v>
      </c>
      <c r="AL3" s="114" t="s">
        <v>1176</v>
      </c>
      <c r="AM3" s="114" t="s">
        <v>1177</v>
      </c>
      <c r="AN3" s="114" t="s">
        <v>1178</v>
      </c>
      <c r="AO3" s="114" t="s">
        <v>1179</v>
      </c>
      <c r="AP3" s="114" t="s">
        <v>1180</v>
      </c>
      <c r="AQ3" s="114" t="s">
        <v>1181</v>
      </c>
      <c r="AR3" s="114" t="s">
        <v>1182</v>
      </c>
      <c r="AS3" s="114" t="s">
        <v>1183</v>
      </c>
      <c r="AT3" s="115" t="s">
        <v>1184</v>
      </c>
    </row>
    <row r="4" spans="2:46" ht="12" customHeight="1" x14ac:dyDescent="0.25">
      <c r="B4" s="116" t="s">
        <v>34</v>
      </c>
      <c r="C4" s="117" t="s">
        <v>73</v>
      </c>
      <c r="D4" s="117" t="s">
        <v>25</v>
      </c>
      <c r="E4" s="117" t="s">
        <v>25</v>
      </c>
      <c r="F4" s="117" t="s">
        <v>77</v>
      </c>
      <c r="G4" s="117" t="s">
        <v>36</v>
      </c>
      <c r="H4" s="117" t="s">
        <v>68</v>
      </c>
      <c r="I4" s="117" t="s">
        <v>25</v>
      </c>
      <c r="J4" s="117">
        <v>20.49</v>
      </c>
      <c r="K4" s="117">
        <v>0</v>
      </c>
      <c r="L4" s="117">
        <v>0</v>
      </c>
      <c r="M4" s="117">
        <v>0.27076415621780198</v>
      </c>
      <c r="N4" s="117">
        <v>7.8656397747592699E-2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17.279247188901898</v>
      </c>
      <c r="AD4" s="117">
        <v>0</v>
      </c>
      <c r="AE4" s="117">
        <v>1.79994735509502</v>
      </c>
      <c r="AF4" s="117">
        <v>0</v>
      </c>
      <c r="AG4" s="117">
        <v>0.80655041817786599</v>
      </c>
      <c r="AH4" s="117">
        <v>0.254834483859815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7">
        <v>0</v>
      </c>
      <c r="AS4" s="117">
        <v>0</v>
      </c>
      <c r="AT4" s="118">
        <v>0</v>
      </c>
    </row>
    <row r="5" spans="2:46" ht="12" customHeight="1" x14ac:dyDescent="0.25">
      <c r="B5" s="116" t="s">
        <v>34</v>
      </c>
      <c r="C5" s="117" t="s">
        <v>73</v>
      </c>
      <c r="D5" s="117" t="s">
        <v>25</v>
      </c>
      <c r="E5" s="117" t="s">
        <v>25</v>
      </c>
      <c r="F5" s="117" t="s">
        <v>77</v>
      </c>
      <c r="G5" s="117" t="s">
        <v>36</v>
      </c>
      <c r="H5" s="117" t="s">
        <v>74</v>
      </c>
      <c r="I5" s="117" t="s">
        <v>25</v>
      </c>
      <c r="J5" s="117">
        <v>32.35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31.398037429103301</v>
      </c>
      <c r="Y5" s="117">
        <v>0</v>
      </c>
      <c r="Z5" s="117">
        <v>0</v>
      </c>
      <c r="AA5" s="117">
        <v>16.901015110154599</v>
      </c>
      <c r="AB5" s="117">
        <v>0</v>
      </c>
      <c r="AC5" s="117">
        <v>-15.949052539257901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7">
        <v>0</v>
      </c>
      <c r="AS5" s="117">
        <v>0</v>
      </c>
      <c r="AT5" s="118">
        <v>0</v>
      </c>
    </row>
    <row r="6" spans="2:46" ht="12" customHeight="1" x14ac:dyDescent="0.25">
      <c r="B6" s="116" t="s">
        <v>34</v>
      </c>
      <c r="C6" s="117" t="s">
        <v>73</v>
      </c>
      <c r="D6" s="117" t="s">
        <v>25</v>
      </c>
      <c r="E6" s="117" t="s">
        <v>25</v>
      </c>
      <c r="F6" s="117" t="s">
        <v>77</v>
      </c>
      <c r="G6" s="117" t="s">
        <v>37</v>
      </c>
      <c r="H6" s="117" t="s">
        <v>68</v>
      </c>
      <c r="I6" s="117" t="s">
        <v>25</v>
      </c>
      <c r="J6" s="117">
        <v>20.49</v>
      </c>
      <c r="K6" s="117">
        <v>0</v>
      </c>
      <c r="L6" s="117">
        <v>0</v>
      </c>
      <c r="M6" s="117">
        <v>0.27076415621780198</v>
      </c>
      <c r="N6" s="117">
        <v>7.8656397747592699E-2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17.279247188901898</v>
      </c>
      <c r="AD6" s="117">
        <v>0</v>
      </c>
      <c r="AE6" s="117">
        <v>1.79994735509502</v>
      </c>
      <c r="AF6" s="117">
        <v>0</v>
      </c>
      <c r="AG6" s="117">
        <v>0.80655041817786599</v>
      </c>
      <c r="AH6" s="117">
        <v>0.254834483859815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7">
        <v>0</v>
      </c>
      <c r="AS6" s="117">
        <v>0</v>
      </c>
      <c r="AT6" s="118">
        <v>0</v>
      </c>
    </row>
    <row r="7" spans="2:46" ht="12" customHeight="1" x14ac:dyDescent="0.25">
      <c r="B7" s="116" t="s">
        <v>34</v>
      </c>
      <c r="C7" s="117" t="s">
        <v>73</v>
      </c>
      <c r="D7" s="117" t="s">
        <v>25</v>
      </c>
      <c r="E7" s="117" t="s">
        <v>25</v>
      </c>
      <c r="F7" s="117" t="s">
        <v>77</v>
      </c>
      <c r="G7" s="117" t="s">
        <v>37</v>
      </c>
      <c r="H7" s="117" t="s">
        <v>74</v>
      </c>
      <c r="I7" s="117" t="s">
        <v>25</v>
      </c>
      <c r="J7" s="117">
        <v>15.64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12.1003797899095</v>
      </c>
      <c r="Y7" s="117">
        <v>0</v>
      </c>
      <c r="Z7" s="117">
        <v>0</v>
      </c>
      <c r="AA7" s="117">
        <v>5.6019329129302804</v>
      </c>
      <c r="AB7" s="117">
        <v>0</v>
      </c>
      <c r="AC7" s="117">
        <v>-2.0623127028397401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7">
        <v>0</v>
      </c>
      <c r="AS7" s="117">
        <v>0</v>
      </c>
      <c r="AT7" s="118">
        <v>0</v>
      </c>
    </row>
    <row r="8" spans="2:46" ht="12" customHeight="1" x14ac:dyDescent="0.25">
      <c r="B8" s="116" t="s">
        <v>34</v>
      </c>
      <c r="C8" s="117" t="s">
        <v>73</v>
      </c>
      <c r="D8" s="117" t="s">
        <v>25</v>
      </c>
      <c r="E8" s="117" t="s">
        <v>25</v>
      </c>
      <c r="F8" s="117" t="s">
        <v>25</v>
      </c>
      <c r="G8" s="117" t="s">
        <v>36</v>
      </c>
      <c r="H8" s="117" t="s">
        <v>68</v>
      </c>
      <c r="I8" s="117" t="s">
        <v>25</v>
      </c>
      <c r="J8" s="117">
        <v>126.25</v>
      </c>
      <c r="K8" s="117">
        <v>399.84</v>
      </c>
      <c r="L8" s="117">
        <v>0</v>
      </c>
      <c r="M8" s="117">
        <v>0.27076415621780198</v>
      </c>
      <c r="N8" s="117">
        <v>9.1183856476506203E-2</v>
      </c>
      <c r="O8" s="117">
        <v>0</v>
      </c>
      <c r="P8" s="117">
        <v>0</v>
      </c>
      <c r="Q8" s="117">
        <v>89.596343628389604</v>
      </c>
      <c r="R8" s="117">
        <v>17.1826184554027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16.247757646380698</v>
      </c>
      <c r="AD8" s="117">
        <v>0</v>
      </c>
      <c r="AE8" s="117">
        <v>1.79994735509502</v>
      </c>
      <c r="AF8" s="117">
        <v>0</v>
      </c>
      <c r="AG8" s="117">
        <v>0.80655041817786599</v>
      </c>
      <c r="AH8" s="117">
        <v>0.254834483859815</v>
      </c>
      <c r="AI8" s="117">
        <v>-9.9289898266553094E-3</v>
      </c>
      <c r="AJ8" s="117">
        <v>0</v>
      </c>
      <c r="AK8" s="117">
        <v>2.8377408919053999</v>
      </c>
      <c r="AL8" s="117">
        <v>0</v>
      </c>
      <c r="AM8" s="117">
        <v>0</v>
      </c>
      <c r="AN8" s="117">
        <v>466.837290035298</v>
      </c>
      <c r="AO8" s="117">
        <v>0</v>
      </c>
      <c r="AP8" s="117">
        <v>0</v>
      </c>
      <c r="AQ8" s="117">
        <v>0</v>
      </c>
      <c r="AR8" s="117">
        <v>0</v>
      </c>
      <c r="AS8" s="117">
        <v>-69.825101937376701</v>
      </c>
      <c r="AT8" s="118">
        <v>0</v>
      </c>
    </row>
    <row r="9" spans="2:46" ht="12" customHeight="1" x14ac:dyDescent="0.25">
      <c r="B9" s="116" t="s">
        <v>34</v>
      </c>
      <c r="C9" s="117" t="s">
        <v>73</v>
      </c>
      <c r="D9" s="117" t="s">
        <v>25</v>
      </c>
      <c r="E9" s="117" t="s">
        <v>25</v>
      </c>
      <c r="F9" s="117" t="s">
        <v>25</v>
      </c>
      <c r="G9" s="117" t="s">
        <v>36</v>
      </c>
      <c r="H9" s="117" t="s">
        <v>74</v>
      </c>
      <c r="I9" s="117" t="s">
        <v>25</v>
      </c>
      <c r="J9" s="117">
        <v>32.35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31.398037429103301</v>
      </c>
      <c r="Y9" s="117">
        <v>0</v>
      </c>
      <c r="Z9" s="117">
        <v>0</v>
      </c>
      <c r="AA9" s="117">
        <v>16.901015110154599</v>
      </c>
      <c r="AB9" s="117">
        <v>0</v>
      </c>
      <c r="AC9" s="117">
        <v>-15.949052539257901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7">
        <v>0</v>
      </c>
      <c r="AS9" s="117">
        <v>0</v>
      </c>
      <c r="AT9" s="118">
        <v>0</v>
      </c>
    </row>
    <row r="10" spans="2:46" ht="12" customHeight="1" x14ac:dyDescent="0.25">
      <c r="B10" s="116" t="s">
        <v>34</v>
      </c>
      <c r="C10" s="117" t="s">
        <v>73</v>
      </c>
      <c r="D10" s="117" t="s">
        <v>25</v>
      </c>
      <c r="E10" s="117" t="s">
        <v>25</v>
      </c>
      <c r="F10" s="117" t="s">
        <v>25</v>
      </c>
      <c r="G10" s="117" t="s">
        <v>37</v>
      </c>
      <c r="H10" s="117" t="s">
        <v>68</v>
      </c>
      <c r="I10" s="117" t="s">
        <v>25</v>
      </c>
      <c r="J10" s="117">
        <v>126.25</v>
      </c>
      <c r="K10" s="117">
        <v>250.04</v>
      </c>
      <c r="L10" s="117">
        <v>0</v>
      </c>
      <c r="M10" s="117">
        <v>0.27076415621780198</v>
      </c>
      <c r="N10" s="117">
        <v>9.1183856476506203E-2</v>
      </c>
      <c r="O10" s="117">
        <v>0</v>
      </c>
      <c r="P10" s="117">
        <v>0</v>
      </c>
      <c r="Q10" s="117">
        <v>89.596343628389604</v>
      </c>
      <c r="R10" s="117">
        <v>17.1826184554027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16.247757646380698</v>
      </c>
      <c r="AD10" s="117">
        <v>0</v>
      </c>
      <c r="AE10" s="117">
        <v>1.79994735509502</v>
      </c>
      <c r="AF10" s="117">
        <v>0</v>
      </c>
      <c r="AG10" s="117">
        <v>0.80655041817786599</v>
      </c>
      <c r="AH10" s="117">
        <v>0.254834483859815</v>
      </c>
      <c r="AI10" s="117">
        <v>-9.9289898266553094E-3</v>
      </c>
      <c r="AJ10" s="117">
        <v>0</v>
      </c>
      <c r="AK10" s="117">
        <v>2.8377408919053999</v>
      </c>
      <c r="AL10" s="117">
        <v>0</v>
      </c>
      <c r="AM10" s="117">
        <v>0</v>
      </c>
      <c r="AN10" s="117">
        <v>271.41702909028902</v>
      </c>
      <c r="AO10" s="117">
        <v>0</v>
      </c>
      <c r="AP10" s="117">
        <v>0</v>
      </c>
      <c r="AQ10" s="117">
        <v>0</v>
      </c>
      <c r="AR10" s="117">
        <v>0</v>
      </c>
      <c r="AS10" s="117">
        <v>-24.204840992368201</v>
      </c>
      <c r="AT10" s="118">
        <v>0</v>
      </c>
    </row>
    <row r="11" spans="2:46" ht="12" customHeight="1" x14ac:dyDescent="0.25">
      <c r="B11" s="116" t="s">
        <v>34</v>
      </c>
      <c r="C11" s="117" t="s">
        <v>73</v>
      </c>
      <c r="D11" s="117" t="s">
        <v>25</v>
      </c>
      <c r="E11" s="117" t="s">
        <v>25</v>
      </c>
      <c r="F11" s="117" t="s">
        <v>25</v>
      </c>
      <c r="G11" s="117" t="s">
        <v>37</v>
      </c>
      <c r="H11" s="117" t="s">
        <v>74</v>
      </c>
      <c r="I11" s="117" t="s">
        <v>25</v>
      </c>
      <c r="J11" s="117">
        <v>15.64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12.1003797899095</v>
      </c>
      <c r="Y11" s="117">
        <v>0</v>
      </c>
      <c r="Z11" s="117">
        <v>0</v>
      </c>
      <c r="AA11" s="117">
        <v>5.6019329129302804</v>
      </c>
      <c r="AB11" s="117">
        <v>0</v>
      </c>
      <c r="AC11" s="117">
        <v>-2.0623127028397401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7">
        <v>0</v>
      </c>
      <c r="AS11" s="117">
        <v>0</v>
      </c>
      <c r="AT11" s="118">
        <v>0</v>
      </c>
    </row>
    <row r="12" spans="2:46" ht="12" customHeight="1" x14ac:dyDescent="0.25">
      <c r="B12" s="116" t="s">
        <v>34</v>
      </c>
      <c r="C12" s="117" t="s">
        <v>78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74</v>
      </c>
      <c r="I12" s="117" t="s">
        <v>25</v>
      </c>
      <c r="J12" s="117">
        <v>6.83</v>
      </c>
      <c r="K12" s="117">
        <v>0</v>
      </c>
      <c r="L12" s="117">
        <v>0</v>
      </c>
      <c r="M12" s="117">
        <v>2.4199241151283499E-2</v>
      </c>
      <c r="N12" s="117">
        <v>7.7544969531974706E-2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6.7319721643564199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0</v>
      </c>
      <c r="AM12" s="117">
        <v>0</v>
      </c>
      <c r="AN12" s="117">
        <v>0</v>
      </c>
      <c r="AO12" s="117">
        <v>0</v>
      </c>
      <c r="AP12" s="117">
        <v>0</v>
      </c>
      <c r="AQ12" s="117">
        <v>0</v>
      </c>
      <c r="AR12" s="117">
        <v>0</v>
      </c>
      <c r="AS12" s="117">
        <v>0</v>
      </c>
      <c r="AT12" s="118">
        <v>0</v>
      </c>
    </row>
    <row r="13" spans="2:46" ht="12" customHeight="1" x14ac:dyDescent="0.25">
      <c r="B13" s="116" t="s">
        <v>34</v>
      </c>
      <c r="C13" s="117" t="s">
        <v>35</v>
      </c>
      <c r="D13" s="117" t="s">
        <v>25</v>
      </c>
      <c r="E13" s="117" t="s">
        <v>25</v>
      </c>
      <c r="F13" s="117" t="s">
        <v>77</v>
      </c>
      <c r="G13" s="117" t="s">
        <v>36</v>
      </c>
      <c r="H13" s="117" t="s">
        <v>68</v>
      </c>
      <c r="I13" s="117" t="s">
        <v>25</v>
      </c>
      <c r="J13" s="117">
        <v>806.08</v>
      </c>
      <c r="K13" s="117">
        <v>0</v>
      </c>
      <c r="L13" s="117">
        <v>0</v>
      </c>
      <c r="M13" s="117">
        <v>0.27076415621780198</v>
      </c>
      <c r="N13" s="117">
        <v>12.336862456200601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755.12291226930597</v>
      </c>
      <c r="Y13" s="117">
        <v>0</v>
      </c>
      <c r="Z13" s="117">
        <v>0</v>
      </c>
      <c r="AA13" s="117">
        <v>406.47093664277401</v>
      </c>
      <c r="AB13" s="117">
        <v>0</v>
      </c>
      <c r="AC13" s="117">
        <v>-370.98280778163002</v>
      </c>
      <c r="AD13" s="117">
        <v>0</v>
      </c>
      <c r="AE13" s="117">
        <v>1.79994735509502</v>
      </c>
      <c r="AF13" s="117">
        <v>0</v>
      </c>
      <c r="AG13" s="117">
        <v>0.80655041817786599</v>
      </c>
      <c r="AH13" s="117">
        <v>0.254834483859815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7">
        <v>0</v>
      </c>
      <c r="AS13" s="117">
        <v>0</v>
      </c>
      <c r="AT13" s="118">
        <v>0</v>
      </c>
    </row>
    <row r="14" spans="2:46" ht="12" customHeight="1" x14ac:dyDescent="0.25">
      <c r="B14" s="116" t="s">
        <v>34</v>
      </c>
      <c r="C14" s="117" t="s">
        <v>35</v>
      </c>
      <c r="D14" s="117" t="s">
        <v>25</v>
      </c>
      <c r="E14" s="117" t="s">
        <v>25</v>
      </c>
      <c r="F14" s="117" t="s">
        <v>77</v>
      </c>
      <c r="G14" s="117" t="s">
        <v>25</v>
      </c>
      <c r="H14" s="117" t="s">
        <v>74</v>
      </c>
      <c r="I14" s="117" t="s">
        <v>25</v>
      </c>
      <c r="J14" s="117">
        <v>15.64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12.1003797899095</v>
      </c>
      <c r="Y14" s="117">
        <v>0</v>
      </c>
      <c r="Z14" s="117">
        <v>0</v>
      </c>
      <c r="AA14" s="117">
        <v>5.6019329129302804</v>
      </c>
      <c r="AB14" s="117">
        <v>0</v>
      </c>
      <c r="AC14" s="117">
        <v>-2.0623127028397401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7">
        <v>0</v>
      </c>
      <c r="AS14" s="117">
        <v>0</v>
      </c>
      <c r="AT14" s="118">
        <v>0</v>
      </c>
    </row>
    <row r="15" spans="2:46" ht="12" customHeight="1" x14ac:dyDescent="0.25">
      <c r="B15" s="116" t="s">
        <v>34</v>
      </c>
      <c r="C15" s="117" t="s">
        <v>35</v>
      </c>
      <c r="D15" s="117" t="s">
        <v>25</v>
      </c>
      <c r="E15" s="117" t="s">
        <v>25</v>
      </c>
      <c r="F15" s="117" t="s">
        <v>77</v>
      </c>
      <c r="G15" s="117" t="s">
        <v>37</v>
      </c>
      <c r="H15" s="117" t="s">
        <v>68</v>
      </c>
      <c r="I15" s="117" t="s">
        <v>25</v>
      </c>
      <c r="J15" s="117">
        <v>20.49</v>
      </c>
      <c r="K15" s="117">
        <v>0</v>
      </c>
      <c r="L15" s="117">
        <v>0</v>
      </c>
      <c r="M15" s="117">
        <v>0.27076415621780198</v>
      </c>
      <c r="N15" s="117">
        <v>7.8656397747592699E-2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17.279247188901898</v>
      </c>
      <c r="AD15" s="117">
        <v>0</v>
      </c>
      <c r="AE15" s="117">
        <v>1.79994735509502</v>
      </c>
      <c r="AF15" s="117">
        <v>0</v>
      </c>
      <c r="AG15" s="117">
        <v>0.80655041817786599</v>
      </c>
      <c r="AH15" s="117">
        <v>0.254834483859815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7">
        <v>0</v>
      </c>
      <c r="AS15" s="117">
        <v>0</v>
      </c>
      <c r="AT15" s="118">
        <v>0</v>
      </c>
    </row>
    <row r="16" spans="2:46" ht="12" customHeight="1" x14ac:dyDescent="0.25">
      <c r="B16" s="116" t="s">
        <v>34</v>
      </c>
      <c r="C16" s="117" t="s">
        <v>35</v>
      </c>
      <c r="D16" s="117" t="s">
        <v>25</v>
      </c>
      <c r="E16" s="117" t="s">
        <v>25</v>
      </c>
      <c r="F16" s="117" t="s">
        <v>25</v>
      </c>
      <c r="G16" s="117" t="s">
        <v>36</v>
      </c>
      <c r="H16" s="117" t="s">
        <v>68</v>
      </c>
      <c r="I16" s="117" t="s">
        <v>25</v>
      </c>
      <c r="J16" s="117">
        <v>911.84</v>
      </c>
      <c r="K16" s="117">
        <v>399.84</v>
      </c>
      <c r="L16" s="117">
        <v>0</v>
      </c>
      <c r="M16" s="117">
        <v>0.27076415621780198</v>
      </c>
      <c r="N16" s="117">
        <v>12.3493899149295</v>
      </c>
      <c r="O16" s="117">
        <v>0</v>
      </c>
      <c r="P16" s="117">
        <v>0</v>
      </c>
      <c r="Q16" s="117">
        <v>89.596343628389604</v>
      </c>
      <c r="R16" s="117">
        <v>17.1826184554027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755.12291226930597</v>
      </c>
      <c r="Y16" s="117">
        <v>0</v>
      </c>
      <c r="Z16" s="117">
        <v>0</v>
      </c>
      <c r="AA16" s="117">
        <v>406.47093664277401</v>
      </c>
      <c r="AB16" s="117">
        <v>0</v>
      </c>
      <c r="AC16" s="117">
        <v>-372.01429732415102</v>
      </c>
      <c r="AD16" s="117">
        <v>0</v>
      </c>
      <c r="AE16" s="117">
        <v>1.79994735509502</v>
      </c>
      <c r="AF16" s="117">
        <v>0</v>
      </c>
      <c r="AG16" s="117">
        <v>0.80655041817786599</v>
      </c>
      <c r="AH16" s="117">
        <v>0.254834483859815</v>
      </c>
      <c r="AI16" s="117">
        <v>-9.9289898266553094E-3</v>
      </c>
      <c r="AJ16" s="117">
        <v>0</v>
      </c>
      <c r="AK16" s="117">
        <v>2.8377408919053999</v>
      </c>
      <c r="AL16" s="117">
        <v>0</v>
      </c>
      <c r="AM16" s="117">
        <v>0</v>
      </c>
      <c r="AN16" s="117">
        <v>466.837290035298</v>
      </c>
      <c r="AO16" s="117">
        <v>0</v>
      </c>
      <c r="AP16" s="117">
        <v>0</v>
      </c>
      <c r="AQ16" s="117">
        <v>0</v>
      </c>
      <c r="AR16" s="117">
        <v>0</v>
      </c>
      <c r="AS16" s="117">
        <v>-69.825101937376701</v>
      </c>
      <c r="AT16" s="118">
        <v>0</v>
      </c>
    </row>
    <row r="17" spans="2:46" ht="12" customHeight="1" x14ac:dyDescent="0.25">
      <c r="B17" s="116" t="s">
        <v>34</v>
      </c>
      <c r="C17" s="117" t="s">
        <v>35</v>
      </c>
      <c r="D17" s="117" t="s">
        <v>25</v>
      </c>
      <c r="E17" s="117" t="s">
        <v>25</v>
      </c>
      <c r="F17" s="117" t="s">
        <v>25</v>
      </c>
      <c r="G17" s="117" t="s">
        <v>25</v>
      </c>
      <c r="H17" s="117" t="s">
        <v>74</v>
      </c>
      <c r="I17" s="117" t="s">
        <v>25</v>
      </c>
      <c r="J17" s="117">
        <v>15.64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12.1003797899095</v>
      </c>
      <c r="Y17" s="117">
        <v>0</v>
      </c>
      <c r="Z17" s="117">
        <v>0</v>
      </c>
      <c r="AA17" s="117">
        <v>5.6019329129302804</v>
      </c>
      <c r="AB17" s="117">
        <v>0</v>
      </c>
      <c r="AC17" s="117">
        <v>-2.0623127028397401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7">
        <v>0</v>
      </c>
      <c r="AS17" s="117">
        <v>0</v>
      </c>
      <c r="AT17" s="118">
        <v>0</v>
      </c>
    </row>
    <row r="18" spans="2:46" ht="12" customHeight="1" x14ac:dyDescent="0.25">
      <c r="B18" s="116" t="s">
        <v>34</v>
      </c>
      <c r="C18" s="117" t="s">
        <v>35</v>
      </c>
      <c r="D18" s="117" t="s">
        <v>25</v>
      </c>
      <c r="E18" s="117" t="s">
        <v>25</v>
      </c>
      <c r="F18" s="117" t="s">
        <v>25</v>
      </c>
      <c r="G18" s="117" t="s">
        <v>37</v>
      </c>
      <c r="H18" s="117" t="s">
        <v>68</v>
      </c>
      <c r="I18" s="117" t="s">
        <v>25</v>
      </c>
      <c r="J18" s="117">
        <v>126.25</v>
      </c>
      <c r="K18" s="117">
        <v>250.04</v>
      </c>
      <c r="L18" s="117">
        <v>0</v>
      </c>
      <c r="M18" s="117">
        <v>0.27076415621780198</v>
      </c>
      <c r="N18" s="117">
        <v>9.1183856476506203E-2</v>
      </c>
      <c r="O18" s="117">
        <v>0</v>
      </c>
      <c r="P18" s="117">
        <v>0</v>
      </c>
      <c r="Q18" s="117">
        <v>89.596343628389604</v>
      </c>
      <c r="R18" s="117">
        <v>17.1826184554027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16.247757646380698</v>
      </c>
      <c r="AD18" s="117">
        <v>0</v>
      </c>
      <c r="AE18" s="117">
        <v>1.79994735509502</v>
      </c>
      <c r="AF18" s="117">
        <v>0</v>
      </c>
      <c r="AG18" s="117">
        <v>0.80655041817786599</v>
      </c>
      <c r="AH18" s="117">
        <v>0.254834483859815</v>
      </c>
      <c r="AI18" s="117">
        <v>-9.9289898266553094E-3</v>
      </c>
      <c r="AJ18" s="117">
        <v>0</v>
      </c>
      <c r="AK18" s="117">
        <v>2.8377408919053999</v>
      </c>
      <c r="AL18" s="117">
        <v>0</v>
      </c>
      <c r="AM18" s="117">
        <v>0</v>
      </c>
      <c r="AN18" s="117">
        <v>271.41702909028902</v>
      </c>
      <c r="AO18" s="117">
        <v>0</v>
      </c>
      <c r="AP18" s="117">
        <v>0</v>
      </c>
      <c r="AQ18" s="117">
        <v>0</v>
      </c>
      <c r="AR18" s="117">
        <v>0</v>
      </c>
      <c r="AS18" s="117">
        <v>-24.204840992368201</v>
      </c>
      <c r="AT18" s="118">
        <v>0</v>
      </c>
    </row>
    <row r="19" spans="2:46" ht="12" customHeight="1" x14ac:dyDescent="0.25">
      <c r="B19" s="116" t="s">
        <v>79</v>
      </c>
      <c r="C19" s="117" t="s">
        <v>78</v>
      </c>
      <c r="D19" s="117" t="s">
        <v>25</v>
      </c>
      <c r="E19" s="117" t="s">
        <v>25</v>
      </c>
      <c r="F19" s="117" t="s">
        <v>80</v>
      </c>
      <c r="G19" s="117" t="s">
        <v>25</v>
      </c>
      <c r="H19" s="117" t="s">
        <v>74</v>
      </c>
      <c r="I19" s="117" t="s">
        <v>25</v>
      </c>
      <c r="J19" s="117">
        <v>14.79</v>
      </c>
      <c r="K19" s="117">
        <v>0</v>
      </c>
      <c r="L19" s="117">
        <v>0</v>
      </c>
      <c r="M19" s="117">
        <v>5.2317387752167599E-2</v>
      </c>
      <c r="N19" s="117">
        <v>0.167742672380152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14.566466922359499</v>
      </c>
      <c r="AB19" s="117"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0</v>
      </c>
      <c r="AL19" s="117">
        <v>0</v>
      </c>
      <c r="AM19" s="117">
        <v>0</v>
      </c>
      <c r="AN19" s="117">
        <v>0</v>
      </c>
      <c r="AO19" s="117">
        <v>0</v>
      </c>
      <c r="AP19" s="117">
        <v>0</v>
      </c>
      <c r="AQ19" s="117">
        <v>0</v>
      </c>
      <c r="AR19" s="117">
        <v>0</v>
      </c>
      <c r="AS19" s="117">
        <v>0</v>
      </c>
      <c r="AT19" s="118">
        <v>0</v>
      </c>
    </row>
    <row r="20" spans="2:46" ht="12" customHeight="1" x14ac:dyDescent="0.25">
      <c r="B20" s="116" t="s">
        <v>79</v>
      </c>
      <c r="C20" s="117" t="s">
        <v>78</v>
      </c>
      <c r="D20" s="117" t="s">
        <v>25</v>
      </c>
      <c r="E20" s="117" t="s">
        <v>25</v>
      </c>
      <c r="F20" s="117" t="s">
        <v>81</v>
      </c>
      <c r="G20" s="117" t="s">
        <v>25</v>
      </c>
      <c r="H20" s="117" t="s">
        <v>74</v>
      </c>
      <c r="I20" s="117" t="s">
        <v>25</v>
      </c>
      <c r="J20" s="117">
        <v>22.58</v>
      </c>
      <c r="K20" s="117">
        <v>0</v>
      </c>
      <c r="L20" s="117">
        <v>0</v>
      </c>
      <c r="M20" s="117">
        <v>5.2317387752167599E-2</v>
      </c>
      <c r="N20" s="117">
        <v>0.167742672380152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22.362853293199901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7">
        <v>0</v>
      </c>
      <c r="AS20" s="117">
        <v>0</v>
      </c>
      <c r="AT20" s="118">
        <v>0</v>
      </c>
    </row>
    <row r="21" spans="2:46" ht="12" customHeight="1" x14ac:dyDescent="0.25">
      <c r="B21" s="116" t="s">
        <v>22</v>
      </c>
      <c r="C21" s="117" t="s">
        <v>38</v>
      </c>
      <c r="D21" s="117" t="s">
        <v>24</v>
      </c>
      <c r="E21" s="117" t="s">
        <v>24</v>
      </c>
      <c r="F21" s="117" t="s">
        <v>25</v>
      </c>
      <c r="G21" s="117" t="s">
        <v>36</v>
      </c>
      <c r="H21" s="117" t="s">
        <v>68</v>
      </c>
      <c r="I21" s="117" t="s">
        <v>25</v>
      </c>
      <c r="J21" s="117">
        <v>571.59</v>
      </c>
      <c r="K21" s="117">
        <v>399.84</v>
      </c>
      <c r="L21" s="117">
        <v>0</v>
      </c>
      <c r="M21" s="117">
        <v>1.3156555728078301</v>
      </c>
      <c r="N21" s="117">
        <v>11.1541990286368</v>
      </c>
      <c r="O21" s="117">
        <v>0</v>
      </c>
      <c r="P21" s="117">
        <v>0</v>
      </c>
      <c r="Q21" s="117">
        <v>106.662313843321</v>
      </c>
      <c r="R21" s="117">
        <v>17.1826184554027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270.267224498779</v>
      </c>
      <c r="Y21" s="117">
        <v>0</v>
      </c>
      <c r="Z21" s="117">
        <v>0</v>
      </c>
      <c r="AA21" s="117">
        <v>688.36479129877898</v>
      </c>
      <c r="AB21" s="117">
        <v>0</v>
      </c>
      <c r="AC21" s="117">
        <v>-544.59856610151405</v>
      </c>
      <c r="AD21" s="117">
        <v>0</v>
      </c>
      <c r="AE21" s="117">
        <v>19.252605441263601</v>
      </c>
      <c r="AF21" s="117">
        <v>0</v>
      </c>
      <c r="AG21" s="117">
        <v>1.51156869050589</v>
      </c>
      <c r="AH21" s="117">
        <v>0.47758927201842799</v>
      </c>
      <c r="AI21" s="117">
        <v>-9.9289898266553094E-3</v>
      </c>
      <c r="AJ21" s="117">
        <v>0</v>
      </c>
      <c r="AK21" s="117">
        <v>2.8377408919053999</v>
      </c>
      <c r="AL21" s="117">
        <v>0</v>
      </c>
      <c r="AM21" s="117">
        <v>0</v>
      </c>
      <c r="AN21" s="117">
        <v>466.837290035298</v>
      </c>
      <c r="AO21" s="117">
        <v>0</v>
      </c>
      <c r="AP21" s="117">
        <v>0</v>
      </c>
      <c r="AQ21" s="117">
        <v>0</v>
      </c>
      <c r="AR21" s="117">
        <v>0</v>
      </c>
      <c r="AS21" s="117">
        <v>-69.825101937376701</v>
      </c>
      <c r="AT21" s="118">
        <v>0</v>
      </c>
    </row>
    <row r="22" spans="2:46" ht="12" customHeight="1" x14ac:dyDescent="0.25">
      <c r="B22" s="116" t="s">
        <v>22</v>
      </c>
      <c r="C22" s="117" t="s">
        <v>38</v>
      </c>
      <c r="D22" s="117" t="s">
        <v>24</v>
      </c>
      <c r="E22" s="117" t="s">
        <v>24</v>
      </c>
      <c r="F22" s="117" t="s">
        <v>25</v>
      </c>
      <c r="G22" s="117" t="s">
        <v>39</v>
      </c>
      <c r="H22" s="117" t="s">
        <v>68</v>
      </c>
      <c r="I22" s="117" t="s">
        <v>25</v>
      </c>
      <c r="J22" s="117">
        <v>405.71</v>
      </c>
      <c r="K22" s="117">
        <v>250.04</v>
      </c>
      <c r="L22" s="117">
        <v>0</v>
      </c>
      <c r="M22" s="117">
        <v>1.3156555728078301</v>
      </c>
      <c r="N22" s="117">
        <v>6.9079053980888796</v>
      </c>
      <c r="O22" s="117">
        <v>0</v>
      </c>
      <c r="P22" s="117">
        <v>0</v>
      </c>
      <c r="Q22" s="117">
        <v>106.662313843321</v>
      </c>
      <c r="R22" s="117">
        <v>17.1826184554027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162.160334699267</v>
      </c>
      <c r="Y22" s="117">
        <v>0</v>
      </c>
      <c r="Z22" s="117">
        <v>0</v>
      </c>
      <c r="AA22" s="117">
        <v>413.01880926341499</v>
      </c>
      <c r="AB22" s="117">
        <v>0</v>
      </c>
      <c r="AC22" s="117">
        <v>-322.779400636091</v>
      </c>
      <c r="AD22" s="117">
        <v>0</v>
      </c>
      <c r="AE22" s="117">
        <v>19.252605441263601</v>
      </c>
      <c r="AF22" s="117">
        <v>0</v>
      </c>
      <c r="AG22" s="117">
        <v>1.51156869050589</v>
      </c>
      <c r="AH22" s="117">
        <v>0.47758927201842799</v>
      </c>
      <c r="AI22" s="117">
        <v>-9.9289898266553094E-3</v>
      </c>
      <c r="AJ22" s="117">
        <v>0</v>
      </c>
      <c r="AK22" s="117">
        <v>2.8377408919053999</v>
      </c>
      <c r="AL22" s="117">
        <v>0</v>
      </c>
      <c r="AM22" s="117">
        <v>0</v>
      </c>
      <c r="AN22" s="117">
        <v>271.41702909028902</v>
      </c>
      <c r="AO22" s="117">
        <v>0</v>
      </c>
      <c r="AP22" s="117">
        <v>0</v>
      </c>
      <c r="AQ22" s="117">
        <v>0</v>
      </c>
      <c r="AR22" s="117">
        <v>0</v>
      </c>
      <c r="AS22" s="117">
        <v>-24.204840992368201</v>
      </c>
      <c r="AT22" s="118">
        <v>0</v>
      </c>
    </row>
    <row r="23" spans="2:46" ht="12" customHeight="1" x14ac:dyDescent="0.25">
      <c r="B23" s="116" t="s">
        <v>22</v>
      </c>
      <c r="C23" s="117" t="s">
        <v>38</v>
      </c>
      <c r="D23" s="117" t="s">
        <v>24</v>
      </c>
      <c r="E23" s="117" t="s">
        <v>24</v>
      </c>
      <c r="F23" s="117" t="s">
        <v>25</v>
      </c>
      <c r="G23" s="117" t="s">
        <v>37</v>
      </c>
      <c r="H23" s="117" t="s">
        <v>68</v>
      </c>
      <c r="I23" s="117" t="s">
        <v>25</v>
      </c>
      <c r="J23" s="117">
        <v>239.83</v>
      </c>
      <c r="K23" s="117">
        <v>250.04</v>
      </c>
      <c r="L23" s="117">
        <v>0</v>
      </c>
      <c r="M23" s="117">
        <v>1.3156555728078301</v>
      </c>
      <c r="N23" s="117">
        <v>2.66161302028683</v>
      </c>
      <c r="O23" s="117">
        <v>0</v>
      </c>
      <c r="P23" s="117">
        <v>0</v>
      </c>
      <c r="Q23" s="117">
        <v>106.662313843321</v>
      </c>
      <c r="R23" s="117">
        <v>17.1826184554027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54.053444899755803</v>
      </c>
      <c r="Y23" s="117">
        <v>0</v>
      </c>
      <c r="Z23" s="117">
        <v>0</v>
      </c>
      <c r="AA23" s="117">
        <v>137.67293642113799</v>
      </c>
      <c r="AB23" s="117">
        <v>0</v>
      </c>
      <c r="AC23" s="117">
        <v>-100.96034561650001</v>
      </c>
      <c r="AD23" s="117">
        <v>0</v>
      </c>
      <c r="AE23" s="117">
        <v>19.252605441263601</v>
      </c>
      <c r="AF23" s="117">
        <v>0</v>
      </c>
      <c r="AG23" s="117">
        <v>1.51156869050589</v>
      </c>
      <c r="AH23" s="117">
        <v>0.47758927201842799</v>
      </c>
      <c r="AI23" s="117">
        <v>-9.9289898266553094E-3</v>
      </c>
      <c r="AJ23" s="117">
        <v>0</v>
      </c>
      <c r="AK23" s="117">
        <v>2.8377408919053999</v>
      </c>
      <c r="AL23" s="117">
        <v>0</v>
      </c>
      <c r="AM23" s="117">
        <v>0</v>
      </c>
      <c r="AN23" s="117">
        <v>271.41702909028902</v>
      </c>
      <c r="AO23" s="117">
        <v>0</v>
      </c>
      <c r="AP23" s="117">
        <v>0</v>
      </c>
      <c r="AQ23" s="117">
        <v>0</v>
      </c>
      <c r="AR23" s="117">
        <v>0</v>
      </c>
      <c r="AS23" s="117">
        <v>-24.204840992368201</v>
      </c>
      <c r="AT23" s="118">
        <v>0</v>
      </c>
    </row>
    <row r="24" spans="2:46" ht="12" customHeight="1" x14ac:dyDescent="0.25">
      <c r="B24" s="116" t="s">
        <v>22</v>
      </c>
      <c r="C24" s="117" t="s">
        <v>23</v>
      </c>
      <c r="D24" s="117" t="s">
        <v>24</v>
      </c>
      <c r="E24" s="117" t="s">
        <v>1185</v>
      </c>
      <c r="F24" s="117" t="s">
        <v>25</v>
      </c>
      <c r="G24" s="117" t="s">
        <v>25</v>
      </c>
      <c r="H24" s="117" t="s">
        <v>68</v>
      </c>
      <c r="I24" s="117" t="s">
        <v>25</v>
      </c>
      <c r="J24" s="117">
        <v>187.78</v>
      </c>
      <c r="K24" s="117">
        <v>262.52999999999997</v>
      </c>
      <c r="L24" s="117">
        <v>0</v>
      </c>
      <c r="M24" s="117">
        <v>1.3156555728078301</v>
      </c>
      <c r="N24" s="117">
        <v>4.3172720318009903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96.524035439890397</v>
      </c>
      <c r="Y24" s="117">
        <v>0</v>
      </c>
      <c r="Z24" s="117">
        <v>0</v>
      </c>
      <c r="AA24" s="117">
        <v>245.844521523955</v>
      </c>
      <c r="AB24" s="117">
        <v>0</v>
      </c>
      <c r="AC24" s="117">
        <v>-181.46324797224199</v>
      </c>
      <c r="AD24" s="117">
        <v>0</v>
      </c>
      <c r="AE24" s="117">
        <v>19.252605441263601</v>
      </c>
      <c r="AF24" s="117">
        <v>0</v>
      </c>
      <c r="AG24" s="117">
        <v>1.51156869050589</v>
      </c>
      <c r="AH24" s="117">
        <v>0.47758927201842799</v>
      </c>
      <c r="AI24" s="117">
        <v>-9.9289898266553094E-3</v>
      </c>
      <c r="AJ24" s="117">
        <v>0</v>
      </c>
      <c r="AK24" s="117">
        <v>2.8377408919053999</v>
      </c>
      <c r="AL24" s="117">
        <v>0</v>
      </c>
      <c r="AM24" s="117">
        <v>0</v>
      </c>
      <c r="AN24" s="117">
        <v>287.70205083570698</v>
      </c>
      <c r="AO24" s="117">
        <v>0</v>
      </c>
      <c r="AP24" s="117">
        <v>0</v>
      </c>
      <c r="AQ24" s="117">
        <v>0</v>
      </c>
      <c r="AR24" s="117">
        <v>0</v>
      </c>
      <c r="AS24" s="117">
        <v>-27.999862737785602</v>
      </c>
      <c r="AT24" s="118">
        <v>0</v>
      </c>
    </row>
    <row r="25" spans="2:46" ht="12" customHeight="1" x14ac:dyDescent="0.25">
      <c r="B25" s="116" t="s">
        <v>22</v>
      </c>
      <c r="C25" s="117" t="s">
        <v>23</v>
      </c>
      <c r="D25" s="117" t="s">
        <v>24</v>
      </c>
      <c r="E25" s="117" t="s">
        <v>24</v>
      </c>
      <c r="F25" s="117" t="s">
        <v>25</v>
      </c>
      <c r="G25" s="117" t="s">
        <v>25</v>
      </c>
      <c r="H25" s="117" t="s">
        <v>68</v>
      </c>
      <c r="I25" s="117" t="s">
        <v>25</v>
      </c>
      <c r="J25" s="117">
        <v>310.49</v>
      </c>
      <c r="K25" s="117">
        <v>262.52999999999997</v>
      </c>
      <c r="L25" s="117">
        <v>0</v>
      </c>
      <c r="M25" s="117">
        <v>1.3156555728078301</v>
      </c>
      <c r="N25" s="117">
        <v>4.3297994905298998</v>
      </c>
      <c r="O25" s="117">
        <v>0</v>
      </c>
      <c r="P25" s="117">
        <v>0</v>
      </c>
      <c r="Q25" s="117">
        <v>106.662313843321</v>
      </c>
      <c r="R25" s="117">
        <v>17.1826184554027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96.524035439890397</v>
      </c>
      <c r="Y25" s="117">
        <v>0</v>
      </c>
      <c r="Z25" s="117">
        <v>0</v>
      </c>
      <c r="AA25" s="117">
        <v>245.844521523955</v>
      </c>
      <c r="AB25" s="117">
        <v>0</v>
      </c>
      <c r="AC25" s="117">
        <v>-182.61070772969501</v>
      </c>
      <c r="AD25" s="117">
        <v>0</v>
      </c>
      <c r="AE25" s="117">
        <v>19.252605441263601</v>
      </c>
      <c r="AF25" s="117">
        <v>0</v>
      </c>
      <c r="AG25" s="117">
        <v>1.51156869050589</v>
      </c>
      <c r="AH25" s="117">
        <v>0.47758927201842799</v>
      </c>
      <c r="AI25" s="117">
        <v>-9.9289898266553094E-3</v>
      </c>
      <c r="AJ25" s="117">
        <v>0</v>
      </c>
      <c r="AK25" s="117">
        <v>2.8377408919053999</v>
      </c>
      <c r="AL25" s="117">
        <v>0</v>
      </c>
      <c r="AM25" s="117">
        <v>0</v>
      </c>
      <c r="AN25" s="117">
        <v>287.70205083570698</v>
      </c>
      <c r="AO25" s="117">
        <v>0</v>
      </c>
      <c r="AP25" s="117">
        <v>0</v>
      </c>
      <c r="AQ25" s="117">
        <v>0</v>
      </c>
      <c r="AR25" s="117">
        <v>0</v>
      </c>
      <c r="AS25" s="117">
        <v>-27.999862737785602</v>
      </c>
      <c r="AT25" s="118">
        <v>0</v>
      </c>
    </row>
    <row r="26" spans="2:46" ht="12" customHeight="1" x14ac:dyDescent="0.25">
      <c r="B26" s="116" t="s">
        <v>22</v>
      </c>
      <c r="C26" s="117" t="s">
        <v>84</v>
      </c>
      <c r="D26" s="117" t="s">
        <v>24</v>
      </c>
      <c r="E26" s="117" t="s">
        <v>1185</v>
      </c>
      <c r="F26" s="117" t="s">
        <v>25</v>
      </c>
      <c r="G26" s="117" t="s">
        <v>25</v>
      </c>
      <c r="H26" s="117" t="s">
        <v>68</v>
      </c>
      <c r="I26" s="117" t="s">
        <v>25</v>
      </c>
      <c r="J26" s="117">
        <v>187.78</v>
      </c>
      <c r="K26" s="117">
        <v>262.52999999999997</v>
      </c>
      <c r="L26" s="117">
        <v>0</v>
      </c>
      <c r="M26" s="117">
        <v>1.3156555728078301</v>
      </c>
      <c r="N26" s="117">
        <v>4.3172720318009903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96.524035439890397</v>
      </c>
      <c r="Y26" s="117">
        <v>0</v>
      </c>
      <c r="Z26" s="117">
        <v>0</v>
      </c>
      <c r="AA26" s="117">
        <v>245.844521523955</v>
      </c>
      <c r="AB26" s="117">
        <v>0</v>
      </c>
      <c r="AC26" s="117">
        <v>-181.46324797224199</v>
      </c>
      <c r="AD26" s="117">
        <v>0</v>
      </c>
      <c r="AE26" s="117">
        <v>19.252605441263601</v>
      </c>
      <c r="AF26" s="117">
        <v>0</v>
      </c>
      <c r="AG26" s="117">
        <v>1.51156869050589</v>
      </c>
      <c r="AH26" s="117">
        <v>0.47758927201842799</v>
      </c>
      <c r="AI26" s="117">
        <v>-9.9289898266553094E-3</v>
      </c>
      <c r="AJ26" s="117">
        <v>0</v>
      </c>
      <c r="AK26" s="117">
        <v>2.8377408919053999</v>
      </c>
      <c r="AL26" s="117">
        <v>0</v>
      </c>
      <c r="AM26" s="117">
        <v>0</v>
      </c>
      <c r="AN26" s="117">
        <v>287.70205083570698</v>
      </c>
      <c r="AO26" s="117">
        <v>0</v>
      </c>
      <c r="AP26" s="117">
        <v>0</v>
      </c>
      <c r="AQ26" s="117">
        <v>0</v>
      </c>
      <c r="AR26" s="117">
        <v>0</v>
      </c>
      <c r="AS26" s="117">
        <v>-27.999862737785602</v>
      </c>
      <c r="AT26" s="118">
        <v>0</v>
      </c>
    </row>
    <row r="27" spans="2:46" ht="12" customHeight="1" x14ac:dyDescent="0.25">
      <c r="B27" s="116" t="s">
        <v>22</v>
      </c>
      <c r="C27" s="117" t="s">
        <v>84</v>
      </c>
      <c r="D27" s="117" t="s">
        <v>24</v>
      </c>
      <c r="E27" s="117" t="s">
        <v>24</v>
      </c>
      <c r="F27" s="117" t="s">
        <v>25</v>
      </c>
      <c r="G27" s="117" t="s">
        <v>25</v>
      </c>
      <c r="H27" s="117" t="s">
        <v>68</v>
      </c>
      <c r="I27" s="117" t="s">
        <v>25</v>
      </c>
      <c r="J27" s="117">
        <v>310.49</v>
      </c>
      <c r="K27" s="117">
        <v>262.52999999999997</v>
      </c>
      <c r="L27" s="117">
        <v>0</v>
      </c>
      <c r="M27" s="117">
        <v>1.3156555728078301</v>
      </c>
      <c r="N27" s="117">
        <v>4.3297994905298998</v>
      </c>
      <c r="O27" s="117">
        <v>0</v>
      </c>
      <c r="P27" s="117">
        <v>0</v>
      </c>
      <c r="Q27" s="117">
        <v>106.662313843321</v>
      </c>
      <c r="R27" s="117">
        <v>17.1826184554027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96.524035439890397</v>
      </c>
      <c r="Y27" s="117">
        <v>0</v>
      </c>
      <c r="Z27" s="117">
        <v>0</v>
      </c>
      <c r="AA27" s="117">
        <v>245.844521523955</v>
      </c>
      <c r="AB27" s="117">
        <v>0</v>
      </c>
      <c r="AC27" s="117">
        <v>-182.61070772969501</v>
      </c>
      <c r="AD27" s="117">
        <v>0</v>
      </c>
      <c r="AE27" s="117">
        <v>19.252605441263601</v>
      </c>
      <c r="AF27" s="117">
        <v>0</v>
      </c>
      <c r="AG27" s="117">
        <v>1.51156869050589</v>
      </c>
      <c r="AH27" s="117">
        <v>0.47758927201842799</v>
      </c>
      <c r="AI27" s="117">
        <v>-9.9289898266553094E-3</v>
      </c>
      <c r="AJ27" s="117">
        <v>0</v>
      </c>
      <c r="AK27" s="117">
        <v>2.8377408919053999</v>
      </c>
      <c r="AL27" s="117">
        <v>0</v>
      </c>
      <c r="AM27" s="117">
        <v>0</v>
      </c>
      <c r="AN27" s="117">
        <v>287.70205083570698</v>
      </c>
      <c r="AO27" s="117">
        <v>0</v>
      </c>
      <c r="AP27" s="117">
        <v>0</v>
      </c>
      <c r="AQ27" s="117">
        <v>0</v>
      </c>
      <c r="AR27" s="117">
        <v>0</v>
      </c>
      <c r="AS27" s="117">
        <v>-27.999862737785602</v>
      </c>
      <c r="AT27" s="118">
        <v>0</v>
      </c>
    </row>
    <row r="28" spans="2:46" ht="12" customHeight="1" x14ac:dyDescent="0.25">
      <c r="B28" s="116" t="s">
        <v>41</v>
      </c>
      <c r="C28" s="117" t="s">
        <v>38</v>
      </c>
      <c r="D28" s="117" t="s">
        <v>42</v>
      </c>
      <c r="E28" s="117" t="s">
        <v>85</v>
      </c>
      <c r="F28" s="117" t="s">
        <v>25</v>
      </c>
      <c r="G28" s="117" t="s">
        <v>36</v>
      </c>
      <c r="H28" s="117" t="s">
        <v>68</v>
      </c>
      <c r="I28" s="117" t="s">
        <v>25</v>
      </c>
      <c r="J28" s="117">
        <v>573.39</v>
      </c>
      <c r="K28" s="117">
        <v>375.85</v>
      </c>
      <c r="L28" s="117">
        <v>0</v>
      </c>
      <c r="M28" s="117">
        <v>1.23671623843936</v>
      </c>
      <c r="N28" s="117">
        <v>0.50615882150265401</v>
      </c>
      <c r="O28" s="117">
        <v>0</v>
      </c>
      <c r="P28" s="117">
        <v>0</v>
      </c>
      <c r="Q28" s="117">
        <v>100.262575012722</v>
      </c>
      <c r="R28" s="117">
        <v>16.151661348078601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0</v>
      </c>
      <c r="Y28" s="117">
        <v>0</v>
      </c>
      <c r="Z28" s="117">
        <v>0</v>
      </c>
      <c r="AA28" s="117">
        <v>0</v>
      </c>
      <c r="AB28" s="117">
        <v>0</v>
      </c>
      <c r="AC28" s="117">
        <v>435.26623097969701</v>
      </c>
      <c r="AD28" s="117">
        <v>0</v>
      </c>
      <c r="AE28" s="117">
        <v>18.0974491147878</v>
      </c>
      <c r="AF28" s="117">
        <v>0</v>
      </c>
      <c r="AG28" s="117">
        <v>1.42087456907554</v>
      </c>
      <c r="AH28" s="117">
        <v>0.44893391569732299</v>
      </c>
      <c r="AI28" s="117">
        <v>-9.3332504370559899E-3</v>
      </c>
      <c r="AJ28" s="117">
        <v>0</v>
      </c>
      <c r="AK28" s="117">
        <v>2.6674764383910698</v>
      </c>
      <c r="AL28" s="117">
        <v>0</v>
      </c>
      <c r="AM28" s="117">
        <v>0</v>
      </c>
      <c r="AN28" s="117">
        <v>438.82705263318002</v>
      </c>
      <c r="AO28" s="117">
        <v>0</v>
      </c>
      <c r="AP28" s="117">
        <v>0</v>
      </c>
      <c r="AQ28" s="117">
        <v>0</v>
      </c>
      <c r="AR28" s="117">
        <v>0</v>
      </c>
      <c r="AS28" s="117">
        <v>-65.635595821134103</v>
      </c>
      <c r="AT28" s="118">
        <v>0</v>
      </c>
    </row>
    <row r="29" spans="2:46" ht="12" customHeight="1" x14ac:dyDescent="0.25">
      <c r="B29" s="116" t="s">
        <v>41</v>
      </c>
      <c r="C29" s="117" t="s">
        <v>38</v>
      </c>
      <c r="D29" s="117" t="s">
        <v>42</v>
      </c>
      <c r="E29" s="117" t="s">
        <v>85</v>
      </c>
      <c r="F29" s="117" t="s">
        <v>25</v>
      </c>
      <c r="G29" s="117" t="s">
        <v>39</v>
      </c>
      <c r="H29" s="117" t="s">
        <v>68</v>
      </c>
      <c r="I29" s="117" t="s">
        <v>25</v>
      </c>
      <c r="J29" s="117">
        <v>403.03</v>
      </c>
      <c r="K29" s="117">
        <v>235.04</v>
      </c>
      <c r="L29" s="117">
        <v>0</v>
      </c>
      <c r="M29" s="117">
        <v>1.23671623843936</v>
      </c>
      <c r="N29" s="117">
        <v>0.50615882150265401</v>
      </c>
      <c r="O29" s="117">
        <v>0</v>
      </c>
      <c r="P29" s="117">
        <v>0</v>
      </c>
      <c r="Q29" s="117">
        <v>100.262575012722</v>
      </c>
      <c r="R29" s="117">
        <v>16.151661348078601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0</v>
      </c>
      <c r="Y29" s="117">
        <v>0</v>
      </c>
      <c r="Z29" s="117">
        <v>0</v>
      </c>
      <c r="AA29" s="117">
        <v>0</v>
      </c>
      <c r="AB29" s="117">
        <v>0</v>
      </c>
      <c r="AC29" s="117">
        <v>264.91003097969701</v>
      </c>
      <c r="AD29" s="117">
        <v>0</v>
      </c>
      <c r="AE29" s="117">
        <v>18.0974491147878</v>
      </c>
      <c r="AF29" s="117">
        <v>0</v>
      </c>
      <c r="AG29" s="117">
        <v>1.42087456907554</v>
      </c>
      <c r="AH29" s="117">
        <v>0.44893391569732299</v>
      </c>
      <c r="AI29" s="117">
        <v>-9.3332504370559899E-3</v>
      </c>
      <c r="AJ29" s="117">
        <v>0</v>
      </c>
      <c r="AK29" s="117">
        <v>2.6674764383910698</v>
      </c>
      <c r="AL29" s="117">
        <v>0</v>
      </c>
      <c r="AM29" s="117">
        <v>0</v>
      </c>
      <c r="AN29" s="117">
        <v>255.13200734487199</v>
      </c>
      <c r="AO29" s="117">
        <v>0</v>
      </c>
      <c r="AP29" s="117">
        <v>0</v>
      </c>
      <c r="AQ29" s="117">
        <v>0</v>
      </c>
      <c r="AR29" s="117">
        <v>0</v>
      </c>
      <c r="AS29" s="117">
        <v>-22.752550532826099</v>
      </c>
      <c r="AT29" s="118">
        <v>0</v>
      </c>
    </row>
    <row r="30" spans="2:46" ht="12" customHeight="1" x14ac:dyDescent="0.25">
      <c r="B30" s="116" t="s">
        <v>41</v>
      </c>
      <c r="C30" s="117" t="s">
        <v>38</v>
      </c>
      <c r="D30" s="117" t="s">
        <v>42</v>
      </c>
      <c r="E30" s="117" t="s">
        <v>85</v>
      </c>
      <c r="F30" s="117" t="s">
        <v>25</v>
      </c>
      <c r="G30" s="117" t="s">
        <v>37</v>
      </c>
      <c r="H30" s="117" t="s">
        <v>68</v>
      </c>
      <c r="I30" s="117" t="s">
        <v>25</v>
      </c>
      <c r="J30" s="117">
        <v>232.66</v>
      </c>
      <c r="K30" s="117">
        <v>235.04</v>
      </c>
      <c r="L30" s="117">
        <v>0</v>
      </c>
      <c r="M30" s="117">
        <v>1.23671623843936</v>
      </c>
      <c r="N30" s="117">
        <v>0.50615882150265401</v>
      </c>
      <c r="O30" s="117">
        <v>0</v>
      </c>
      <c r="P30" s="117">
        <v>0</v>
      </c>
      <c r="Q30" s="117">
        <v>100.262575012722</v>
      </c>
      <c r="R30" s="117">
        <v>16.151661348078601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0</v>
      </c>
      <c r="Y30" s="117">
        <v>0</v>
      </c>
      <c r="Z30" s="117">
        <v>0</v>
      </c>
      <c r="AA30" s="117">
        <v>0</v>
      </c>
      <c r="AB30" s="117">
        <v>0</v>
      </c>
      <c r="AC30" s="117">
        <v>94.535030979697098</v>
      </c>
      <c r="AD30" s="117">
        <v>0</v>
      </c>
      <c r="AE30" s="117">
        <v>18.0974491147878</v>
      </c>
      <c r="AF30" s="117">
        <v>0</v>
      </c>
      <c r="AG30" s="117">
        <v>1.42087456907554</v>
      </c>
      <c r="AH30" s="117">
        <v>0.44893391569732299</v>
      </c>
      <c r="AI30" s="117">
        <v>-9.3332504370559899E-3</v>
      </c>
      <c r="AJ30" s="117">
        <v>0</v>
      </c>
      <c r="AK30" s="117">
        <v>2.6674764383910698</v>
      </c>
      <c r="AL30" s="117">
        <v>0</v>
      </c>
      <c r="AM30" s="117">
        <v>0</v>
      </c>
      <c r="AN30" s="117">
        <v>255.13200734487199</v>
      </c>
      <c r="AO30" s="117">
        <v>0</v>
      </c>
      <c r="AP30" s="117">
        <v>0</v>
      </c>
      <c r="AQ30" s="117">
        <v>0</v>
      </c>
      <c r="AR30" s="117">
        <v>0</v>
      </c>
      <c r="AS30" s="117">
        <v>-22.752550532826099</v>
      </c>
      <c r="AT30" s="118">
        <v>0</v>
      </c>
    </row>
    <row r="31" spans="2:46" ht="12" customHeight="1" x14ac:dyDescent="0.25">
      <c r="B31" s="116" t="s">
        <v>41</v>
      </c>
      <c r="C31" s="117" t="s">
        <v>38</v>
      </c>
      <c r="D31" s="117" t="s">
        <v>42</v>
      </c>
      <c r="E31" s="117" t="s">
        <v>25</v>
      </c>
      <c r="F31" s="117" t="s">
        <v>25</v>
      </c>
      <c r="G31" s="117" t="s">
        <v>36</v>
      </c>
      <c r="H31" s="117" t="s">
        <v>68</v>
      </c>
      <c r="I31" s="117" t="s">
        <v>25</v>
      </c>
      <c r="J31" s="117">
        <v>573.39</v>
      </c>
      <c r="K31" s="117">
        <v>375.85</v>
      </c>
      <c r="L31" s="117">
        <v>0</v>
      </c>
      <c r="M31" s="117">
        <v>1.23671623843936</v>
      </c>
      <c r="N31" s="117">
        <v>0.50615882150265401</v>
      </c>
      <c r="O31" s="117">
        <v>0</v>
      </c>
      <c r="P31" s="117">
        <v>0</v>
      </c>
      <c r="Q31" s="117">
        <v>100.262575012722</v>
      </c>
      <c r="R31" s="117">
        <v>16.151661348078601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0</v>
      </c>
      <c r="Y31" s="117">
        <v>0</v>
      </c>
      <c r="Z31" s="117">
        <v>0</v>
      </c>
      <c r="AA31" s="117">
        <v>0</v>
      </c>
      <c r="AB31" s="117">
        <v>0</v>
      </c>
      <c r="AC31" s="117">
        <v>435.26623097969701</v>
      </c>
      <c r="AD31" s="117">
        <v>0</v>
      </c>
      <c r="AE31" s="117">
        <v>18.0974491147878</v>
      </c>
      <c r="AF31" s="117">
        <v>0</v>
      </c>
      <c r="AG31" s="117">
        <v>1.42087456907554</v>
      </c>
      <c r="AH31" s="117">
        <v>0.44893391569732299</v>
      </c>
      <c r="AI31" s="117">
        <v>-9.3332504370559899E-3</v>
      </c>
      <c r="AJ31" s="117">
        <v>0</v>
      </c>
      <c r="AK31" s="117">
        <v>2.6674764383910698</v>
      </c>
      <c r="AL31" s="117">
        <v>0</v>
      </c>
      <c r="AM31" s="117">
        <v>0</v>
      </c>
      <c r="AN31" s="117">
        <v>438.82705263318002</v>
      </c>
      <c r="AO31" s="117">
        <v>0</v>
      </c>
      <c r="AP31" s="117">
        <v>0</v>
      </c>
      <c r="AQ31" s="117">
        <v>0</v>
      </c>
      <c r="AR31" s="117">
        <v>0</v>
      </c>
      <c r="AS31" s="117">
        <v>-65.635595821134103</v>
      </c>
      <c r="AT31" s="118">
        <v>0</v>
      </c>
    </row>
    <row r="32" spans="2:46" ht="12" customHeight="1" x14ac:dyDescent="0.25">
      <c r="B32" s="116" t="s">
        <v>41</v>
      </c>
      <c r="C32" s="117" t="s">
        <v>38</v>
      </c>
      <c r="D32" s="117" t="s">
        <v>42</v>
      </c>
      <c r="E32" s="117" t="s">
        <v>25</v>
      </c>
      <c r="F32" s="117" t="s">
        <v>25</v>
      </c>
      <c r="G32" s="117" t="s">
        <v>39</v>
      </c>
      <c r="H32" s="117" t="s">
        <v>68</v>
      </c>
      <c r="I32" s="117" t="s">
        <v>25</v>
      </c>
      <c r="J32" s="117">
        <v>403.03</v>
      </c>
      <c r="K32" s="117">
        <v>235.04</v>
      </c>
      <c r="L32" s="117">
        <v>0</v>
      </c>
      <c r="M32" s="117">
        <v>1.23671623843936</v>
      </c>
      <c r="N32" s="117">
        <v>0.50615882150265401</v>
      </c>
      <c r="O32" s="117">
        <v>0</v>
      </c>
      <c r="P32" s="117">
        <v>0</v>
      </c>
      <c r="Q32" s="117">
        <v>100.262575012722</v>
      </c>
      <c r="R32" s="117">
        <v>16.151661348078601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0</v>
      </c>
      <c r="Y32" s="117">
        <v>0</v>
      </c>
      <c r="Z32" s="117">
        <v>0</v>
      </c>
      <c r="AA32" s="117">
        <v>0</v>
      </c>
      <c r="AB32" s="117">
        <v>0</v>
      </c>
      <c r="AC32" s="117">
        <v>264.91003097969701</v>
      </c>
      <c r="AD32" s="117">
        <v>0</v>
      </c>
      <c r="AE32" s="117">
        <v>18.0974491147878</v>
      </c>
      <c r="AF32" s="117">
        <v>0</v>
      </c>
      <c r="AG32" s="117">
        <v>1.42087456907554</v>
      </c>
      <c r="AH32" s="117">
        <v>0.44893391569732299</v>
      </c>
      <c r="AI32" s="117">
        <v>-9.3332504370559899E-3</v>
      </c>
      <c r="AJ32" s="117">
        <v>0</v>
      </c>
      <c r="AK32" s="117">
        <v>2.6674764383910698</v>
      </c>
      <c r="AL32" s="117">
        <v>0</v>
      </c>
      <c r="AM32" s="117">
        <v>0</v>
      </c>
      <c r="AN32" s="117">
        <v>255.13200734487199</v>
      </c>
      <c r="AO32" s="117">
        <v>0</v>
      </c>
      <c r="AP32" s="117">
        <v>0</v>
      </c>
      <c r="AQ32" s="117">
        <v>0</v>
      </c>
      <c r="AR32" s="117">
        <v>0</v>
      </c>
      <c r="AS32" s="117">
        <v>-22.752550532826099</v>
      </c>
      <c r="AT32" s="118">
        <v>0</v>
      </c>
    </row>
    <row r="33" spans="2:46" ht="12" customHeight="1" x14ac:dyDescent="0.25">
      <c r="B33" s="116" t="s">
        <v>41</v>
      </c>
      <c r="C33" s="117" t="s">
        <v>38</v>
      </c>
      <c r="D33" s="117" t="s">
        <v>42</v>
      </c>
      <c r="E33" s="117" t="s">
        <v>25</v>
      </c>
      <c r="F33" s="117" t="s">
        <v>25</v>
      </c>
      <c r="G33" s="117" t="s">
        <v>37</v>
      </c>
      <c r="H33" s="117" t="s">
        <v>68</v>
      </c>
      <c r="I33" s="117" t="s">
        <v>25</v>
      </c>
      <c r="J33" s="117">
        <v>232.66</v>
      </c>
      <c r="K33" s="117">
        <v>235.04</v>
      </c>
      <c r="L33" s="117">
        <v>0</v>
      </c>
      <c r="M33" s="117">
        <v>1.23671623843936</v>
      </c>
      <c r="N33" s="117">
        <v>0.50615882150265401</v>
      </c>
      <c r="O33" s="117">
        <v>0</v>
      </c>
      <c r="P33" s="117">
        <v>0</v>
      </c>
      <c r="Q33" s="117">
        <v>100.262575012722</v>
      </c>
      <c r="R33" s="117">
        <v>16.151661348078601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0</v>
      </c>
      <c r="Y33" s="117">
        <v>0</v>
      </c>
      <c r="Z33" s="117">
        <v>0</v>
      </c>
      <c r="AA33" s="117">
        <v>0</v>
      </c>
      <c r="AB33" s="117">
        <v>0</v>
      </c>
      <c r="AC33" s="117">
        <v>94.535030979697098</v>
      </c>
      <c r="AD33" s="117">
        <v>0</v>
      </c>
      <c r="AE33" s="117">
        <v>18.0974491147878</v>
      </c>
      <c r="AF33" s="117">
        <v>0</v>
      </c>
      <c r="AG33" s="117">
        <v>1.42087456907554</v>
      </c>
      <c r="AH33" s="117">
        <v>0.44893391569732299</v>
      </c>
      <c r="AI33" s="117">
        <v>-9.3332504370559899E-3</v>
      </c>
      <c r="AJ33" s="117">
        <v>0</v>
      </c>
      <c r="AK33" s="117">
        <v>2.6674764383910698</v>
      </c>
      <c r="AL33" s="117">
        <v>0</v>
      </c>
      <c r="AM33" s="117">
        <v>0</v>
      </c>
      <c r="AN33" s="117">
        <v>255.13200734487199</v>
      </c>
      <c r="AO33" s="117">
        <v>0</v>
      </c>
      <c r="AP33" s="117">
        <v>0</v>
      </c>
      <c r="AQ33" s="117">
        <v>0</v>
      </c>
      <c r="AR33" s="117">
        <v>0</v>
      </c>
      <c r="AS33" s="117">
        <v>-22.752550532826099</v>
      </c>
      <c r="AT33" s="118">
        <v>0</v>
      </c>
    </row>
    <row r="34" spans="2:46" ht="12" customHeight="1" x14ac:dyDescent="0.25">
      <c r="B34" s="116" t="s">
        <v>41</v>
      </c>
      <c r="C34" s="117" t="s">
        <v>38</v>
      </c>
      <c r="D34" s="117" t="s">
        <v>42</v>
      </c>
      <c r="E34" s="117" t="s">
        <v>86</v>
      </c>
      <c r="F34" s="117" t="s">
        <v>25</v>
      </c>
      <c r="G34" s="117" t="s">
        <v>36</v>
      </c>
      <c r="H34" s="117" t="s">
        <v>68</v>
      </c>
      <c r="I34" s="117" t="s">
        <v>25</v>
      </c>
      <c r="J34" s="117">
        <v>561.19000000000005</v>
      </c>
      <c r="K34" s="117">
        <v>367.85</v>
      </c>
      <c r="L34" s="117">
        <v>0</v>
      </c>
      <c r="M34" s="117">
        <v>1.2104031269832001</v>
      </c>
      <c r="N34" s="117">
        <v>0.495389484874938</v>
      </c>
      <c r="O34" s="117">
        <v>0</v>
      </c>
      <c r="P34" s="117">
        <v>0</v>
      </c>
      <c r="Q34" s="117">
        <v>98.129328735855296</v>
      </c>
      <c r="R34" s="117">
        <v>15.8080089789705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0</v>
      </c>
      <c r="Y34" s="117">
        <v>0</v>
      </c>
      <c r="Z34" s="117">
        <v>0</v>
      </c>
      <c r="AA34" s="117">
        <v>0</v>
      </c>
      <c r="AB34" s="117">
        <v>0</v>
      </c>
      <c r="AC34" s="117">
        <v>426.00524734183102</v>
      </c>
      <c r="AD34" s="117">
        <v>0</v>
      </c>
      <c r="AE34" s="117">
        <v>17.712397005962501</v>
      </c>
      <c r="AF34" s="117">
        <v>0</v>
      </c>
      <c r="AG34" s="117">
        <v>1.3906431952654199</v>
      </c>
      <c r="AH34" s="117">
        <v>0.439382130256954</v>
      </c>
      <c r="AI34" s="117">
        <v>-9.1346706405228805E-3</v>
      </c>
      <c r="AJ34" s="117">
        <v>0</v>
      </c>
      <c r="AK34" s="117">
        <v>2.6107216205529702</v>
      </c>
      <c r="AL34" s="117">
        <v>0</v>
      </c>
      <c r="AM34" s="117">
        <v>0</v>
      </c>
      <c r="AN34" s="117">
        <v>429.490306832474</v>
      </c>
      <c r="AO34" s="117">
        <v>0</v>
      </c>
      <c r="AP34" s="117">
        <v>0</v>
      </c>
      <c r="AQ34" s="117">
        <v>0</v>
      </c>
      <c r="AR34" s="117">
        <v>0</v>
      </c>
      <c r="AS34" s="117">
        <v>-64.239093782386604</v>
      </c>
      <c r="AT34" s="118">
        <v>0</v>
      </c>
    </row>
    <row r="35" spans="2:46" ht="12" customHeight="1" x14ac:dyDescent="0.25">
      <c r="B35" s="116" t="s">
        <v>41</v>
      </c>
      <c r="C35" s="117" t="s">
        <v>38</v>
      </c>
      <c r="D35" s="117" t="s">
        <v>42</v>
      </c>
      <c r="E35" s="117" t="s">
        <v>86</v>
      </c>
      <c r="F35" s="117" t="s">
        <v>25</v>
      </c>
      <c r="G35" s="117" t="s">
        <v>39</v>
      </c>
      <c r="H35" s="117" t="s">
        <v>68</v>
      </c>
      <c r="I35" s="117" t="s">
        <v>25</v>
      </c>
      <c r="J35" s="117">
        <v>394.46</v>
      </c>
      <c r="K35" s="117">
        <v>230.04</v>
      </c>
      <c r="L35" s="117">
        <v>0</v>
      </c>
      <c r="M35" s="117">
        <v>1.2104031269832001</v>
      </c>
      <c r="N35" s="117">
        <v>0.495389484874938</v>
      </c>
      <c r="O35" s="117">
        <v>0</v>
      </c>
      <c r="P35" s="117">
        <v>0</v>
      </c>
      <c r="Q35" s="117">
        <v>98.129328735855296</v>
      </c>
      <c r="R35" s="117">
        <v>15.8080089789705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0</v>
      </c>
      <c r="Y35" s="117">
        <v>0</v>
      </c>
      <c r="Z35" s="117">
        <v>0</v>
      </c>
      <c r="AA35" s="117">
        <v>0</v>
      </c>
      <c r="AB35" s="117">
        <v>0</v>
      </c>
      <c r="AC35" s="117">
        <v>259.27364734183101</v>
      </c>
      <c r="AD35" s="117">
        <v>0</v>
      </c>
      <c r="AE35" s="117">
        <v>17.712397005962501</v>
      </c>
      <c r="AF35" s="117">
        <v>0</v>
      </c>
      <c r="AG35" s="117">
        <v>1.3906431952654199</v>
      </c>
      <c r="AH35" s="117">
        <v>0.439382130256954</v>
      </c>
      <c r="AI35" s="117">
        <v>-9.1346706405228805E-3</v>
      </c>
      <c r="AJ35" s="117">
        <v>0</v>
      </c>
      <c r="AK35" s="117">
        <v>2.6107216205529702</v>
      </c>
      <c r="AL35" s="117">
        <v>0</v>
      </c>
      <c r="AM35" s="117">
        <v>0</v>
      </c>
      <c r="AN35" s="117">
        <v>249.703666763066</v>
      </c>
      <c r="AO35" s="117">
        <v>0</v>
      </c>
      <c r="AP35" s="117">
        <v>0</v>
      </c>
      <c r="AQ35" s="117">
        <v>0</v>
      </c>
      <c r="AR35" s="117">
        <v>0</v>
      </c>
      <c r="AS35" s="117">
        <v>-22.2684537129788</v>
      </c>
      <c r="AT35" s="118">
        <v>0</v>
      </c>
    </row>
    <row r="36" spans="2:46" ht="12" customHeight="1" x14ac:dyDescent="0.25">
      <c r="B36" s="116" t="s">
        <v>41</v>
      </c>
      <c r="C36" s="117" t="s">
        <v>38</v>
      </c>
      <c r="D36" s="117" t="s">
        <v>42</v>
      </c>
      <c r="E36" s="117" t="s">
        <v>86</v>
      </c>
      <c r="F36" s="117" t="s">
        <v>25</v>
      </c>
      <c r="G36" s="117" t="s">
        <v>37</v>
      </c>
      <c r="H36" s="117" t="s">
        <v>68</v>
      </c>
      <c r="I36" s="117" t="s">
        <v>25</v>
      </c>
      <c r="J36" s="117">
        <v>227.71</v>
      </c>
      <c r="K36" s="117">
        <v>230.04</v>
      </c>
      <c r="L36" s="117">
        <v>0</v>
      </c>
      <c r="M36" s="117">
        <v>1.2104031269832001</v>
      </c>
      <c r="N36" s="117">
        <v>0.495389484874938</v>
      </c>
      <c r="O36" s="117">
        <v>0</v>
      </c>
      <c r="P36" s="117">
        <v>0</v>
      </c>
      <c r="Q36" s="117">
        <v>98.129328735855296</v>
      </c>
      <c r="R36" s="117">
        <v>15.8080089789705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0</v>
      </c>
      <c r="Y36" s="117">
        <v>0</v>
      </c>
      <c r="Z36" s="117">
        <v>0</v>
      </c>
      <c r="AA36" s="117">
        <v>0</v>
      </c>
      <c r="AB36" s="117">
        <v>0</v>
      </c>
      <c r="AC36" s="117">
        <v>92.523647341831307</v>
      </c>
      <c r="AD36" s="117">
        <v>0</v>
      </c>
      <c r="AE36" s="117">
        <v>17.712397005962501</v>
      </c>
      <c r="AF36" s="117">
        <v>0</v>
      </c>
      <c r="AG36" s="117">
        <v>1.3906431952654199</v>
      </c>
      <c r="AH36" s="117">
        <v>0.439382130256954</v>
      </c>
      <c r="AI36" s="117">
        <v>-9.1346706405228805E-3</v>
      </c>
      <c r="AJ36" s="117">
        <v>0</v>
      </c>
      <c r="AK36" s="117">
        <v>2.6107216205529702</v>
      </c>
      <c r="AL36" s="117">
        <v>0</v>
      </c>
      <c r="AM36" s="117">
        <v>0</v>
      </c>
      <c r="AN36" s="117">
        <v>249.703666763066</v>
      </c>
      <c r="AO36" s="117">
        <v>0</v>
      </c>
      <c r="AP36" s="117">
        <v>0</v>
      </c>
      <c r="AQ36" s="117">
        <v>0</v>
      </c>
      <c r="AR36" s="117">
        <v>0</v>
      </c>
      <c r="AS36" s="117">
        <v>-22.2684537129788</v>
      </c>
      <c r="AT36" s="118">
        <v>0</v>
      </c>
    </row>
    <row r="37" spans="2:46" ht="12" customHeight="1" x14ac:dyDescent="0.25">
      <c r="B37" s="116" t="s">
        <v>41</v>
      </c>
      <c r="C37" s="117" t="s">
        <v>23</v>
      </c>
      <c r="D37" s="117" t="s">
        <v>42</v>
      </c>
      <c r="E37" s="117" t="s">
        <v>85</v>
      </c>
      <c r="F37" s="117" t="s">
        <v>25</v>
      </c>
      <c r="G37" s="117" t="s">
        <v>25</v>
      </c>
      <c r="H37" s="117" t="s">
        <v>68</v>
      </c>
      <c r="I37" s="117" t="s">
        <v>25</v>
      </c>
      <c r="J37" s="117">
        <v>291.86</v>
      </c>
      <c r="K37" s="117">
        <v>246.78</v>
      </c>
      <c r="L37" s="117">
        <v>0</v>
      </c>
      <c r="M37" s="117">
        <v>1.23671623843936</v>
      </c>
      <c r="N37" s="117">
        <v>4.0700115210981096</v>
      </c>
      <c r="O37" s="117">
        <v>0</v>
      </c>
      <c r="P37" s="117">
        <v>0</v>
      </c>
      <c r="Q37" s="117">
        <v>100.262575012722</v>
      </c>
      <c r="R37" s="117">
        <v>16.151661348078601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90.732593313497006</v>
      </c>
      <c r="Y37" s="117">
        <v>0</v>
      </c>
      <c r="Z37" s="117">
        <v>0</v>
      </c>
      <c r="AA37" s="117">
        <v>231.09385023251801</v>
      </c>
      <c r="AB37" s="117">
        <v>0</v>
      </c>
      <c r="AC37" s="117">
        <v>-171.654065265913</v>
      </c>
      <c r="AD37" s="117">
        <v>0</v>
      </c>
      <c r="AE37" s="117">
        <v>18.0974491147878</v>
      </c>
      <c r="AF37" s="117">
        <v>0</v>
      </c>
      <c r="AG37" s="117">
        <v>1.42087456907554</v>
      </c>
      <c r="AH37" s="117">
        <v>0.44893391569732299</v>
      </c>
      <c r="AI37" s="117">
        <v>-9.3332504370559899E-3</v>
      </c>
      <c r="AJ37" s="117">
        <v>0</v>
      </c>
      <c r="AK37" s="117">
        <v>2.6674764383910698</v>
      </c>
      <c r="AL37" s="117">
        <v>0</v>
      </c>
      <c r="AM37" s="117">
        <v>0</v>
      </c>
      <c r="AN37" s="117">
        <v>270.43992778556401</v>
      </c>
      <c r="AO37" s="117">
        <v>0</v>
      </c>
      <c r="AP37" s="117">
        <v>0</v>
      </c>
      <c r="AQ37" s="117">
        <v>0</v>
      </c>
      <c r="AR37" s="117">
        <v>0</v>
      </c>
      <c r="AS37" s="117">
        <v>-26.319870973518501</v>
      </c>
      <c r="AT37" s="118">
        <v>0</v>
      </c>
    </row>
    <row r="38" spans="2:46" ht="12" customHeight="1" x14ac:dyDescent="0.25">
      <c r="B38" s="116" t="s">
        <v>41</v>
      </c>
      <c r="C38" s="117" t="s">
        <v>23</v>
      </c>
      <c r="D38" s="117" t="s">
        <v>42</v>
      </c>
      <c r="E38" s="117" t="s">
        <v>25</v>
      </c>
      <c r="F38" s="117" t="s">
        <v>25</v>
      </c>
      <c r="G38" s="117" t="s">
        <v>25</v>
      </c>
      <c r="H38" s="117" t="s">
        <v>68</v>
      </c>
      <c r="I38" s="117" t="s">
        <v>25</v>
      </c>
      <c r="J38" s="117">
        <v>291.86</v>
      </c>
      <c r="K38" s="117">
        <v>246.78</v>
      </c>
      <c r="L38" s="117">
        <v>0</v>
      </c>
      <c r="M38" s="117">
        <v>1.23671623843936</v>
      </c>
      <c r="N38" s="117">
        <v>4.0700115210981096</v>
      </c>
      <c r="O38" s="117">
        <v>0</v>
      </c>
      <c r="P38" s="117">
        <v>0</v>
      </c>
      <c r="Q38" s="117">
        <v>100.262575012722</v>
      </c>
      <c r="R38" s="117">
        <v>16.151661348078601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90.732593313497006</v>
      </c>
      <c r="Y38" s="117">
        <v>0</v>
      </c>
      <c r="Z38" s="117">
        <v>0</v>
      </c>
      <c r="AA38" s="117">
        <v>231.09385023251801</v>
      </c>
      <c r="AB38" s="117">
        <v>0</v>
      </c>
      <c r="AC38" s="117">
        <v>-171.654065265913</v>
      </c>
      <c r="AD38" s="117">
        <v>0</v>
      </c>
      <c r="AE38" s="117">
        <v>18.0974491147878</v>
      </c>
      <c r="AF38" s="117">
        <v>0</v>
      </c>
      <c r="AG38" s="117">
        <v>1.42087456907554</v>
      </c>
      <c r="AH38" s="117">
        <v>0.44893391569732299</v>
      </c>
      <c r="AI38" s="117">
        <v>-9.3332504370559899E-3</v>
      </c>
      <c r="AJ38" s="117">
        <v>0</v>
      </c>
      <c r="AK38" s="117">
        <v>2.6674764383910698</v>
      </c>
      <c r="AL38" s="117">
        <v>0</v>
      </c>
      <c r="AM38" s="117">
        <v>0</v>
      </c>
      <c r="AN38" s="117">
        <v>270.43992778556401</v>
      </c>
      <c r="AO38" s="117">
        <v>0</v>
      </c>
      <c r="AP38" s="117">
        <v>0</v>
      </c>
      <c r="AQ38" s="117">
        <v>0</v>
      </c>
      <c r="AR38" s="117">
        <v>0</v>
      </c>
      <c r="AS38" s="117">
        <v>-26.319870973518501</v>
      </c>
      <c r="AT38" s="118">
        <v>0</v>
      </c>
    </row>
    <row r="39" spans="2:46" ht="12" customHeight="1" x14ac:dyDescent="0.25">
      <c r="B39" s="116" t="s">
        <v>41</v>
      </c>
      <c r="C39" s="117" t="s">
        <v>23</v>
      </c>
      <c r="D39" s="117" t="s">
        <v>42</v>
      </c>
      <c r="E39" s="117" t="s">
        <v>86</v>
      </c>
      <c r="F39" s="117" t="s">
        <v>25</v>
      </c>
      <c r="G39" s="117" t="s">
        <v>25</v>
      </c>
      <c r="H39" s="117" t="s">
        <v>68</v>
      </c>
      <c r="I39" s="117" t="s">
        <v>25</v>
      </c>
      <c r="J39" s="117">
        <v>285.64999999999998</v>
      </c>
      <c r="K39" s="117">
        <v>241.53</v>
      </c>
      <c r="L39" s="117">
        <v>0</v>
      </c>
      <c r="M39" s="117">
        <v>1.2104031269832001</v>
      </c>
      <c r="N39" s="117">
        <v>3.9834155312875099</v>
      </c>
      <c r="O39" s="117">
        <v>0</v>
      </c>
      <c r="P39" s="117">
        <v>0</v>
      </c>
      <c r="Q39" s="117">
        <v>98.129328735855296</v>
      </c>
      <c r="R39" s="117">
        <v>15.8080089789705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88.802112604699204</v>
      </c>
      <c r="Y39" s="117">
        <v>0</v>
      </c>
      <c r="Z39" s="117">
        <v>0</v>
      </c>
      <c r="AA39" s="117">
        <v>226.17695980203899</v>
      </c>
      <c r="AB39" s="117">
        <v>0</v>
      </c>
      <c r="AC39" s="117">
        <v>-168.00185111131901</v>
      </c>
      <c r="AD39" s="117">
        <v>0</v>
      </c>
      <c r="AE39" s="117">
        <v>17.712397005962501</v>
      </c>
      <c r="AF39" s="117">
        <v>0</v>
      </c>
      <c r="AG39" s="117">
        <v>1.3906431952654199</v>
      </c>
      <c r="AH39" s="117">
        <v>0.439382130256954</v>
      </c>
      <c r="AI39" s="117">
        <v>-9.1346706405228805E-3</v>
      </c>
      <c r="AJ39" s="117">
        <v>0</v>
      </c>
      <c r="AK39" s="117">
        <v>2.6107216205529702</v>
      </c>
      <c r="AL39" s="117">
        <v>0</v>
      </c>
      <c r="AM39" s="117">
        <v>0</v>
      </c>
      <c r="AN39" s="117">
        <v>264.68588676885003</v>
      </c>
      <c r="AO39" s="117">
        <v>0</v>
      </c>
      <c r="AP39" s="117">
        <v>0</v>
      </c>
      <c r="AQ39" s="117">
        <v>0</v>
      </c>
      <c r="AR39" s="117">
        <v>0</v>
      </c>
      <c r="AS39" s="117">
        <v>-25.759873718762801</v>
      </c>
      <c r="AT39" s="118">
        <v>0</v>
      </c>
    </row>
    <row r="40" spans="2:46" ht="12" customHeight="1" x14ac:dyDescent="0.25">
      <c r="B40" s="116" t="s">
        <v>41</v>
      </c>
      <c r="C40" s="117" t="s">
        <v>84</v>
      </c>
      <c r="D40" s="117" t="s">
        <v>42</v>
      </c>
      <c r="E40" s="117" t="s">
        <v>85</v>
      </c>
      <c r="F40" s="117" t="s">
        <v>25</v>
      </c>
      <c r="G40" s="117" t="s">
        <v>25</v>
      </c>
      <c r="H40" s="117" t="s">
        <v>68</v>
      </c>
      <c r="I40" s="117" t="s">
        <v>25</v>
      </c>
      <c r="J40" s="117">
        <v>291.86</v>
      </c>
      <c r="K40" s="117">
        <v>246.78</v>
      </c>
      <c r="L40" s="117">
        <v>0</v>
      </c>
      <c r="M40" s="117">
        <v>1.23671623843936</v>
      </c>
      <c r="N40" s="117">
        <v>4.0700115210981096</v>
      </c>
      <c r="O40" s="117">
        <v>0</v>
      </c>
      <c r="P40" s="117">
        <v>0</v>
      </c>
      <c r="Q40" s="117">
        <v>100.262575012722</v>
      </c>
      <c r="R40" s="117">
        <v>16.151661348078601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90.732593313497006</v>
      </c>
      <c r="Y40" s="117">
        <v>0</v>
      </c>
      <c r="Z40" s="117">
        <v>0</v>
      </c>
      <c r="AA40" s="117">
        <v>231.09385023251801</v>
      </c>
      <c r="AB40" s="117">
        <v>0</v>
      </c>
      <c r="AC40" s="117">
        <v>-171.654065265913</v>
      </c>
      <c r="AD40" s="117">
        <v>0</v>
      </c>
      <c r="AE40" s="117">
        <v>18.0974491147878</v>
      </c>
      <c r="AF40" s="117">
        <v>0</v>
      </c>
      <c r="AG40" s="117">
        <v>1.42087456907554</v>
      </c>
      <c r="AH40" s="117">
        <v>0.44893391569732299</v>
      </c>
      <c r="AI40" s="117">
        <v>-9.3332504370559899E-3</v>
      </c>
      <c r="AJ40" s="117">
        <v>0</v>
      </c>
      <c r="AK40" s="117">
        <v>2.6674764383910698</v>
      </c>
      <c r="AL40" s="117">
        <v>0</v>
      </c>
      <c r="AM40" s="117">
        <v>0</v>
      </c>
      <c r="AN40" s="117">
        <v>270.43992778556401</v>
      </c>
      <c r="AO40" s="117">
        <v>0</v>
      </c>
      <c r="AP40" s="117">
        <v>0</v>
      </c>
      <c r="AQ40" s="117">
        <v>0</v>
      </c>
      <c r="AR40" s="117">
        <v>0</v>
      </c>
      <c r="AS40" s="117">
        <v>-26.319870973518501</v>
      </c>
      <c r="AT40" s="118">
        <v>0</v>
      </c>
    </row>
    <row r="41" spans="2:46" ht="12" customHeight="1" x14ac:dyDescent="0.25">
      <c r="B41" s="116" t="s">
        <v>41</v>
      </c>
      <c r="C41" s="117" t="s">
        <v>84</v>
      </c>
      <c r="D41" s="117" t="s">
        <v>42</v>
      </c>
      <c r="E41" s="117" t="s">
        <v>25</v>
      </c>
      <c r="F41" s="117" t="s">
        <v>25</v>
      </c>
      <c r="G41" s="117" t="s">
        <v>25</v>
      </c>
      <c r="H41" s="117" t="s">
        <v>68</v>
      </c>
      <c r="I41" s="117" t="s">
        <v>25</v>
      </c>
      <c r="J41" s="117">
        <v>291.86</v>
      </c>
      <c r="K41" s="117">
        <v>246.78</v>
      </c>
      <c r="L41" s="117">
        <v>0</v>
      </c>
      <c r="M41" s="117">
        <v>1.23671623843936</v>
      </c>
      <c r="N41" s="117">
        <v>4.0700115210981096</v>
      </c>
      <c r="O41" s="117">
        <v>0</v>
      </c>
      <c r="P41" s="117">
        <v>0</v>
      </c>
      <c r="Q41" s="117">
        <v>100.262575012722</v>
      </c>
      <c r="R41" s="117">
        <v>16.151661348078601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90.732593313497006</v>
      </c>
      <c r="Y41" s="117">
        <v>0</v>
      </c>
      <c r="Z41" s="117">
        <v>0</v>
      </c>
      <c r="AA41" s="117">
        <v>231.09385023251801</v>
      </c>
      <c r="AB41" s="117">
        <v>0</v>
      </c>
      <c r="AC41" s="117">
        <v>-171.654065265913</v>
      </c>
      <c r="AD41" s="117">
        <v>0</v>
      </c>
      <c r="AE41" s="117">
        <v>18.0974491147878</v>
      </c>
      <c r="AF41" s="117">
        <v>0</v>
      </c>
      <c r="AG41" s="117">
        <v>1.42087456907554</v>
      </c>
      <c r="AH41" s="117">
        <v>0.44893391569732299</v>
      </c>
      <c r="AI41" s="117">
        <v>-9.3332504370559899E-3</v>
      </c>
      <c r="AJ41" s="117">
        <v>0</v>
      </c>
      <c r="AK41" s="117">
        <v>2.6674764383910698</v>
      </c>
      <c r="AL41" s="117">
        <v>0</v>
      </c>
      <c r="AM41" s="117">
        <v>0</v>
      </c>
      <c r="AN41" s="117">
        <v>270.43992778556401</v>
      </c>
      <c r="AO41" s="117">
        <v>0</v>
      </c>
      <c r="AP41" s="117">
        <v>0</v>
      </c>
      <c r="AQ41" s="117">
        <v>0</v>
      </c>
      <c r="AR41" s="117">
        <v>0</v>
      </c>
      <c r="AS41" s="117">
        <v>-26.319870973518501</v>
      </c>
      <c r="AT41" s="118">
        <v>0</v>
      </c>
    </row>
    <row r="42" spans="2:46" ht="12" customHeight="1" x14ac:dyDescent="0.25">
      <c r="B42" s="116" t="s">
        <v>41</v>
      </c>
      <c r="C42" s="117" t="s">
        <v>84</v>
      </c>
      <c r="D42" s="117" t="s">
        <v>42</v>
      </c>
      <c r="E42" s="117" t="s">
        <v>86</v>
      </c>
      <c r="F42" s="117" t="s">
        <v>25</v>
      </c>
      <c r="G42" s="117" t="s">
        <v>25</v>
      </c>
      <c r="H42" s="117" t="s">
        <v>68</v>
      </c>
      <c r="I42" s="117" t="s">
        <v>25</v>
      </c>
      <c r="J42" s="117">
        <v>285.64999999999998</v>
      </c>
      <c r="K42" s="117">
        <v>241.53</v>
      </c>
      <c r="L42" s="117">
        <v>0</v>
      </c>
      <c r="M42" s="117">
        <v>1.2104031269832001</v>
      </c>
      <c r="N42" s="117">
        <v>3.9834155312875099</v>
      </c>
      <c r="O42" s="117">
        <v>0</v>
      </c>
      <c r="P42" s="117">
        <v>0</v>
      </c>
      <c r="Q42" s="117">
        <v>98.129328735855296</v>
      </c>
      <c r="R42" s="117">
        <v>15.8080089789705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88.802112604699204</v>
      </c>
      <c r="Y42" s="117">
        <v>0</v>
      </c>
      <c r="Z42" s="117">
        <v>0</v>
      </c>
      <c r="AA42" s="117">
        <v>226.17695980203899</v>
      </c>
      <c r="AB42" s="117">
        <v>0</v>
      </c>
      <c r="AC42" s="117">
        <v>-168.00185111131901</v>
      </c>
      <c r="AD42" s="117">
        <v>0</v>
      </c>
      <c r="AE42" s="117">
        <v>17.712397005962501</v>
      </c>
      <c r="AF42" s="117">
        <v>0</v>
      </c>
      <c r="AG42" s="117">
        <v>1.3906431952654199</v>
      </c>
      <c r="AH42" s="117">
        <v>0.439382130256954</v>
      </c>
      <c r="AI42" s="117">
        <v>-9.1346706405228805E-3</v>
      </c>
      <c r="AJ42" s="117">
        <v>0</v>
      </c>
      <c r="AK42" s="117">
        <v>2.6107216205529702</v>
      </c>
      <c r="AL42" s="117">
        <v>0</v>
      </c>
      <c r="AM42" s="117">
        <v>0</v>
      </c>
      <c r="AN42" s="117">
        <v>264.68588676885003</v>
      </c>
      <c r="AO42" s="117">
        <v>0</v>
      </c>
      <c r="AP42" s="117">
        <v>0</v>
      </c>
      <c r="AQ42" s="117">
        <v>0</v>
      </c>
      <c r="AR42" s="117">
        <v>0</v>
      </c>
      <c r="AS42" s="117">
        <v>-25.759873718762801</v>
      </c>
      <c r="AT42" s="118">
        <v>0</v>
      </c>
    </row>
    <row r="43" spans="2:46" ht="12" customHeight="1" x14ac:dyDescent="0.25">
      <c r="B43" s="116" t="s">
        <v>32</v>
      </c>
      <c r="C43" s="117" t="s">
        <v>38</v>
      </c>
      <c r="D43" s="117" t="s">
        <v>25</v>
      </c>
      <c r="E43" s="117" t="s">
        <v>25</v>
      </c>
      <c r="F43" s="117" t="s">
        <v>25</v>
      </c>
      <c r="G43" s="117" t="s">
        <v>36</v>
      </c>
      <c r="H43" s="117" t="s">
        <v>68</v>
      </c>
      <c r="I43" s="117" t="s">
        <v>25</v>
      </c>
      <c r="J43" s="117">
        <v>679.11</v>
      </c>
      <c r="K43" s="117">
        <v>399.84</v>
      </c>
      <c r="L43" s="117">
        <v>0</v>
      </c>
      <c r="M43" s="117">
        <v>1.3156555728078301</v>
      </c>
      <c r="N43" s="117">
        <v>14.566398171317299</v>
      </c>
      <c r="O43" s="117">
        <v>0</v>
      </c>
      <c r="P43" s="117">
        <v>0</v>
      </c>
      <c r="Q43" s="117">
        <v>106.662313843321</v>
      </c>
      <c r="R43" s="117">
        <v>17.1826184554027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357.13888130565198</v>
      </c>
      <c r="Y43" s="117">
        <v>0</v>
      </c>
      <c r="Z43" s="117">
        <v>0</v>
      </c>
      <c r="AA43" s="117">
        <v>909.62481699310399</v>
      </c>
      <c r="AB43" s="117">
        <v>0</v>
      </c>
      <c r="AC43" s="117">
        <v>-748.62244774539204</v>
      </c>
      <c r="AD43" s="117">
        <v>0</v>
      </c>
      <c r="AE43" s="117">
        <v>19.252605441263601</v>
      </c>
      <c r="AF43" s="117">
        <v>0</v>
      </c>
      <c r="AG43" s="117">
        <v>1.51156869050589</v>
      </c>
      <c r="AH43" s="117">
        <v>0.47758927201842799</v>
      </c>
      <c r="AI43" s="117">
        <v>-9.9289898266553094E-3</v>
      </c>
      <c r="AJ43" s="117">
        <v>0</v>
      </c>
      <c r="AK43" s="117">
        <v>2.8377408919053999</v>
      </c>
      <c r="AL43" s="117">
        <v>0</v>
      </c>
      <c r="AM43" s="117">
        <v>0</v>
      </c>
      <c r="AN43" s="117">
        <v>466.837290035298</v>
      </c>
      <c r="AO43" s="117">
        <v>0</v>
      </c>
      <c r="AP43" s="117">
        <v>0</v>
      </c>
      <c r="AQ43" s="117">
        <v>0</v>
      </c>
      <c r="AR43" s="117">
        <v>0</v>
      </c>
      <c r="AS43" s="117">
        <v>-69.825101937376701</v>
      </c>
      <c r="AT43" s="118">
        <v>0</v>
      </c>
    </row>
    <row r="44" spans="2:46" ht="12" customHeight="1" x14ac:dyDescent="0.25">
      <c r="B44" s="116" t="s">
        <v>32</v>
      </c>
      <c r="C44" s="117" t="s">
        <v>38</v>
      </c>
      <c r="D44" s="117" t="s">
        <v>25</v>
      </c>
      <c r="E44" s="117" t="s">
        <v>25</v>
      </c>
      <c r="F44" s="117" t="s">
        <v>25</v>
      </c>
      <c r="G44" s="117" t="s">
        <v>39</v>
      </c>
      <c r="H44" s="117" t="s">
        <v>68</v>
      </c>
      <c r="I44" s="117" t="s">
        <v>25</v>
      </c>
      <c r="J44" s="117">
        <v>470.22</v>
      </c>
      <c r="K44" s="117">
        <v>250.04</v>
      </c>
      <c r="L44" s="117">
        <v>0</v>
      </c>
      <c r="M44" s="117">
        <v>1.3156555728078301</v>
      </c>
      <c r="N44" s="117">
        <v>8.9552253847955292</v>
      </c>
      <c r="O44" s="117">
        <v>0</v>
      </c>
      <c r="P44" s="117">
        <v>0</v>
      </c>
      <c r="Q44" s="117">
        <v>106.662313843321</v>
      </c>
      <c r="R44" s="117">
        <v>17.1826184554027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214.28330387241999</v>
      </c>
      <c r="Y44" s="117">
        <v>0</v>
      </c>
      <c r="Z44" s="117">
        <v>0</v>
      </c>
      <c r="AA44" s="117">
        <v>545.77489019586199</v>
      </c>
      <c r="AB44" s="117">
        <v>0</v>
      </c>
      <c r="AC44" s="117">
        <v>-445.19577072839701</v>
      </c>
      <c r="AD44" s="117">
        <v>0</v>
      </c>
      <c r="AE44" s="117">
        <v>19.252605441263601</v>
      </c>
      <c r="AF44" s="117">
        <v>0</v>
      </c>
      <c r="AG44" s="117">
        <v>1.51156869050589</v>
      </c>
      <c r="AH44" s="117">
        <v>0.47758927201842799</v>
      </c>
      <c r="AI44" s="117">
        <v>-9.9289898266553094E-3</v>
      </c>
      <c r="AJ44" s="117">
        <v>0</v>
      </c>
      <c r="AK44" s="117">
        <v>2.8377408919053999</v>
      </c>
      <c r="AL44" s="117">
        <v>0</v>
      </c>
      <c r="AM44" s="117">
        <v>0</v>
      </c>
      <c r="AN44" s="117">
        <v>271.41702909028902</v>
      </c>
      <c r="AO44" s="117">
        <v>0</v>
      </c>
      <c r="AP44" s="117">
        <v>0</v>
      </c>
      <c r="AQ44" s="117">
        <v>0</v>
      </c>
      <c r="AR44" s="117">
        <v>0</v>
      </c>
      <c r="AS44" s="117">
        <v>-24.204840992368201</v>
      </c>
      <c r="AT44" s="118">
        <v>0</v>
      </c>
    </row>
    <row r="45" spans="2:46" ht="12" customHeight="1" x14ac:dyDescent="0.25">
      <c r="B45" s="116" t="s">
        <v>32</v>
      </c>
      <c r="C45" s="117" t="s">
        <v>38</v>
      </c>
      <c r="D45" s="117" t="s">
        <v>25</v>
      </c>
      <c r="E45" s="117" t="s">
        <v>25</v>
      </c>
      <c r="F45" s="117" t="s">
        <v>25</v>
      </c>
      <c r="G45" s="117" t="s">
        <v>37</v>
      </c>
      <c r="H45" s="117" t="s">
        <v>68</v>
      </c>
      <c r="I45" s="117" t="s">
        <v>25</v>
      </c>
      <c r="J45" s="117">
        <v>261.33999999999997</v>
      </c>
      <c r="K45" s="117">
        <v>250.04</v>
      </c>
      <c r="L45" s="117">
        <v>0</v>
      </c>
      <c r="M45" s="117">
        <v>1.3156555728078301</v>
      </c>
      <c r="N45" s="117">
        <v>3.3440525982737599</v>
      </c>
      <c r="O45" s="117">
        <v>0</v>
      </c>
      <c r="P45" s="117">
        <v>0</v>
      </c>
      <c r="Q45" s="117">
        <v>106.662313843321</v>
      </c>
      <c r="R45" s="117">
        <v>17.1826184554027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71.427726439187595</v>
      </c>
      <c r="Y45" s="117">
        <v>0</v>
      </c>
      <c r="Z45" s="117">
        <v>0</v>
      </c>
      <c r="AA45" s="117">
        <v>181.924963398621</v>
      </c>
      <c r="AB45" s="117">
        <v>0</v>
      </c>
      <c r="AC45" s="117">
        <v>-141.75909371140199</v>
      </c>
      <c r="AD45" s="117">
        <v>0</v>
      </c>
      <c r="AE45" s="117">
        <v>19.252605441263601</v>
      </c>
      <c r="AF45" s="117">
        <v>0</v>
      </c>
      <c r="AG45" s="117">
        <v>1.51156869050589</v>
      </c>
      <c r="AH45" s="117">
        <v>0.47758927201842799</v>
      </c>
      <c r="AI45" s="117">
        <v>-9.9289898266553094E-3</v>
      </c>
      <c r="AJ45" s="117">
        <v>0</v>
      </c>
      <c r="AK45" s="117">
        <v>2.8377408919053999</v>
      </c>
      <c r="AL45" s="117">
        <v>0</v>
      </c>
      <c r="AM45" s="117">
        <v>0</v>
      </c>
      <c r="AN45" s="117">
        <v>271.41702909028902</v>
      </c>
      <c r="AO45" s="117">
        <v>0</v>
      </c>
      <c r="AP45" s="117">
        <v>0</v>
      </c>
      <c r="AQ45" s="117">
        <v>0</v>
      </c>
      <c r="AR45" s="117">
        <v>0</v>
      </c>
      <c r="AS45" s="117">
        <v>-24.204840992368201</v>
      </c>
      <c r="AT45" s="118">
        <v>0</v>
      </c>
    </row>
    <row r="46" spans="2:46" ht="12" customHeight="1" x14ac:dyDescent="0.25">
      <c r="B46" s="116" t="s">
        <v>32</v>
      </c>
      <c r="C46" s="117" t="s">
        <v>23</v>
      </c>
      <c r="D46" s="117" t="s">
        <v>25</v>
      </c>
      <c r="E46" s="117" t="s">
        <v>25</v>
      </c>
      <c r="F46" s="117" t="s">
        <v>25</v>
      </c>
      <c r="G46" s="117" t="s">
        <v>25</v>
      </c>
      <c r="H46" s="117" t="s">
        <v>68</v>
      </c>
      <c r="I46" s="117" t="s">
        <v>25</v>
      </c>
      <c r="J46" s="117">
        <v>310.49</v>
      </c>
      <c r="K46" s="117">
        <v>262.52999999999997</v>
      </c>
      <c r="L46" s="117">
        <v>0</v>
      </c>
      <c r="M46" s="117">
        <v>1.3156555728078301</v>
      </c>
      <c r="N46" s="117">
        <v>4.3297994905298998</v>
      </c>
      <c r="O46" s="117">
        <v>0</v>
      </c>
      <c r="P46" s="117">
        <v>0</v>
      </c>
      <c r="Q46" s="117">
        <v>106.662313843321</v>
      </c>
      <c r="R46" s="117">
        <v>17.1826184554027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96.524035439890397</v>
      </c>
      <c r="Y46" s="117">
        <v>0</v>
      </c>
      <c r="Z46" s="117">
        <v>0</v>
      </c>
      <c r="AA46" s="117">
        <v>245.844521523955</v>
      </c>
      <c r="AB46" s="117">
        <v>0</v>
      </c>
      <c r="AC46" s="117">
        <v>-182.61070772969501</v>
      </c>
      <c r="AD46" s="117">
        <v>0</v>
      </c>
      <c r="AE46" s="117">
        <v>19.252605441263601</v>
      </c>
      <c r="AF46" s="117">
        <v>0</v>
      </c>
      <c r="AG46" s="117">
        <v>1.51156869050589</v>
      </c>
      <c r="AH46" s="117">
        <v>0.47758927201842799</v>
      </c>
      <c r="AI46" s="117">
        <v>-9.9289898266553094E-3</v>
      </c>
      <c r="AJ46" s="117">
        <v>0</v>
      </c>
      <c r="AK46" s="117">
        <v>2.8377408919053999</v>
      </c>
      <c r="AL46" s="117">
        <v>0</v>
      </c>
      <c r="AM46" s="117">
        <v>0</v>
      </c>
      <c r="AN46" s="117">
        <v>287.70205083570698</v>
      </c>
      <c r="AO46" s="117">
        <v>0</v>
      </c>
      <c r="AP46" s="117">
        <v>0</v>
      </c>
      <c r="AQ46" s="117">
        <v>0</v>
      </c>
      <c r="AR46" s="117">
        <v>0</v>
      </c>
      <c r="AS46" s="117">
        <v>-27.999862737785602</v>
      </c>
      <c r="AT46" s="118">
        <v>0</v>
      </c>
    </row>
    <row r="47" spans="2:46" ht="12" customHeight="1" x14ac:dyDescent="0.25">
      <c r="B47" s="116" t="s">
        <v>32</v>
      </c>
      <c r="C47" s="117" t="s">
        <v>84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68</v>
      </c>
      <c r="I47" s="117" t="s">
        <v>25</v>
      </c>
      <c r="J47" s="117">
        <v>310.49</v>
      </c>
      <c r="K47" s="117">
        <v>262.52999999999997</v>
      </c>
      <c r="L47" s="117">
        <v>0</v>
      </c>
      <c r="M47" s="117">
        <v>1.3156555728078301</v>
      </c>
      <c r="N47" s="117">
        <v>4.3297994905298998</v>
      </c>
      <c r="O47" s="117">
        <v>0</v>
      </c>
      <c r="P47" s="117">
        <v>0</v>
      </c>
      <c r="Q47" s="117">
        <v>106.662313843321</v>
      </c>
      <c r="R47" s="117">
        <v>17.1826184554027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96.524035439890397</v>
      </c>
      <c r="Y47" s="117">
        <v>0</v>
      </c>
      <c r="Z47" s="117">
        <v>0</v>
      </c>
      <c r="AA47" s="117">
        <v>245.844521523955</v>
      </c>
      <c r="AB47" s="117">
        <v>0</v>
      </c>
      <c r="AC47" s="117">
        <v>-182.61070772969501</v>
      </c>
      <c r="AD47" s="117">
        <v>0</v>
      </c>
      <c r="AE47" s="117">
        <v>19.252605441263601</v>
      </c>
      <c r="AF47" s="117">
        <v>0</v>
      </c>
      <c r="AG47" s="117">
        <v>1.51156869050589</v>
      </c>
      <c r="AH47" s="117">
        <v>0.47758927201842799</v>
      </c>
      <c r="AI47" s="117">
        <v>-9.9289898266553094E-3</v>
      </c>
      <c r="AJ47" s="117">
        <v>0</v>
      </c>
      <c r="AK47" s="117">
        <v>2.8377408919053999</v>
      </c>
      <c r="AL47" s="117">
        <v>0</v>
      </c>
      <c r="AM47" s="117">
        <v>0</v>
      </c>
      <c r="AN47" s="117">
        <v>287.70205083570698</v>
      </c>
      <c r="AO47" s="117">
        <v>0</v>
      </c>
      <c r="AP47" s="117">
        <v>0</v>
      </c>
      <c r="AQ47" s="117">
        <v>0</v>
      </c>
      <c r="AR47" s="117">
        <v>0</v>
      </c>
      <c r="AS47" s="117">
        <v>-27.999862737785602</v>
      </c>
      <c r="AT47" s="118">
        <v>0</v>
      </c>
    </row>
    <row r="48" spans="2:46" ht="12" customHeight="1" x14ac:dyDescent="0.25">
      <c r="B48" s="116" t="s">
        <v>44</v>
      </c>
      <c r="C48" s="117" t="s">
        <v>23</v>
      </c>
      <c r="D48" s="117" t="s">
        <v>45</v>
      </c>
      <c r="E48" s="117" t="s">
        <v>46</v>
      </c>
      <c r="F48" s="117" t="s">
        <v>25</v>
      </c>
      <c r="G48" s="117" t="s">
        <v>25</v>
      </c>
      <c r="H48" s="117" t="s">
        <v>68</v>
      </c>
      <c r="I48" s="117" t="s">
        <v>25</v>
      </c>
      <c r="J48" s="117">
        <v>170.77</v>
      </c>
      <c r="K48" s="117">
        <v>144.38999999999999</v>
      </c>
      <c r="L48" s="117">
        <v>0</v>
      </c>
      <c r="M48" s="117">
        <v>0.72361056504430599</v>
      </c>
      <c r="N48" s="117">
        <v>2.38138971979145</v>
      </c>
      <c r="O48" s="117">
        <v>0</v>
      </c>
      <c r="P48" s="117">
        <v>0</v>
      </c>
      <c r="Q48" s="117">
        <v>58.664272613826498</v>
      </c>
      <c r="R48" s="117">
        <v>9.4504401504715005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53.088219491939697</v>
      </c>
      <c r="Y48" s="117">
        <v>0</v>
      </c>
      <c r="Z48" s="117">
        <v>0</v>
      </c>
      <c r="AA48" s="117">
        <v>135.21448683817499</v>
      </c>
      <c r="AB48" s="117">
        <v>0</v>
      </c>
      <c r="AC48" s="117">
        <v>-100.435389251332</v>
      </c>
      <c r="AD48" s="117">
        <v>0</v>
      </c>
      <c r="AE48" s="117">
        <v>10.588932992695</v>
      </c>
      <c r="AF48" s="117">
        <v>0</v>
      </c>
      <c r="AG48" s="117">
        <v>0.83136277977824002</v>
      </c>
      <c r="AH48" s="117">
        <v>0.26267409961013599</v>
      </c>
      <c r="AI48" s="117">
        <v>-5.4609444046604203E-3</v>
      </c>
      <c r="AJ48" s="117">
        <v>0</v>
      </c>
      <c r="AK48" s="117">
        <v>1.56075749054797</v>
      </c>
      <c r="AL48" s="117">
        <v>0</v>
      </c>
      <c r="AM48" s="117">
        <v>0</v>
      </c>
      <c r="AN48" s="117">
        <v>158.23612795963899</v>
      </c>
      <c r="AO48" s="117">
        <v>0</v>
      </c>
      <c r="AP48" s="117">
        <v>0</v>
      </c>
      <c r="AQ48" s="117">
        <v>0</v>
      </c>
      <c r="AR48" s="117">
        <v>0</v>
      </c>
      <c r="AS48" s="117">
        <v>-15.401424505782099</v>
      </c>
      <c r="AT48" s="118">
        <v>0</v>
      </c>
    </row>
    <row r="49" spans="2:46" ht="12" customHeight="1" x14ac:dyDescent="0.25">
      <c r="B49" s="119" t="s">
        <v>44</v>
      </c>
      <c r="C49" s="120" t="s">
        <v>23</v>
      </c>
      <c r="D49" s="120" t="s">
        <v>45</v>
      </c>
      <c r="E49" s="120" t="s">
        <v>87</v>
      </c>
      <c r="F49" s="120" t="s">
        <v>25</v>
      </c>
      <c r="G49" s="120" t="s">
        <v>25</v>
      </c>
      <c r="H49" s="120" t="s">
        <v>68</v>
      </c>
      <c r="I49" s="120" t="s">
        <v>25</v>
      </c>
      <c r="J49" s="120">
        <v>186.29</v>
      </c>
      <c r="K49" s="120">
        <v>157.52000000000001</v>
      </c>
      <c r="L49" s="120">
        <v>0</v>
      </c>
      <c r="M49" s="120">
        <v>0.78939334368469805</v>
      </c>
      <c r="N49" s="120">
        <v>2.5978796943179399</v>
      </c>
      <c r="O49" s="120">
        <v>0</v>
      </c>
      <c r="P49" s="120">
        <v>0</v>
      </c>
      <c r="Q49" s="120">
        <v>63.997388305992601</v>
      </c>
      <c r="R49" s="120">
        <v>10.309571073241599</v>
      </c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20">
        <v>57.914421263934202</v>
      </c>
      <c r="Y49" s="120">
        <v>0</v>
      </c>
      <c r="Z49" s="120">
        <v>0</v>
      </c>
      <c r="AA49" s="120">
        <v>147.506712914373</v>
      </c>
      <c r="AB49" s="120">
        <v>0</v>
      </c>
      <c r="AC49" s="120">
        <v>-109.570424637817</v>
      </c>
      <c r="AD49" s="120">
        <v>0</v>
      </c>
      <c r="AE49" s="120">
        <v>11.5515632647581</v>
      </c>
      <c r="AF49" s="120">
        <v>0</v>
      </c>
      <c r="AG49" s="120">
        <v>0.90694121430353503</v>
      </c>
      <c r="AH49" s="120">
        <v>0.28655356321105702</v>
      </c>
      <c r="AI49" s="120">
        <v>-5.9573938959931799E-3</v>
      </c>
      <c r="AJ49" s="120">
        <v>0</v>
      </c>
      <c r="AK49" s="120">
        <v>1.70264453514324</v>
      </c>
      <c r="AL49" s="120">
        <v>0</v>
      </c>
      <c r="AM49" s="120">
        <v>0</v>
      </c>
      <c r="AN49" s="120">
        <v>172.62123050142401</v>
      </c>
      <c r="AO49" s="120">
        <v>0</v>
      </c>
      <c r="AP49" s="120">
        <v>0</v>
      </c>
      <c r="AQ49" s="120">
        <v>0</v>
      </c>
      <c r="AR49" s="120">
        <v>0</v>
      </c>
      <c r="AS49" s="120">
        <v>-16.797917642671301</v>
      </c>
      <c r="AT49" s="121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D0A8-C289-45FD-BAB0-708D674F5C0A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2.7109375" bestFit="1" customWidth="1"/>
    <col min="3" max="3" width="25.42578125" bestFit="1" customWidth="1"/>
    <col min="4" max="4" width="16.28515625" bestFit="1" customWidth="1"/>
    <col min="5" max="5" width="28.7109375" bestFit="1" customWidth="1"/>
    <col min="6" max="6" width="11.85546875" bestFit="1" customWidth="1"/>
    <col min="7" max="7" width="12.140625" bestFit="1" customWidth="1"/>
    <col min="8" max="8" width="11.140625" bestFit="1" customWidth="1"/>
    <col min="9" max="9" width="13.140625" bestFit="1" customWidth="1"/>
    <col min="10" max="10" width="12.42578125" bestFit="1" customWidth="1"/>
    <col min="11" max="11" width="9.85546875" bestFit="1" customWidth="1"/>
    <col min="12" max="12" width="18.7109375" bestFit="1" customWidth="1"/>
    <col min="13" max="13" width="13.7109375" bestFit="1" customWidth="1"/>
    <col min="14" max="14" width="12.140625" bestFit="1" customWidth="1"/>
    <col min="15" max="15" width="12.42578125" bestFit="1" customWidth="1"/>
    <col min="16" max="17" width="12.140625" bestFit="1" customWidth="1"/>
    <col min="18" max="18" width="16.42578125" bestFit="1" customWidth="1"/>
    <col min="19" max="19" width="10.42578125" bestFit="1" customWidth="1"/>
    <col min="20" max="20" width="11" bestFit="1" customWidth="1"/>
    <col min="21" max="21" width="10.7109375" bestFit="1" customWidth="1"/>
    <col min="22" max="22" width="12" bestFit="1" customWidth="1"/>
    <col min="23" max="23" width="12.28515625" bestFit="1" customWidth="1"/>
    <col min="24" max="24" width="13.42578125" bestFit="1" customWidth="1"/>
    <col min="25" max="25" width="11" bestFit="1" customWidth="1"/>
    <col min="26" max="26" width="13.7109375" bestFit="1" customWidth="1"/>
    <col min="27" max="27" width="12.28515625" bestFit="1" customWidth="1"/>
    <col min="28" max="28" width="15.42578125" bestFit="1" customWidth="1"/>
    <col min="29" max="29" width="24.28515625" bestFit="1" customWidth="1"/>
    <col min="30" max="30" width="13.85546875" bestFit="1" customWidth="1"/>
    <col min="31" max="31" width="12" bestFit="1" customWidth="1"/>
    <col min="32" max="32" width="17.140625" bestFit="1" customWidth="1"/>
    <col min="33" max="33" width="12.28515625" bestFit="1" customWidth="1"/>
    <col min="34" max="34" width="12" bestFit="1" customWidth="1"/>
    <col min="35" max="35" width="16.140625" bestFit="1" customWidth="1"/>
    <col min="36" max="36" width="14.42578125" bestFit="1" customWidth="1"/>
    <col min="37" max="37" width="12" bestFit="1" customWidth="1"/>
    <col min="38" max="38" width="12.42578125" bestFit="1" customWidth="1"/>
    <col min="39" max="39" width="11.85546875" bestFit="1" customWidth="1"/>
    <col min="40" max="40" width="13.7109375" bestFit="1" customWidth="1"/>
    <col min="41" max="41" width="24.5703125" bestFit="1" customWidth="1"/>
    <col min="42" max="42" width="17.42578125" bestFit="1" customWidth="1"/>
    <col min="43" max="43" width="13.28515625" bestFit="1" customWidth="1"/>
    <col min="44" max="44" width="12.7109375" bestFit="1" customWidth="1"/>
    <col min="45" max="45" width="21.7109375" bestFit="1" customWidth="1"/>
    <col min="46" max="46" width="12.28515625" bestFit="1" customWidth="1"/>
  </cols>
  <sheetData>
    <row r="1" spans="2:46" ht="12" customHeight="1" x14ac:dyDescent="0.25">
      <c r="L1" s="162" t="s">
        <v>1187</v>
      </c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</row>
    <row r="2" spans="2:46" ht="12" customHeight="1" x14ac:dyDescent="0.25">
      <c r="L2" s="163" t="s">
        <v>420</v>
      </c>
      <c r="M2" s="163"/>
      <c r="N2" s="163"/>
      <c r="O2" s="163"/>
      <c r="P2" s="163"/>
      <c r="Q2" s="163"/>
      <c r="R2" s="163"/>
      <c r="S2" s="164"/>
      <c r="T2" s="163" t="s">
        <v>429</v>
      </c>
      <c r="U2" s="163"/>
      <c r="V2" s="163"/>
      <c r="W2" s="163"/>
      <c r="X2" s="163"/>
      <c r="Y2" s="163"/>
      <c r="Z2" s="164"/>
      <c r="AA2" s="123" t="s">
        <v>437</v>
      </c>
      <c r="AB2" s="163" t="s">
        <v>25</v>
      </c>
      <c r="AC2" s="163"/>
      <c r="AD2" s="164"/>
      <c r="AE2" s="163" t="s">
        <v>1186</v>
      </c>
      <c r="AF2" s="163"/>
      <c r="AG2" s="163"/>
      <c r="AH2" s="164"/>
      <c r="AI2" s="163" t="s">
        <v>420</v>
      </c>
      <c r="AJ2" s="163"/>
      <c r="AK2" s="163"/>
      <c r="AL2" s="163"/>
      <c r="AM2" s="164"/>
      <c r="AN2" s="123" t="s">
        <v>451</v>
      </c>
      <c r="AO2" s="163" t="s">
        <v>429</v>
      </c>
      <c r="AP2" s="163"/>
      <c r="AQ2" s="163"/>
      <c r="AR2" s="163"/>
      <c r="AS2" s="164"/>
      <c r="AT2" s="122" t="s">
        <v>1186</v>
      </c>
    </row>
    <row r="3" spans="2:46" ht="12" customHeight="1" x14ac:dyDescent="0.25">
      <c r="B3" s="113" t="s">
        <v>58</v>
      </c>
      <c r="C3" s="114" t="s">
        <v>59</v>
      </c>
      <c r="D3" s="114" t="s">
        <v>60</v>
      </c>
      <c r="E3" s="114" t="s">
        <v>61</v>
      </c>
      <c r="F3" s="114" t="s">
        <v>62</v>
      </c>
      <c r="G3" s="114" t="s">
        <v>64</v>
      </c>
      <c r="H3" s="114" t="s">
        <v>65</v>
      </c>
      <c r="I3" s="114" t="s">
        <v>697</v>
      </c>
      <c r="J3" s="114" t="s">
        <v>1148</v>
      </c>
      <c r="K3" s="114" t="s">
        <v>1149</v>
      </c>
      <c r="L3" s="114" t="s">
        <v>1150</v>
      </c>
      <c r="M3" s="114" t="s">
        <v>1151</v>
      </c>
      <c r="N3" s="114" t="s">
        <v>1152</v>
      </c>
      <c r="O3" s="114" t="s">
        <v>1153</v>
      </c>
      <c r="P3" s="114" t="s">
        <v>1154</v>
      </c>
      <c r="Q3" s="114" t="s">
        <v>1155</v>
      </c>
      <c r="R3" s="114" t="s">
        <v>1156</v>
      </c>
      <c r="S3" s="114" t="s">
        <v>1157</v>
      </c>
      <c r="T3" s="114" t="s">
        <v>1158</v>
      </c>
      <c r="U3" s="114" t="s">
        <v>1159</v>
      </c>
      <c r="V3" s="114" t="s">
        <v>1160</v>
      </c>
      <c r="W3" s="114" t="s">
        <v>1161</v>
      </c>
      <c r="X3" s="114" t="s">
        <v>1162</v>
      </c>
      <c r="Y3" s="114" t="s">
        <v>1163</v>
      </c>
      <c r="Z3" s="114" t="s">
        <v>1164</v>
      </c>
      <c r="AA3" s="114" t="s">
        <v>1165</v>
      </c>
      <c r="AB3" s="114" t="s">
        <v>1166</v>
      </c>
      <c r="AC3" s="114" t="s">
        <v>1167</v>
      </c>
      <c r="AD3" s="114" t="s">
        <v>1168</v>
      </c>
      <c r="AE3" s="114" t="s">
        <v>1169</v>
      </c>
      <c r="AF3" s="114" t="s">
        <v>1170</v>
      </c>
      <c r="AG3" s="114" t="s">
        <v>1171</v>
      </c>
      <c r="AH3" s="114" t="s">
        <v>1172</v>
      </c>
      <c r="AI3" s="114" t="s">
        <v>1173</v>
      </c>
      <c r="AJ3" s="114" t="s">
        <v>1174</v>
      </c>
      <c r="AK3" s="114" t="s">
        <v>1175</v>
      </c>
      <c r="AL3" s="114" t="s">
        <v>1176</v>
      </c>
      <c r="AM3" s="114" t="s">
        <v>1177</v>
      </c>
      <c r="AN3" s="114" t="s">
        <v>1178</v>
      </c>
      <c r="AO3" s="114" t="s">
        <v>1179</v>
      </c>
      <c r="AP3" s="114" t="s">
        <v>1180</v>
      </c>
      <c r="AQ3" s="114" t="s">
        <v>1181</v>
      </c>
      <c r="AR3" s="114" t="s">
        <v>1182</v>
      </c>
      <c r="AS3" s="114" t="s">
        <v>1183</v>
      </c>
      <c r="AT3" s="115" t="s">
        <v>1184</v>
      </c>
    </row>
    <row r="4" spans="2:46" ht="12" customHeight="1" x14ac:dyDescent="0.25">
      <c r="B4" s="116" t="s">
        <v>34</v>
      </c>
      <c r="C4" s="117" t="s">
        <v>73</v>
      </c>
      <c r="D4" s="117" t="s">
        <v>25</v>
      </c>
      <c r="E4" s="117" t="s">
        <v>25</v>
      </c>
      <c r="F4" s="117" t="s">
        <v>77</v>
      </c>
      <c r="G4" s="117" t="s">
        <v>36</v>
      </c>
      <c r="H4" s="117" t="s">
        <v>68</v>
      </c>
      <c r="I4" s="117" t="s">
        <v>25</v>
      </c>
      <c r="J4" s="117">
        <v>3.17</v>
      </c>
      <c r="K4" s="117">
        <v>0</v>
      </c>
      <c r="L4" s="117">
        <v>0</v>
      </c>
      <c r="M4" s="117">
        <v>0.27946609050913002</v>
      </c>
      <c r="N4" s="117">
        <v>7.8656355419704505E-2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0</v>
      </c>
      <c r="AE4" s="117">
        <v>1.7702140767488901</v>
      </c>
      <c r="AF4" s="117">
        <v>0</v>
      </c>
      <c r="AG4" s="117">
        <v>0.79322703512669401</v>
      </c>
      <c r="AH4" s="117">
        <v>0.244554268942514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7">
        <v>0</v>
      </c>
      <c r="AS4" s="117">
        <v>0</v>
      </c>
      <c r="AT4" s="118">
        <v>0</v>
      </c>
    </row>
    <row r="5" spans="2:46" ht="12" customHeight="1" x14ac:dyDescent="0.25">
      <c r="B5" s="116" t="s">
        <v>34</v>
      </c>
      <c r="C5" s="117" t="s">
        <v>73</v>
      </c>
      <c r="D5" s="117" t="s">
        <v>25</v>
      </c>
      <c r="E5" s="117" t="s">
        <v>25</v>
      </c>
      <c r="F5" s="117" t="s">
        <v>77</v>
      </c>
      <c r="G5" s="117" t="s">
        <v>36</v>
      </c>
      <c r="H5" s="117" t="s">
        <v>74</v>
      </c>
      <c r="I5" s="117" t="s">
        <v>25</v>
      </c>
      <c r="J5" s="117">
        <v>49.16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32.254949416385898</v>
      </c>
      <c r="Y5" s="117">
        <v>0</v>
      </c>
      <c r="Z5" s="117">
        <v>0</v>
      </c>
      <c r="AA5" s="117">
        <v>16.901015110154599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7">
        <v>0</v>
      </c>
      <c r="AS5" s="117">
        <v>0</v>
      </c>
      <c r="AT5" s="118">
        <v>0</v>
      </c>
    </row>
    <row r="6" spans="2:46" ht="12" customHeight="1" x14ac:dyDescent="0.25">
      <c r="B6" s="116" t="s">
        <v>34</v>
      </c>
      <c r="C6" s="117" t="s">
        <v>73</v>
      </c>
      <c r="D6" s="117" t="s">
        <v>25</v>
      </c>
      <c r="E6" s="117" t="s">
        <v>25</v>
      </c>
      <c r="F6" s="117" t="s">
        <v>77</v>
      </c>
      <c r="G6" s="117" t="s">
        <v>37</v>
      </c>
      <c r="H6" s="117" t="s">
        <v>68</v>
      </c>
      <c r="I6" s="117" t="s">
        <v>25</v>
      </c>
      <c r="J6" s="117">
        <v>3.17</v>
      </c>
      <c r="K6" s="117">
        <v>0</v>
      </c>
      <c r="L6" s="117">
        <v>0</v>
      </c>
      <c r="M6" s="117">
        <v>0.27946609050913002</v>
      </c>
      <c r="N6" s="117">
        <v>7.8656355419704505E-2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0</v>
      </c>
      <c r="AE6" s="117">
        <v>1.7702140767488901</v>
      </c>
      <c r="AF6" s="117">
        <v>0</v>
      </c>
      <c r="AG6" s="117">
        <v>0.79322703512669401</v>
      </c>
      <c r="AH6" s="117">
        <v>0.244554268942514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7">
        <v>0</v>
      </c>
      <c r="AS6" s="117">
        <v>0</v>
      </c>
      <c r="AT6" s="118">
        <v>0</v>
      </c>
    </row>
    <row r="7" spans="2:46" ht="12" customHeight="1" x14ac:dyDescent="0.25">
      <c r="B7" s="116" t="s">
        <v>34</v>
      </c>
      <c r="C7" s="117" t="s">
        <v>73</v>
      </c>
      <c r="D7" s="117" t="s">
        <v>25</v>
      </c>
      <c r="E7" s="117" t="s">
        <v>25</v>
      </c>
      <c r="F7" s="117" t="s">
        <v>77</v>
      </c>
      <c r="G7" s="117" t="s">
        <v>37</v>
      </c>
      <c r="H7" s="117" t="s">
        <v>74</v>
      </c>
      <c r="I7" s="117" t="s">
        <v>25</v>
      </c>
      <c r="J7" s="117">
        <v>18.03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12.430622102539999</v>
      </c>
      <c r="Y7" s="117">
        <v>0</v>
      </c>
      <c r="Z7" s="117">
        <v>0</v>
      </c>
      <c r="AA7" s="117">
        <v>5.6019329129302804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7">
        <v>0</v>
      </c>
      <c r="AS7" s="117">
        <v>0</v>
      </c>
      <c r="AT7" s="118">
        <v>0</v>
      </c>
    </row>
    <row r="8" spans="2:46" ht="12" customHeight="1" x14ac:dyDescent="0.25">
      <c r="B8" s="116" t="s">
        <v>34</v>
      </c>
      <c r="C8" s="117" t="s">
        <v>73</v>
      </c>
      <c r="D8" s="117" t="s">
        <v>25</v>
      </c>
      <c r="E8" s="117" t="s">
        <v>25</v>
      </c>
      <c r="F8" s="117" t="s">
        <v>25</v>
      </c>
      <c r="G8" s="117" t="s">
        <v>36</v>
      </c>
      <c r="H8" s="117" t="s">
        <v>68</v>
      </c>
      <c r="I8" s="117" t="s">
        <v>25</v>
      </c>
      <c r="J8" s="117">
        <v>92.28</v>
      </c>
      <c r="K8" s="117">
        <v>461.96</v>
      </c>
      <c r="L8" s="117">
        <v>0</v>
      </c>
      <c r="M8" s="117">
        <v>0.27946609050913002</v>
      </c>
      <c r="N8" s="117">
        <v>9.1183807407133693E-2</v>
      </c>
      <c r="O8" s="117">
        <v>0</v>
      </c>
      <c r="P8" s="117">
        <v>0</v>
      </c>
      <c r="Q8" s="117">
        <v>75.247851370935095</v>
      </c>
      <c r="R8" s="117">
        <v>13.8528390755919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0</v>
      </c>
      <c r="AE8" s="117">
        <v>1.7702140767488901</v>
      </c>
      <c r="AF8" s="117">
        <v>0</v>
      </c>
      <c r="AG8" s="117">
        <v>0.79322703512669401</v>
      </c>
      <c r="AH8" s="117">
        <v>0.244554268942514</v>
      </c>
      <c r="AI8" s="117">
        <v>6.7418018913693696E-14</v>
      </c>
      <c r="AJ8" s="117">
        <v>0</v>
      </c>
      <c r="AK8" s="117">
        <v>2.8377393648131002</v>
      </c>
      <c r="AL8" s="117">
        <v>0</v>
      </c>
      <c r="AM8" s="117">
        <v>0</v>
      </c>
      <c r="AN8" s="117">
        <v>459.12561833129899</v>
      </c>
      <c r="AO8" s="117">
        <v>0</v>
      </c>
      <c r="AP8" s="117">
        <v>0</v>
      </c>
      <c r="AQ8" s="117">
        <v>0</v>
      </c>
      <c r="AR8" s="117">
        <v>0</v>
      </c>
      <c r="AS8" s="117">
        <v>0</v>
      </c>
      <c r="AT8" s="118">
        <v>0</v>
      </c>
    </row>
    <row r="9" spans="2:46" ht="12" customHeight="1" x14ac:dyDescent="0.25">
      <c r="B9" s="116" t="s">
        <v>34</v>
      </c>
      <c r="C9" s="117" t="s">
        <v>73</v>
      </c>
      <c r="D9" s="117" t="s">
        <v>25</v>
      </c>
      <c r="E9" s="117" t="s">
        <v>25</v>
      </c>
      <c r="F9" s="117" t="s">
        <v>25</v>
      </c>
      <c r="G9" s="117" t="s">
        <v>36</v>
      </c>
      <c r="H9" s="117" t="s">
        <v>74</v>
      </c>
      <c r="I9" s="117" t="s">
        <v>25</v>
      </c>
      <c r="J9" s="117">
        <v>49.16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32.254949416385898</v>
      </c>
      <c r="Y9" s="117">
        <v>0</v>
      </c>
      <c r="Z9" s="117">
        <v>0</v>
      </c>
      <c r="AA9" s="117">
        <v>16.901015110154599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7">
        <v>0</v>
      </c>
      <c r="AS9" s="117">
        <v>0</v>
      </c>
      <c r="AT9" s="118">
        <v>0</v>
      </c>
    </row>
    <row r="10" spans="2:46" ht="12" customHeight="1" x14ac:dyDescent="0.25">
      <c r="B10" s="116" t="s">
        <v>34</v>
      </c>
      <c r="C10" s="117" t="s">
        <v>73</v>
      </c>
      <c r="D10" s="117" t="s">
        <v>25</v>
      </c>
      <c r="E10" s="117" t="s">
        <v>25</v>
      </c>
      <c r="F10" s="117" t="s">
        <v>25</v>
      </c>
      <c r="G10" s="117" t="s">
        <v>37</v>
      </c>
      <c r="H10" s="117" t="s">
        <v>68</v>
      </c>
      <c r="I10" s="117" t="s">
        <v>25</v>
      </c>
      <c r="J10" s="117">
        <v>92.28</v>
      </c>
      <c r="K10" s="117">
        <v>269.77</v>
      </c>
      <c r="L10" s="117">
        <v>0</v>
      </c>
      <c r="M10" s="117">
        <v>0.27946609050913002</v>
      </c>
      <c r="N10" s="117">
        <v>9.1183807407133693E-2</v>
      </c>
      <c r="O10" s="117">
        <v>0</v>
      </c>
      <c r="P10" s="117">
        <v>0</v>
      </c>
      <c r="Q10" s="117">
        <v>75.247851370935095</v>
      </c>
      <c r="R10" s="117">
        <v>13.8528390755919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0</v>
      </c>
      <c r="AE10" s="117">
        <v>1.7702140767488901</v>
      </c>
      <c r="AF10" s="117">
        <v>0</v>
      </c>
      <c r="AG10" s="117">
        <v>0.79322703512669401</v>
      </c>
      <c r="AH10" s="117">
        <v>0.244554268942514</v>
      </c>
      <c r="AI10" s="117">
        <v>6.7418018913693696E-14</v>
      </c>
      <c r="AJ10" s="117">
        <v>0</v>
      </c>
      <c r="AK10" s="117">
        <v>2.8377393648131002</v>
      </c>
      <c r="AL10" s="117">
        <v>0</v>
      </c>
      <c r="AM10" s="117">
        <v>0</v>
      </c>
      <c r="AN10" s="117">
        <v>266.93349902982499</v>
      </c>
      <c r="AO10" s="117">
        <v>0</v>
      </c>
      <c r="AP10" s="117">
        <v>0</v>
      </c>
      <c r="AQ10" s="117">
        <v>0</v>
      </c>
      <c r="AR10" s="117">
        <v>0</v>
      </c>
      <c r="AS10" s="117">
        <v>0</v>
      </c>
      <c r="AT10" s="118">
        <v>0</v>
      </c>
    </row>
    <row r="11" spans="2:46" ht="12" customHeight="1" x14ac:dyDescent="0.25">
      <c r="B11" s="116" t="s">
        <v>34</v>
      </c>
      <c r="C11" s="117" t="s">
        <v>73</v>
      </c>
      <c r="D11" s="117" t="s">
        <v>25</v>
      </c>
      <c r="E11" s="117" t="s">
        <v>25</v>
      </c>
      <c r="F11" s="117" t="s">
        <v>25</v>
      </c>
      <c r="G11" s="117" t="s">
        <v>37</v>
      </c>
      <c r="H11" s="117" t="s">
        <v>74</v>
      </c>
      <c r="I11" s="117" t="s">
        <v>25</v>
      </c>
      <c r="J11" s="117">
        <v>18.03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12.430622102539999</v>
      </c>
      <c r="Y11" s="117">
        <v>0</v>
      </c>
      <c r="Z11" s="117">
        <v>0</v>
      </c>
      <c r="AA11" s="117">
        <v>5.6019329129302804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7">
        <v>0</v>
      </c>
      <c r="AS11" s="117">
        <v>0</v>
      </c>
      <c r="AT11" s="118">
        <v>0</v>
      </c>
    </row>
    <row r="12" spans="2:46" ht="12" customHeight="1" x14ac:dyDescent="0.25">
      <c r="B12" s="116" t="s">
        <v>34</v>
      </c>
      <c r="C12" s="117" t="s">
        <v>78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74</v>
      </c>
      <c r="I12" s="117" t="s">
        <v>25</v>
      </c>
      <c r="J12" s="117">
        <v>6.83</v>
      </c>
      <c r="K12" s="117">
        <v>0</v>
      </c>
      <c r="L12" s="117">
        <v>0</v>
      </c>
      <c r="M12" s="117">
        <v>2.4976966716365599E-2</v>
      </c>
      <c r="N12" s="117">
        <v>7.7544927802186706E-2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6.7319721643564199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0</v>
      </c>
      <c r="AM12" s="117">
        <v>0</v>
      </c>
      <c r="AN12" s="117">
        <v>0</v>
      </c>
      <c r="AO12" s="117">
        <v>0</v>
      </c>
      <c r="AP12" s="117">
        <v>0</v>
      </c>
      <c r="AQ12" s="117">
        <v>0</v>
      </c>
      <c r="AR12" s="117">
        <v>0</v>
      </c>
      <c r="AS12" s="117">
        <v>0</v>
      </c>
      <c r="AT12" s="118">
        <v>0</v>
      </c>
    </row>
    <row r="13" spans="2:46" ht="12" customHeight="1" x14ac:dyDescent="0.25">
      <c r="B13" s="116" t="s">
        <v>34</v>
      </c>
      <c r="C13" s="117" t="s">
        <v>35</v>
      </c>
      <c r="D13" s="117" t="s">
        <v>25</v>
      </c>
      <c r="E13" s="117" t="s">
        <v>25</v>
      </c>
      <c r="F13" s="117" t="s">
        <v>77</v>
      </c>
      <c r="G13" s="117" t="s">
        <v>36</v>
      </c>
      <c r="H13" s="117" t="s">
        <v>68</v>
      </c>
      <c r="I13" s="117" t="s">
        <v>25</v>
      </c>
      <c r="J13" s="117">
        <v>1197.6300000000001</v>
      </c>
      <c r="K13" s="117">
        <v>0</v>
      </c>
      <c r="L13" s="117">
        <v>0</v>
      </c>
      <c r="M13" s="117">
        <v>0.27946609050913002</v>
      </c>
      <c r="N13" s="117">
        <v>12.3368558172831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775.73164862285796</v>
      </c>
      <c r="Y13" s="117">
        <v>0</v>
      </c>
      <c r="Z13" s="117">
        <v>0</v>
      </c>
      <c r="AA13" s="117">
        <v>406.47093664277401</v>
      </c>
      <c r="AB13" s="117">
        <v>0</v>
      </c>
      <c r="AC13" s="117">
        <v>0</v>
      </c>
      <c r="AD13" s="117">
        <v>0</v>
      </c>
      <c r="AE13" s="117">
        <v>1.7702140767488901</v>
      </c>
      <c r="AF13" s="117">
        <v>0</v>
      </c>
      <c r="AG13" s="117">
        <v>0.79322703512669401</v>
      </c>
      <c r="AH13" s="117">
        <v>0.244554268942514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7">
        <v>0</v>
      </c>
      <c r="AS13" s="117">
        <v>0</v>
      </c>
      <c r="AT13" s="118">
        <v>0</v>
      </c>
    </row>
    <row r="14" spans="2:46" ht="12" customHeight="1" x14ac:dyDescent="0.25">
      <c r="B14" s="116" t="s">
        <v>34</v>
      </c>
      <c r="C14" s="117" t="s">
        <v>35</v>
      </c>
      <c r="D14" s="117" t="s">
        <v>25</v>
      </c>
      <c r="E14" s="117" t="s">
        <v>25</v>
      </c>
      <c r="F14" s="117" t="s">
        <v>77</v>
      </c>
      <c r="G14" s="117" t="s">
        <v>25</v>
      </c>
      <c r="H14" s="117" t="s">
        <v>74</v>
      </c>
      <c r="I14" s="117" t="s">
        <v>25</v>
      </c>
      <c r="J14" s="117">
        <v>18.03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12.430622102539999</v>
      </c>
      <c r="Y14" s="117">
        <v>0</v>
      </c>
      <c r="Z14" s="117">
        <v>0</v>
      </c>
      <c r="AA14" s="117">
        <v>5.6019329129302804</v>
      </c>
      <c r="AB14" s="117"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7">
        <v>0</v>
      </c>
      <c r="AS14" s="117">
        <v>0</v>
      </c>
      <c r="AT14" s="118">
        <v>0</v>
      </c>
    </row>
    <row r="15" spans="2:46" ht="12" customHeight="1" x14ac:dyDescent="0.25">
      <c r="B15" s="116" t="s">
        <v>34</v>
      </c>
      <c r="C15" s="117" t="s">
        <v>35</v>
      </c>
      <c r="D15" s="117" t="s">
        <v>25</v>
      </c>
      <c r="E15" s="117" t="s">
        <v>25</v>
      </c>
      <c r="F15" s="117" t="s">
        <v>77</v>
      </c>
      <c r="G15" s="117" t="s">
        <v>37</v>
      </c>
      <c r="H15" s="117" t="s">
        <v>68</v>
      </c>
      <c r="I15" s="117" t="s">
        <v>25</v>
      </c>
      <c r="J15" s="117">
        <v>3.17</v>
      </c>
      <c r="K15" s="117">
        <v>0</v>
      </c>
      <c r="L15" s="117">
        <v>0</v>
      </c>
      <c r="M15" s="117">
        <v>0.27946609050913002</v>
      </c>
      <c r="N15" s="117">
        <v>7.8656355419704505E-2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0</v>
      </c>
      <c r="AD15" s="117">
        <v>0</v>
      </c>
      <c r="AE15" s="117">
        <v>1.7702140767488901</v>
      </c>
      <c r="AF15" s="117">
        <v>0</v>
      </c>
      <c r="AG15" s="117">
        <v>0.79322703512669401</v>
      </c>
      <c r="AH15" s="117">
        <v>0.244554268942514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7">
        <v>0</v>
      </c>
      <c r="AS15" s="117">
        <v>0</v>
      </c>
      <c r="AT15" s="118">
        <v>0</v>
      </c>
    </row>
    <row r="16" spans="2:46" ht="12" customHeight="1" x14ac:dyDescent="0.25">
      <c r="B16" s="116" t="s">
        <v>34</v>
      </c>
      <c r="C16" s="117" t="s">
        <v>35</v>
      </c>
      <c r="D16" s="117" t="s">
        <v>25</v>
      </c>
      <c r="E16" s="117" t="s">
        <v>25</v>
      </c>
      <c r="F16" s="117" t="s">
        <v>25</v>
      </c>
      <c r="G16" s="117" t="s">
        <v>36</v>
      </c>
      <c r="H16" s="117" t="s">
        <v>68</v>
      </c>
      <c r="I16" s="117" t="s">
        <v>25</v>
      </c>
      <c r="J16" s="117">
        <v>1286.74</v>
      </c>
      <c r="K16" s="117">
        <v>461.96</v>
      </c>
      <c r="L16" s="117">
        <v>0</v>
      </c>
      <c r="M16" s="117">
        <v>0.27946609050913002</v>
      </c>
      <c r="N16" s="117">
        <v>12.349383269270501</v>
      </c>
      <c r="O16" s="117">
        <v>0</v>
      </c>
      <c r="P16" s="117">
        <v>0</v>
      </c>
      <c r="Q16" s="117">
        <v>75.247851370935095</v>
      </c>
      <c r="R16" s="117">
        <v>13.8528390755919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775.73164862285796</v>
      </c>
      <c r="Y16" s="117">
        <v>0</v>
      </c>
      <c r="Z16" s="117">
        <v>0</v>
      </c>
      <c r="AA16" s="117">
        <v>406.47093664277401</v>
      </c>
      <c r="AB16" s="117">
        <v>0</v>
      </c>
      <c r="AC16" s="117">
        <v>0</v>
      </c>
      <c r="AD16" s="117">
        <v>0</v>
      </c>
      <c r="AE16" s="117">
        <v>1.7702140767488901</v>
      </c>
      <c r="AF16" s="117">
        <v>0</v>
      </c>
      <c r="AG16" s="117">
        <v>0.79322703512669401</v>
      </c>
      <c r="AH16" s="117">
        <v>0.244554268942514</v>
      </c>
      <c r="AI16" s="117">
        <v>6.7418018913693696E-14</v>
      </c>
      <c r="AJ16" s="117">
        <v>0</v>
      </c>
      <c r="AK16" s="117">
        <v>2.8377393648131002</v>
      </c>
      <c r="AL16" s="117">
        <v>0</v>
      </c>
      <c r="AM16" s="117">
        <v>0</v>
      </c>
      <c r="AN16" s="117">
        <v>459.12561833129899</v>
      </c>
      <c r="AO16" s="117">
        <v>0</v>
      </c>
      <c r="AP16" s="117">
        <v>0</v>
      </c>
      <c r="AQ16" s="117">
        <v>0</v>
      </c>
      <c r="AR16" s="117">
        <v>0</v>
      </c>
      <c r="AS16" s="117">
        <v>0</v>
      </c>
      <c r="AT16" s="118">
        <v>0</v>
      </c>
    </row>
    <row r="17" spans="2:46" ht="12" customHeight="1" x14ac:dyDescent="0.25">
      <c r="B17" s="116" t="s">
        <v>34</v>
      </c>
      <c r="C17" s="117" t="s">
        <v>35</v>
      </c>
      <c r="D17" s="117" t="s">
        <v>25</v>
      </c>
      <c r="E17" s="117" t="s">
        <v>25</v>
      </c>
      <c r="F17" s="117" t="s">
        <v>25</v>
      </c>
      <c r="G17" s="117" t="s">
        <v>25</v>
      </c>
      <c r="H17" s="117" t="s">
        <v>74</v>
      </c>
      <c r="I17" s="117" t="s">
        <v>25</v>
      </c>
      <c r="J17" s="117">
        <v>18.03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12.430622102539999</v>
      </c>
      <c r="Y17" s="117">
        <v>0</v>
      </c>
      <c r="Z17" s="117">
        <v>0</v>
      </c>
      <c r="AA17" s="117">
        <v>5.6019329129302804</v>
      </c>
      <c r="AB17" s="117">
        <v>0</v>
      </c>
      <c r="AC17" s="117">
        <v>0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7">
        <v>0</v>
      </c>
      <c r="AS17" s="117">
        <v>0</v>
      </c>
      <c r="AT17" s="118">
        <v>0</v>
      </c>
    </row>
    <row r="18" spans="2:46" ht="12" customHeight="1" x14ac:dyDescent="0.25">
      <c r="B18" s="116" t="s">
        <v>34</v>
      </c>
      <c r="C18" s="117" t="s">
        <v>35</v>
      </c>
      <c r="D18" s="117" t="s">
        <v>25</v>
      </c>
      <c r="E18" s="117" t="s">
        <v>25</v>
      </c>
      <c r="F18" s="117" t="s">
        <v>25</v>
      </c>
      <c r="G18" s="117" t="s">
        <v>37</v>
      </c>
      <c r="H18" s="117" t="s">
        <v>68</v>
      </c>
      <c r="I18" s="117" t="s">
        <v>25</v>
      </c>
      <c r="J18" s="117">
        <v>92.28</v>
      </c>
      <c r="K18" s="117">
        <v>269.77</v>
      </c>
      <c r="L18" s="117">
        <v>0</v>
      </c>
      <c r="M18" s="117">
        <v>0.27946609050913002</v>
      </c>
      <c r="N18" s="117">
        <v>9.1183807407133693E-2</v>
      </c>
      <c r="O18" s="117">
        <v>0</v>
      </c>
      <c r="P18" s="117">
        <v>0</v>
      </c>
      <c r="Q18" s="117">
        <v>75.247851370935095</v>
      </c>
      <c r="R18" s="117">
        <v>13.8528390755919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0</v>
      </c>
      <c r="AD18" s="117">
        <v>0</v>
      </c>
      <c r="AE18" s="117">
        <v>1.7702140767488901</v>
      </c>
      <c r="AF18" s="117">
        <v>0</v>
      </c>
      <c r="AG18" s="117">
        <v>0.79322703512669401</v>
      </c>
      <c r="AH18" s="117">
        <v>0.244554268942514</v>
      </c>
      <c r="AI18" s="117">
        <v>6.7418018913693696E-14</v>
      </c>
      <c r="AJ18" s="117">
        <v>0</v>
      </c>
      <c r="AK18" s="117">
        <v>2.8377393648131002</v>
      </c>
      <c r="AL18" s="117">
        <v>0</v>
      </c>
      <c r="AM18" s="117">
        <v>0</v>
      </c>
      <c r="AN18" s="117">
        <v>266.93349902982499</v>
      </c>
      <c r="AO18" s="117">
        <v>0</v>
      </c>
      <c r="AP18" s="117">
        <v>0</v>
      </c>
      <c r="AQ18" s="117">
        <v>0</v>
      </c>
      <c r="AR18" s="117">
        <v>0</v>
      </c>
      <c r="AS18" s="117">
        <v>0</v>
      </c>
      <c r="AT18" s="118">
        <v>0</v>
      </c>
    </row>
    <row r="19" spans="2:46" ht="12" customHeight="1" x14ac:dyDescent="0.25">
      <c r="B19" s="116" t="s">
        <v>79</v>
      </c>
      <c r="C19" s="117" t="s">
        <v>78</v>
      </c>
      <c r="D19" s="117" t="s">
        <v>25</v>
      </c>
      <c r="E19" s="117" t="s">
        <v>25</v>
      </c>
      <c r="F19" s="117" t="s">
        <v>80</v>
      </c>
      <c r="G19" s="117" t="s">
        <v>25</v>
      </c>
      <c r="H19" s="117" t="s">
        <v>74</v>
      </c>
      <c r="I19" s="117" t="s">
        <v>25</v>
      </c>
      <c r="J19" s="117">
        <v>14.79</v>
      </c>
      <c r="K19" s="117">
        <v>0</v>
      </c>
      <c r="L19" s="117">
        <v>0</v>
      </c>
      <c r="M19" s="117">
        <v>5.3998786342264002E-2</v>
      </c>
      <c r="N19" s="117">
        <v>0.167742582111677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14.566466922359499</v>
      </c>
      <c r="AB19" s="117"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0</v>
      </c>
      <c r="AL19" s="117">
        <v>0</v>
      </c>
      <c r="AM19" s="117">
        <v>0</v>
      </c>
      <c r="AN19" s="117">
        <v>0</v>
      </c>
      <c r="AO19" s="117">
        <v>0</v>
      </c>
      <c r="AP19" s="117">
        <v>0</v>
      </c>
      <c r="AQ19" s="117">
        <v>0</v>
      </c>
      <c r="AR19" s="117">
        <v>0</v>
      </c>
      <c r="AS19" s="117">
        <v>0</v>
      </c>
      <c r="AT19" s="118">
        <v>0</v>
      </c>
    </row>
    <row r="20" spans="2:46" ht="12" customHeight="1" x14ac:dyDescent="0.25">
      <c r="B20" s="116" t="s">
        <v>79</v>
      </c>
      <c r="C20" s="117" t="s">
        <v>78</v>
      </c>
      <c r="D20" s="117" t="s">
        <v>25</v>
      </c>
      <c r="E20" s="117" t="s">
        <v>25</v>
      </c>
      <c r="F20" s="117" t="s">
        <v>81</v>
      </c>
      <c r="G20" s="117" t="s">
        <v>25</v>
      </c>
      <c r="H20" s="117" t="s">
        <v>74</v>
      </c>
      <c r="I20" s="117" t="s">
        <v>25</v>
      </c>
      <c r="J20" s="117">
        <v>22.58</v>
      </c>
      <c r="K20" s="117">
        <v>0</v>
      </c>
      <c r="L20" s="117">
        <v>0</v>
      </c>
      <c r="M20" s="117">
        <v>5.3998786342264002E-2</v>
      </c>
      <c r="N20" s="117">
        <v>0.167742582111677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22.362853293199901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7">
        <v>0</v>
      </c>
      <c r="AS20" s="117">
        <v>0</v>
      </c>
      <c r="AT20" s="118">
        <v>0</v>
      </c>
    </row>
    <row r="21" spans="2:46" ht="12" customHeight="1" x14ac:dyDescent="0.25">
      <c r="B21" s="116" t="s">
        <v>22</v>
      </c>
      <c r="C21" s="117" t="s">
        <v>38</v>
      </c>
      <c r="D21" s="117" t="s">
        <v>24</v>
      </c>
      <c r="E21" s="117" t="s">
        <v>24</v>
      </c>
      <c r="F21" s="117" t="s">
        <v>25</v>
      </c>
      <c r="G21" s="117" t="s">
        <v>36</v>
      </c>
      <c r="H21" s="117" t="s">
        <v>68</v>
      </c>
      <c r="I21" s="117" t="s">
        <v>25</v>
      </c>
      <c r="J21" s="117">
        <v>1102.83</v>
      </c>
      <c r="K21" s="117">
        <v>461.96</v>
      </c>
      <c r="L21" s="117">
        <v>0</v>
      </c>
      <c r="M21" s="117">
        <v>1.3579386744728199</v>
      </c>
      <c r="N21" s="117">
        <v>11.1541930261538</v>
      </c>
      <c r="O21" s="117">
        <v>0</v>
      </c>
      <c r="P21" s="117">
        <v>0</v>
      </c>
      <c r="Q21" s="117">
        <v>89.580775441589395</v>
      </c>
      <c r="R21" s="117">
        <v>13.8528390755919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277.643329612532</v>
      </c>
      <c r="Y21" s="117">
        <v>0</v>
      </c>
      <c r="Z21" s="117">
        <v>0</v>
      </c>
      <c r="AA21" s="117">
        <v>688.36479129877898</v>
      </c>
      <c r="AB21" s="117">
        <v>0</v>
      </c>
      <c r="AC21" s="117">
        <v>0</v>
      </c>
      <c r="AD21" s="117">
        <v>0</v>
      </c>
      <c r="AE21" s="117">
        <v>18.934572208317601</v>
      </c>
      <c r="AF21" s="117">
        <v>0</v>
      </c>
      <c r="AG21" s="117">
        <v>1.48659913098689</v>
      </c>
      <c r="AH21" s="117">
        <v>0.45832296125788102</v>
      </c>
      <c r="AI21" s="117">
        <v>6.7418018913693696E-14</v>
      </c>
      <c r="AJ21" s="117">
        <v>0</v>
      </c>
      <c r="AK21" s="117">
        <v>2.8377393648131002</v>
      </c>
      <c r="AL21" s="117">
        <v>0</v>
      </c>
      <c r="AM21" s="117">
        <v>0</v>
      </c>
      <c r="AN21" s="117">
        <v>459.12561833129899</v>
      </c>
      <c r="AO21" s="117">
        <v>0</v>
      </c>
      <c r="AP21" s="117">
        <v>0</v>
      </c>
      <c r="AQ21" s="117">
        <v>0</v>
      </c>
      <c r="AR21" s="117">
        <v>0</v>
      </c>
      <c r="AS21" s="117">
        <v>0</v>
      </c>
      <c r="AT21" s="118">
        <v>0</v>
      </c>
    </row>
    <row r="22" spans="2:46" ht="12" customHeight="1" x14ac:dyDescent="0.25">
      <c r="B22" s="116" t="s">
        <v>22</v>
      </c>
      <c r="C22" s="117" t="s">
        <v>38</v>
      </c>
      <c r="D22" s="117" t="s">
        <v>24</v>
      </c>
      <c r="E22" s="117" t="s">
        <v>24</v>
      </c>
      <c r="F22" s="117" t="s">
        <v>25</v>
      </c>
      <c r="G22" s="117" t="s">
        <v>39</v>
      </c>
      <c r="H22" s="117" t="s">
        <v>68</v>
      </c>
      <c r="I22" s="117" t="s">
        <v>25</v>
      </c>
      <c r="J22" s="117">
        <v>712.18</v>
      </c>
      <c r="K22" s="117">
        <v>269.77</v>
      </c>
      <c r="L22" s="117">
        <v>0</v>
      </c>
      <c r="M22" s="117">
        <v>1.3579386744728199</v>
      </c>
      <c r="N22" s="117">
        <v>6.9079016806920004</v>
      </c>
      <c r="O22" s="117">
        <v>0</v>
      </c>
      <c r="P22" s="117">
        <v>0</v>
      </c>
      <c r="Q22" s="117">
        <v>89.580775441589395</v>
      </c>
      <c r="R22" s="117">
        <v>13.8528390755919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166.58599776751899</v>
      </c>
      <c r="Y22" s="117">
        <v>0</v>
      </c>
      <c r="Z22" s="117">
        <v>0</v>
      </c>
      <c r="AA22" s="117">
        <v>413.01880926341499</v>
      </c>
      <c r="AB22" s="117">
        <v>0</v>
      </c>
      <c r="AC22" s="117">
        <v>0</v>
      </c>
      <c r="AD22" s="117">
        <v>0</v>
      </c>
      <c r="AE22" s="117">
        <v>18.934572208317601</v>
      </c>
      <c r="AF22" s="117">
        <v>0</v>
      </c>
      <c r="AG22" s="117">
        <v>1.48659913098689</v>
      </c>
      <c r="AH22" s="117">
        <v>0.45832296125788102</v>
      </c>
      <c r="AI22" s="117">
        <v>6.7418018913693696E-14</v>
      </c>
      <c r="AJ22" s="117">
        <v>0</v>
      </c>
      <c r="AK22" s="117">
        <v>2.8377393648131002</v>
      </c>
      <c r="AL22" s="117">
        <v>0</v>
      </c>
      <c r="AM22" s="117">
        <v>0</v>
      </c>
      <c r="AN22" s="117">
        <v>266.93349902982499</v>
      </c>
      <c r="AO22" s="117">
        <v>0</v>
      </c>
      <c r="AP22" s="117">
        <v>0</v>
      </c>
      <c r="AQ22" s="117">
        <v>0</v>
      </c>
      <c r="AR22" s="117">
        <v>0</v>
      </c>
      <c r="AS22" s="117">
        <v>0</v>
      </c>
      <c r="AT22" s="118">
        <v>0</v>
      </c>
    </row>
    <row r="23" spans="2:46" ht="12" customHeight="1" x14ac:dyDescent="0.25">
      <c r="B23" s="116" t="s">
        <v>22</v>
      </c>
      <c r="C23" s="117" t="s">
        <v>38</v>
      </c>
      <c r="D23" s="117" t="s">
        <v>24</v>
      </c>
      <c r="E23" s="117" t="s">
        <v>24</v>
      </c>
      <c r="F23" s="117" t="s">
        <v>25</v>
      </c>
      <c r="G23" s="117" t="s">
        <v>37</v>
      </c>
      <c r="H23" s="117" t="s">
        <v>68</v>
      </c>
      <c r="I23" s="117" t="s">
        <v>25</v>
      </c>
      <c r="J23" s="117">
        <v>321.52999999999997</v>
      </c>
      <c r="K23" s="117">
        <v>269.77</v>
      </c>
      <c r="L23" s="117">
        <v>0</v>
      </c>
      <c r="M23" s="117">
        <v>1.3579386744728199</v>
      </c>
      <c r="N23" s="117">
        <v>2.6616115879753899</v>
      </c>
      <c r="O23" s="117">
        <v>0</v>
      </c>
      <c r="P23" s="117">
        <v>0</v>
      </c>
      <c r="Q23" s="117">
        <v>89.580775441589395</v>
      </c>
      <c r="R23" s="117">
        <v>13.8528390755919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55.528665922506399</v>
      </c>
      <c r="Y23" s="117">
        <v>0</v>
      </c>
      <c r="Z23" s="117">
        <v>0</v>
      </c>
      <c r="AA23" s="117">
        <v>137.67293642113799</v>
      </c>
      <c r="AB23" s="117">
        <v>0</v>
      </c>
      <c r="AC23" s="117">
        <v>0</v>
      </c>
      <c r="AD23" s="117">
        <v>0</v>
      </c>
      <c r="AE23" s="117">
        <v>18.934572208317601</v>
      </c>
      <c r="AF23" s="117">
        <v>0</v>
      </c>
      <c r="AG23" s="117">
        <v>1.48659913098689</v>
      </c>
      <c r="AH23" s="117">
        <v>0.45832296125788102</v>
      </c>
      <c r="AI23" s="117">
        <v>6.7418018913693696E-14</v>
      </c>
      <c r="AJ23" s="117">
        <v>0</v>
      </c>
      <c r="AK23" s="117">
        <v>2.8377393648131002</v>
      </c>
      <c r="AL23" s="117">
        <v>0</v>
      </c>
      <c r="AM23" s="117">
        <v>0</v>
      </c>
      <c r="AN23" s="117">
        <v>266.93349902982499</v>
      </c>
      <c r="AO23" s="117">
        <v>0</v>
      </c>
      <c r="AP23" s="117">
        <v>0</v>
      </c>
      <c r="AQ23" s="117">
        <v>0</v>
      </c>
      <c r="AR23" s="117">
        <v>0</v>
      </c>
      <c r="AS23" s="117">
        <v>0</v>
      </c>
      <c r="AT23" s="118">
        <v>0</v>
      </c>
    </row>
    <row r="24" spans="2:46" ht="12" customHeight="1" x14ac:dyDescent="0.25">
      <c r="B24" s="116" t="s">
        <v>22</v>
      </c>
      <c r="C24" s="117" t="s">
        <v>23</v>
      </c>
      <c r="D24" s="117" t="s">
        <v>24</v>
      </c>
      <c r="E24" s="117" t="s">
        <v>1185</v>
      </c>
      <c r="F24" s="117" t="s">
        <v>25</v>
      </c>
      <c r="G24" s="117" t="s">
        <v>25</v>
      </c>
      <c r="H24" s="117" t="s">
        <v>68</v>
      </c>
      <c r="I24" s="117" t="s">
        <v>25</v>
      </c>
      <c r="J24" s="117">
        <v>371.56</v>
      </c>
      <c r="K24" s="117">
        <v>285.79000000000002</v>
      </c>
      <c r="L24" s="117">
        <v>0</v>
      </c>
      <c r="M24" s="117">
        <v>1.3579386744728199</v>
      </c>
      <c r="N24" s="117">
        <v>4.3172697085187997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99.158359423231801</v>
      </c>
      <c r="Y24" s="117">
        <v>0</v>
      </c>
      <c r="Z24" s="117">
        <v>0</v>
      </c>
      <c r="AA24" s="117">
        <v>245.844521523955</v>
      </c>
      <c r="AB24" s="117">
        <v>0</v>
      </c>
      <c r="AC24" s="117">
        <v>0</v>
      </c>
      <c r="AD24" s="117">
        <v>0</v>
      </c>
      <c r="AE24" s="117">
        <v>18.934572208317601</v>
      </c>
      <c r="AF24" s="117">
        <v>0</v>
      </c>
      <c r="AG24" s="117">
        <v>1.48659913098689</v>
      </c>
      <c r="AH24" s="117">
        <v>0.45832296125788102</v>
      </c>
      <c r="AI24" s="117">
        <v>6.7418018913693696E-14</v>
      </c>
      <c r="AJ24" s="117">
        <v>0</v>
      </c>
      <c r="AK24" s="117">
        <v>2.8377393648131002</v>
      </c>
      <c r="AL24" s="117">
        <v>0</v>
      </c>
      <c r="AM24" s="117">
        <v>0</v>
      </c>
      <c r="AN24" s="117">
        <v>282.94950897161402</v>
      </c>
      <c r="AO24" s="117">
        <v>0</v>
      </c>
      <c r="AP24" s="117">
        <v>0</v>
      </c>
      <c r="AQ24" s="117">
        <v>0</v>
      </c>
      <c r="AR24" s="117">
        <v>0</v>
      </c>
      <c r="AS24" s="117">
        <v>0</v>
      </c>
      <c r="AT24" s="118">
        <v>0</v>
      </c>
    </row>
    <row r="25" spans="2:46" ht="12" customHeight="1" x14ac:dyDescent="0.25">
      <c r="B25" s="116" t="s">
        <v>22</v>
      </c>
      <c r="C25" s="117" t="s">
        <v>23</v>
      </c>
      <c r="D25" s="117" t="s">
        <v>24</v>
      </c>
      <c r="E25" s="117" t="s">
        <v>24</v>
      </c>
      <c r="F25" s="117" t="s">
        <v>25</v>
      </c>
      <c r="G25" s="117" t="s">
        <v>25</v>
      </c>
      <c r="H25" s="117" t="s">
        <v>68</v>
      </c>
      <c r="I25" s="117" t="s">
        <v>25</v>
      </c>
      <c r="J25" s="117">
        <v>475</v>
      </c>
      <c r="K25" s="117">
        <v>285.79000000000002</v>
      </c>
      <c r="L25" s="117">
        <v>0</v>
      </c>
      <c r="M25" s="117">
        <v>1.3579386744728199</v>
      </c>
      <c r="N25" s="117">
        <v>4.3297971605062298</v>
      </c>
      <c r="O25" s="117">
        <v>0</v>
      </c>
      <c r="P25" s="117">
        <v>0</v>
      </c>
      <c r="Q25" s="117">
        <v>89.580775441589395</v>
      </c>
      <c r="R25" s="117">
        <v>13.8528390755919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99.158359423231801</v>
      </c>
      <c r="Y25" s="117">
        <v>0</v>
      </c>
      <c r="Z25" s="117">
        <v>0</v>
      </c>
      <c r="AA25" s="117">
        <v>245.844521523955</v>
      </c>
      <c r="AB25" s="117">
        <v>0</v>
      </c>
      <c r="AC25" s="117">
        <v>0</v>
      </c>
      <c r="AD25" s="117">
        <v>0</v>
      </c>
      <c r="AE25" s="117">
        <v>18.934572208317601</v>
      </c>
      <c r="AF25" s="117">
        <v>0</v>
      </c>
      <c r="AG25" s="117">
        <v>1.48659913098689</v>
      </c>
      <c r="AH25" s="117">
        <v>0.45832296125788102</v>
      </c>
      <c r="AI25" s="117">
        <v>6.7418018913693696E-14</v>
      </c>
      <c r="AJ25" s="117">
        <v>0</v>
      </c>
      <c r="AK25" s="117">
        <v>2.8377393648131002</v>
      </c>
      <c r="AL25" s="117">
        <v>0</v>
      </c>
      <c r="AM25" s="117">
        <v>0</v>
      </c>
      <c r="AN25" s="117">
        <v>282.94950897161402</v>
      </c>
      <c r="AO25" s="117">
        <v>0</v>
      </c>
      <c r="AP25" s="117">
        <v>0</v>
      </c>
      <c r="AQ25" s="117">
        <v>0</v>
      </c>
      <c r="AR25" s="117">
        <v>0</v>
      </c>
      <c r="AS25" s="117">
        <v>0</v>
      </c>
      <c r="AT25" s="118">
        <v>0</v>
      </c>
    </row>
    <row r="26" spans="2:46" ht="12" customHeight="1" x14ac:dyDescent="0.25">
      <c r="B26" s="116" t="s">
        <v>22</v>
      </c>
      <c r="C26" s="117" t="s">
        <v>84</v>
      </c>
      <c r="D26" s="117" t="s">
        <v>24</v>
      </c>
      <c r="E26" s="117" t="s">
        <v>1185</v>
      </c>
      <c r="F26" s="117" t="s">
        <v>25</v>
      </c>
      <c r="G26" s="117" t="s">
        <v>25</v>
      </c>
      <c r="H26" s="117" t="s">
        <v>68</v>
      </c>
      <c r="I26" s="117" t="s">
        <v>25</v>
      </c>
      <c r="J26" s="117">
        <v>371.56</v>
      </c>
      <c r="K26" s="117">
        <v>285.79000000000002</v>
      </c>
      <c r="L26" s="117">
        <v>0</v>
      </c>
      <c r="M26" s="117">
        <v>1.3579386744728199</v>
      </c>
      <c r="N26" s="117">
        <v>4.3172697085187997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99.158359423231801</v>
      </c>
      <c r="Y26" s="117">
        <v>0</v>
      </c>
      <c r="Z26" s="117">
        <v>0</v>
      </c>
      <c r="AA26" s="117">
        <v>245.844521523955</v>
      </c>
      <c r="AB26" s="117">
        <v>0</v>
      </c>
      <c r="AC26" s="117">
        <v>0</v>
      </c>
      <c r="AD26" s="117">
        <v>0</v>
      </c>
      <c r="AE26" s="117">
        <v>18.934572208317601</v>
      </c>
      <c r="AF26" s="117">
        <v>0</v>
      </c>
      <c r="AG26" s="117">
        <v>1.48659913098689</v>
      </c>
      <c r="AH26" s="117">
        <v>0.45832296125788102</v>
      </c>
      <c r="AI26" s="117">
        <v>6.7418018913693696E-14</v>
      </c>
      <c r="AJ26" s="117">
        <v>0</v>
      </c>
      <c r="AK26" s="117">
        <v>2.8377393648131002</v>
      </c>
      <c r="AL26" s="117">
        <v>0</v>
      </c>
      <c r="AM26" s="117">
        <v>0</v>
      </c>
      <c r="AN26" s="117">
        <v>282.94950897161402</v>
      </c>
      <c r="AO26" s="117">
        <v>0</v>
      </c>
      <c r="AP26" s="117">
        <v>0</v>
      </c>
      <c r="AQ26" s="117">
        <v>0</v>
      </c>
      <c r="AR26" s="117">
        <v>0</v>
      </c>
      <c r="AS26" s="117">
        <v>0</v>
      </c>
      <c r="AT26" s="118">
        <v>0</v>
      </c>
    </row>
    <row r="27" spans="2:46" ht="12" customHeight="1" x14ac:dyDescent="0.25">
      <c r="B27" s="116" t="s">
        <v>22</v>
      </c>
      <c r="C27" s="117" t="s">
        <v>84</v>
      </c>
      <c r="D27" s="117" t="s">
        <v>24</v>
      </c>
      <c r="E27" s="117" t="s">
        <v>24</v>
      </c>
      <c r="F27" s="117" t="s">
        <v>25</v>
      </c>
      <c r="G27" s="117" t="s">
        <v>25</v>
      </c>
      <c r="H27" s="117" t="s">
        <v>68</v>
      </c>
      <c r="I27" s="117" t="s">
        <v>25</v>
      </c>
      <c r="J27" s="117">
        <v>475</v>
      </c>
      <c r="K27" s="117">
        <v>285.79000000000002</v>
      </c>
      <c r="L27" s="117">
        <v>0</v>
      </c>
      <c r="M27" s="117">
        <v>1.3579386744728199</v>
      </c>
      <c r="N27" s="117">
        <v>4.3297971605062298</v>
      </c>
      <c r="O27" s="117">
        <v>0</v>
      </c>
      <c r="P27" s="117">
        <v>0</v>
      </c>
      <c r="Q27" s="117">
        <v>89.580775441589395</v>
      </c>
      <c r="R27" s="117">
        <v>13.8528390755919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99.158359423231801</v>
      </c>
      <c r="Y27" s="117">
        <v>0</v>
      </c>
      <c r="Z27" s="117">
        <v>0</v>
      </c>
      <c r="AA27" s="117">
        <v>245.844521523955</v>
      </c>
      <c r="AB27" s="117">
        <v>0</v>
      </c>
      <c r="AC27" s="117">
        <v>0</v>
      </c>
      <c r="AD27" s="117">
        <v>0</v>
      </c>
      <c r="AE27" s="117">
        <v>18.934572208317601</v>
      </c>
      <c r="AF27" s="117">
        <v>0</v>
      </c>
      <c r="AG27" s="117">
        <v>1.48659913098689</v>
      </c>
      <c r="AH27" s="117">
        <v>0.45832296125788102</v>
      </c>
      <c r="AI27" s="117">
        <v>6.7418018913693696E-14</v>
      </c>
      <c r="AJ27" s="117">
        <v>0</v>
      </c>
      <c r="AK27" s="117">
        <v>2.8377393648131002</v>
      </c>
      <c r="AL27" s="117">
        <v>0</v>
      </c>
      <c r="AM27" s="117">
        <v>0</v>
      </c>
      <c r="AN27" s="117">
        <v>282.94950897161402</v>
      </c>
      <c r="AO27" s="117">
        <v>0</v>
      </c>
      <c r="AP27" s="117">
        <v>0</v>
      </c>
      <c r="AQ27" s="117">
        <v>0</v>
      </c>
      <c r="AR27" s="117">
        <v>0</v>
      </c>
      <c r="AS27" s="117">
        <v>0</v>
      </c>
      <c r="AT27" s="118">
        <v>0</v>
      </c>
    </row>
    <row r="28" spans="2:46" ht="12" customHeight="1" x14ac:dyDescent="0.25">
      <c r="B28" s="116" t="s">
        <v>41</v>
      </c>
      <c r="C28" s="117" t="s">
        <v>38</v>
      </c>
      <c r="D28" s="117" t="s">
        <v>42</v>
      </c>
      <c r="E28" s="117" t="s">
        <v>85</v>
      </c>
      <c r="F28" s="117" t="s">
        <v>25</v>
      </c>
      <c r="G28" s="117" t="s">
        <v>36</v>
      </c>
      <c r="H28" s="117" t="s">
        <v>68</v>
      </c>
      <c r="I28" s="117" t="s">
        <v>25</v>
      </c>
      <c r="J28" s="117">
        <v>118.64</v>
      </c>
      <c r="K28" s="117">
        <v>434.25</v>
      </c>
      <c r="L28" s="117">
        <v>0</v>
      </c>
      <c r="M28" s="117">
        <v>1.27646235400445</v>
      </c>
      <c r="N28" s="117">
        <v>0.50615854912005498</v>
      </c>
      <c r="O28" s="117">
        <v>0</v>
      </c>
      <c r="P28" s="117">
        <v>0</v>
      </c>
      <c r="Q28" s="117">
        <v>84.205928915094006</v>
      </c>
      <c r="R28" s="117">
        <v>13.021668731056399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0</v>
      </c>
      <c r="Y28" s="117">
        <v>0</v>
      </c>
      <c r="Z28" s="117">
        <v>0</v>
      </c>
      <c r="AA28" s="117">
        <v>0</v>
      </c>
      <c r="AB28" s="117">
        <v>0</v>
      </c>
      <c r="AC28" s="117">
        <v>0</v>
      </c>
      <c r="AD28" s="117">
        <v>0</v>
      </c>
      <c r="AE28" s="117">
        <v>17.798497875818601</v>
      </c>
      <c r="AF28" s="117">
        <v>0</v>
      </c>
      <c r="AG28" s="117">
        <v>1.3974031831276801</v>
      </c>
      <c r="AH28" s="117">
        <v>0.43082358358240802</v>
      </c>
      <c r="AI28" s="117">
        <v>6.3372937778872103E-14</v>
      </c>
      <c r="AJ28" s="117">
        <v>0</v>
      </c>
      <c r="AK28" s="117">
        <v>2.6674750029243102</v>
      </c>
      <c r="AL28" s="117">
        <v>0</v>
      </c>
      <c r="AM28" s="117">
        <v>0</v>
      </c>
      <c r="AN28" s="117">
        <v>431.57808123142098</v>
      </c>
      <c r="AO28" s="117">
        <v>0</v>
      </c>
      <c r="AP28" s="117">
        <v>0</v>
      </c>
      <c r="AQ28" s="117">
        <v>0</v>
      </c>
      <c r="AR28" s="117">
        <v>0</v>
      </c>
      <c r="AS28" s="117">
        <v>0</v>
      </c>
      <c r="AT28" s="118">
        <v>0</v>
      </c>
    </row>
    <row r="29" spans="2:46" ht="12" customHeight="1" x14ac:dyDescent="0.25">
      <c r="B29" s="116" t="s">
        <v>41</v>
      </c>
      <c r="C29" s="117" t="s">
        <v>38</v>
      </c>
      <c r="D29" s="117" t="s">
        <v>42</v>
      </c>
      <c r="E29" s="117" t="s">
        <v>85</v>
      </c>
      <c r="F29" s="117" t="s">
        <v>25</v>
      </c>
      <c r="G29" s="117" t="s">
        <v>39</v>
      </c>
      <c r="H29" s="117" t="s">
        <v>68</v>
      </c>
      <c r="I29" s="117" t="s">
        <v>25</v>
      </c>
      <c r="J29" s="117">
        <v>118.64</v>
      </c>
      <c r="K29" s="117">
        <v>253.58</v>
      </c>
      <c r="L29" s="117">
        <v>0</v>
      </c>
      <c r="M29" s="117">
        <v>1.27646235400445</v>
      </c>
      <c r="N29" s="117">
        <v>0.50615854912005498</v>
      </c>
      <c r="O29" s="117">
        <v>0</v>
      </c>
      <c r="P29" s="117">
        <v>0</v>
      </c>
      <c r="Q29" s="117">
        <v>84.205928915094006</v>
      </c>
      <c r="R29" s="117">
        <v>13.021668731056399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0</v>
      </c>
      <c r="Y29" s="117">
        <v>0</v>
      </c>
      <c r="Z29" s="117">
        <v>0</v>
      </c>
      <c r="AA29" s="117">
        <v>0</v>
      </c>
      <c r="AB29" s="117">
        <v>0</v>
      </c>
      <c r="AC29" s="117">
        <v>0</v>
      </c>
      <c r="AD29" s="117">
        <v>0</v>
      </c>
      <c r="AE29" s="117">
        <v>17.798497875818601</v>
      </c>
      <c r="AF29" s="117">
        <v>0</v>
      </c>
      <c r="AG29" s="117">
        <v>1.3974031831276801</v>
      </c>
      <c r="AH29" s="117">
        <v>0.43082358358240802</v>
      </c>
      <c r="AI29" s="117">
        <v>6.3372937778872103E-14</v>
      </c>
      <c r="AJ29" s="117">
        <v>0</v>
      </c>
      <c r="AK29" s="117">
        <v>2.6674750029243102</v>
      </c>
      <c r="AL29" s="117">
        <v>0</v>
      </c>
      <c r="AM29" s="117">
        <v>0</v>
      </c>
      <c r="AN29" s="117">
        <v>250.91748908803501</v>
      </c>
      <c r="AO29" s="117">
        <v>0</v>
      </c>
      <c r="AP29" s="117">
        <v>0</v>
      </c>
      <c r="AQ29" s="117">
        <v>0</v>
      </c>
      <c r="AR29" s="117">
        <v>0</v>
      </c>
      <c r="AS29" s="117">
        <v>0</v>
      </c>
      <c r="AT29" s="118">
        <v>0</v>
      </c>
    </row>
    <row r="30" spans="2:46" ht="12" customHeight="1" x14ac:dyDescent="0.25">
      <c r="B30" s="116" t="s">
        <v>41</v>
      </c>
      <c r="C30" s="117" t="s">
        <v>38</v>
      </c>
      <c r="D30" s="117" t="s">
        <v>42</v>
      </c>
      <c r="E30" s="117" t="s">
        <v>85</v>
      </c>
      <c r="F30" s="117" t="s">
        <v>25</v>
      </c>
      <c r="G30" s="117" t="s">
        <v>37</v>
      </c>
      <c r="H30" s="117" t="s">
        <v>68</v>
      </c>
      <c r="I30" s="117" t="s">
        <v>25</v>
      </c>
      <c r="J30" s="117">
        <v>118.64</v>
      </c>
      <c r="K30" s="117">
        <v>253.58</v>
      </c>
      <c r="L30" s="117">
        <v>0</v>
      </c>
      <c r="M30" s="117">
        <v>1.27646235400445</v>
      </c>
      <c r="N30" s="117">
        <v>0.50615854912005498</v>
      </c>
      <c r="O30" s="117">
        <v>0</v>
      </c>
      <c r="P30" s="117">
        <v>0</v>
      </c>
      <c r="Q30" s="117">
        <v>84.205928915094006</v>
      </c>
      <c r="R30" s="117">
        <v>13.021668731056399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0</v>
      </c>
      <c r="Y30" s="117">
        <v>0</v>
      </c>
      <c r="Z30" s="117">
        <v>0</v>
      </c>
      <c r="AA30" s="117">
        <v>0</v>
      </c>
      <c r="AB30" s="117">
        <v>0</v>
      </c>
      <c r="AC30" s="117">
        <v>0</v>
      </c>
      <c r="AD30" s="117">
        <v>0</v>
      </c>
      <c r="AE30" s="117">
        <v>17.798497875818601</v>
      </c>
      <c r="AF30" s="117">
        <v>0</v>
      </c>
      <c r="AG30" s="117">
        <v>1.3974031831276801</v>
      </c>
      <c r="AH30" s="117">
        <v>0.43082358358240802</v>
      </c>
      <c r="AI30" s="117">
        <v>6.3372937778872103E-14</v>
      </c>
      <c r="AJ30" s="117">
        <v>0</v>
      </c>
      <c r="AK30" s="117">
        <v>2.6674750029243102</v>
      </c>
      <c r="AL30" s="117">
        <v>0</v>
      </c>
      <c r="AM30" s="117">
        <v>0</v>
      </c>
      <c r="AN30" s="117">
        <v>250.91748908803501</v>
      </c>
      <c r="AO30" s="117">
        <v>0</v>
      </c>
      <c r="AP30" s="117">
        <v>0</v>
      </c>
      <c r="AQ30" s="117">
        <v>0</v>
      </c>
      <c r="AR30" s="117">
        <v>0</v>
      </c>
      <c r="AS30" s="117">
        <v>0</v>
      </c>
      <c r="AT30" s="118">
        <v>0</v>
      </c>
    </row>
    <row r="31" spans="2:46" ht="12" customHeight="1" x14ac:dyDescent="0.25">
      <c r="B31" s="116" t="s">
        <v>41</v>
      </c>
      <c r="C31" s="117" t="s">
        <v>38</v>
      </c>
      <c r="D31" s="117" t="s">
        <v>42</v>
      </c>
      <c r="E31" s="117" t="s">
        <v>25</v>
      </c>
      <c r="F31" s="117" t="s">
        <v>25</v>
      </c>
      <c r="G31" s="117" t="s">
        <v>36</v>
      </c>
      <c r="H31" s="117" t="s">
        <v>68</v>
      </c>
      <c r="I31" s="117" t="s">
        <v>25</v>
      </c>
      <c r="J31" s="117">
        <v>118.64</v>
      </c>
      <c r="K31" s="117">
        <v>434.25</v>
      </c>
      <c r="L31" s="117">
        <v>0</v>
      </c>
      <c r="M31" s="117">
        <v>1.27646235400445</v>
      </c>
      <c r="N31" s="117">
        <v>0.50615854912005498</v>
      </c>
      <c r="O31" s="117">
        <v>0</v>
      </c>
      <c r="P31" s="117">
        <v>0</v>
      </c>
      <c r="Q31" s="117">
        <v>84.205928915094006</v>
      </c>
      <c r="R31" s="117">
        <v>13.021668731056399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0</v>
      </c>
      <c r="Y31" s="117">
        <v>0</v>
      </c>
      <c r="Z31" s="117">
        <v>0</v>
      </c>
      <c r="AA31" s="117">
        <v>0</v>
      </c>
      <c r="AB31" s="117">
        <v>0</v>
      </c>
      <c r="AC31" s="117">
        <v>0</v>
      </c>
      <c r="AD31" s="117">
        <v>0</v>
      </c>
      <c r="AE31" s="117">
        <v>17.798497875818601</v>
      </c>
      <c r="AF31" s="117">
        <v>0</v>
      </c>
      <c r="AG31" s="117">
        <v>1.3974031831276801</v>
      </c>
      <c r="AH31" s="117">
        <v>0.43082358358240802</v>
      </c>
      <c r="AI31" s="117">
        <v>6.3372937778872103E-14</v>
      </c>
      <c r="AJ31" s="117">
        <v>0</v>
      </c>
      <c r="AK31" s="117">
        <v>2.6674750029243102</v>
      </c>
      <c r="AL31" s="117">
        <v>0</v>
      </c>
      <c r="AM31" s="117">
        <v>0</v>
      </c>
      <c r="AN31" s="117">
        <v>431.57808123142098</v>
      </c>
      <c r="AO31" s="117">
        <v>0</v>
      </c>
      <c r="AP31" s="117">
        <v>0</v>
      </c>
      <c r="AQ31" s="117">
        <v>0</v>
      </c>
      <c r="AR31" s="117">
        <v>0</v>
      </c>
      <c r="AS31" s="117">
        <v>0</v>
      </c>
      <c r="AT31" s="118">
        <v>0</v>
      </c>
    </row>
    <row r="32" spans="2:46" ht="12" customHeight="1" x14ac:dyDescent="0.25">
      <c r="B32" s="116" t="s">
        <v>41</v>
      </c>
      <c r="C32" s="117" t="s">
        <v>38</v>
      </c>
      <c r="D32" s="117" t="s">
        <v>42</v>
      </c>
      <c r="E32" s="117" t="s">
        <v>25</v>
      </c>
      <c r="F32" s="117" t="s">
        <v>25</v>
      </c>
      <c r="G32" s="117" t="s">
        <v>39</v>
      </c>
      <c r="H32" s="117" t="s">
        <v>68</v>
      </c>
      <c r="I32" s="117" t="s">
        <v>25</v>
      </c>
      <c r="J32" s="117">
        <v>118.64</v>
      </c>
      <c r="K32" s="117">
        <v>253.58</v>
      </c>
      <c r="L32" s="117">
        <v>0</v>
      </c>
      <c r="M32" s="117">
        <v>1.27646235400445</v>
      </c>
      <c r="N32" s="117">
        <v>0.50615854912005498</v>
      </c>
      <c r="O32" s="117">
        <v>0</v>
      </c>
      <c r="P32" s="117">
        <v>0</v>
      </c>
      <c r="Q32" s="117">
        <v>84.205928915094006</v>
      </c>
      <c r="R32" s="117">
        <v>13.021668731056399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0</v>
      </c>
      <c r="Y32" s="117">
        <v>0</v>
      </c>
      <c r="Z32" s="117">
        <v>0</v>
      </c>
      <c r="AA32" s="117">
        <v>0</v>
      </c>
      <c r="AB32" s="117">
        <v>0</v>
      </c>
      <c r="AC32" s="117">
        <v>0</v>
      </c>
      <c r="AD32" s="117">
        <v>0</v>
      </c>
      <c r="AE32" s="117">
        <v>17.798497875818601</v>
      </c>
      <c r="AF32" s="117">
        <v>0</v>
      </c>
      <c r="AG32" s="117">
        <v>1.3974031831276801</v>
      </c>
      <c r="AH32" s="117">
        <v>0.43082358358240802</v>
      </c>
      <c r="AI32" s="117">
        <v>6.3372937778872103E-14</v>
      </c>
      <c r="AJ32" s="117">
        <v>0</v>
      </c>
      <c r="AK32" s="117">
        <v>2.6674750029243102</v>
      </c>
      <c r="AL32" s="117">
        <v>0</v>
      </c>
      <c r="AM32" s="117">
        <v>0</v>
      </c>
      <c r="AN32" s="117">
        <v>250.91748908803501</v>
      </c>
      <c r="AO32" s="117">
        <v>0</v>
      </c>
      <c r="AP32" s="117">
        <v>0</v>
      </c>
      <c r="AQ32" s="117">
        <v>0</v>
      </c>
      <c r="AR32" s="117">
        <v>0</v>
      </c>
      <c r="AS32" s="117">
        <v>0</v>
      </c>
      <c r="AT32" s="118">
        <v>0</v>
      </c>
    </row>
    <row r="33" spans="2:46" ht="12" customHeight="1" x14ac:dyDescent="0.25">
      <c r="B33" s="116" t="s">
        <v>41</v>
      </c>
      <c r="C33" s="117" t="s">
        <v>38</v>
      </c>
      <c r="D33" s="117" t="s">
        <v>42</v>
      </c>
      <c r="E33" s="117" t="s">
        <v>25</v>
      </c>
      <c r="F33" s="117" t="s">
        <v>25</v>
      </c>
      <c r="G33" s="117" t="s">
        <v>37</v>
      </c>
      <c r="H33" s="117" t="s">
        <v>68</v>
      </c>
      <c r="I33" s="117" t="s">
        <v>25</v>
      </c>
      <c r="J33" s="117">
        <v>118.64</v>
      </c>
      <c r="K33" s="117">
        <v>253.58</v>
      </c>
      <c r="L33" s="117">
        <v>0</v>
      </c>
      <c r="M33" s="117">
        <v>1.27646235400445</v>
      </c>
      <c r="N33" s="117">
        <v>0.50615854912005498</v>
      </c>
      <c r="O33" s="117">
        <v>0</v>
      </c>
      <c r="P33" s="117">
        <v>0</v>
      </c>
      <c r="Q33" s="117">
        <v>84.205928915094006</v>
      </c>
      <c r="R33" s="117">
        <v>13.021668731056399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0</v>
      </c>
      <c r="Y33" s="117">
        <v>0</v>
      </c>
      <c r="Z33" s="117">
        <v>0</v>
      </c>
      <c r="AA33" s="117">
        <v>0</v>
      </c>
      <c r="AB33" s="117">
        <v>0</v>
      </c>
      <c r="AC33" s="117">
        <v>0</v>
      </c>
      <c r="AD33" s="117">
        <v>0</v>
      </c>
      <c r="AE33" s="117">
        <v>17.798497875818601</v>
      </c>
      <c r="AF33" s="117">
        <v>0</v>
      </c>
      <c r="AG33" s="117">
        <v>1.3974031831276801</v>
      </c>
      <c r="AH33" s="117">
        <v>0.43082358358240802</v>
      </c>
      <c r="AI33" s="117">
        <v>6.3372937778872103E-14</v>
      </c>
      <c r="AJ33" s="117">
        <v>0</v>
      </c>
      <c r="AK33" s="117">
        <v>2.6674750029243102</v>
      </c>
      <c r="AL33" s="117">
        <v>0</v>
      </c>
      <c r="AM33" s="117">
        <v>0</v>
      </c>
      <c r="AN33" s="117">
        <v>250.91748908803501</v>
      </c>
      <c r="AO33" s="117">
        <v>0</v>
      </c>
      <c r="AP33" s="117">
        <v>0</v>
      </c>
      <c r="AQ33" s="117">
        <v>0</v>
      </c>
      <c r="AR33" s="117">
        <v>0</v>
      </c>
      <c r="AS33" s="117">
        <v>0</v>
      </c>
      <c r="AT33" s="118">
        <v>0</v>
      </c>
    </row>
    <row r="34" spans="2:46" ht="12" customHeight="1" x14ac:dyDescent="0.25">
      <c r="B34" s="116" t="s">
        <v>41</v>
      </c>
      <c r="C34" s="117" t="s">
        <v>38</v>
      </c>
      <c r="D34" s="117" t="s">
        <v>42</v>
      </c>
      <c r="E34" s="117" t="s">
        <v>86</v>
      </c>
      <c r="F34" s="117" t="s">
        <v>25</v>
      </c>
      <c r="G34" s="117" t="s">
        <v>36</v>
      </c>
      <c r="H34" s="117" t="s">
        <v>68</v>
      </c>
      <c r="I34" s="117" t="s">
        <v>25</v>
      </c>
      <c r="J34" s="117">
        <v>116.11</v>
      </c>
      <c r="K34" s="117">
        <v>425.01</v>
      </c>
      <c r="L34" s="117">
        <v>0</v>
      </c>
      <c r="M34" s="117">
        <v>1.2493035805149899</v>
      </c>
      <c r="N34" s="117">
        <v>0.49538921828771398</v>
      </c>
      <c r="O34" s="117">
        <v>0</v>
      </c>
      <c r="P34" s="117">
        <v>0</v>
      </c>
      <c r="Q34" s="117">
        <v>82.414313406262195</v>
      </c>
      <c r="R34" s="117">
        <v>12.744611949544501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0</v>
      </c>
      <c r="Y34" s="117">
        <v>0</v>
      </c>
      <c r="Z34" s="117">
        <v>0</v>
      </c>
      <c r="AA34" s="117">
        <v>0</v>
      </c>
      <c r="AB34" s="117">
        <v>0</v>
      </c>
      <c r="AC34" s="117">
        <v>0</v>
      </c>
      <c r="AD34" s="117">
        <v>0</v>
      </c>
      <c r="AE34" s="117">
        <v>17.419806431652201</v>
      </c>
      <c r="AF34" s="117">
        <v>0</v>
      </c>
      <c r="AG34" s="117">
        <v>1.3676712005079401</v>
      </c>
      <c r="AH34" s="117">
        <v>0.42165712435725</v>
      </c>
      <c r="AI34" s="117">
        <v>6.2024577400598196E-14</v>
      </c>
      <c r="AJ34" s="117">
        <v>0</v>
      </c>
      <c r="AK34" s="117">
        <v>2.6107202156280498</v>
      </c>
      <c r="AL34" s="117">
        <v>0</v>
      </c>
      <c r="AM34" s="117">
        <v>0</v>
      </c>
      <c r="AN34" s="117">
        <v>422.395568864795</v>
      </c>
      <c r="AO34" s="117">
        <v>0</v>
      </c>
      <c r="AP34" s="117">
        <v>0</v>
      </c>
      <c r="AQ34" s="117">
        <v>0</v>
      </c>
      <c r="AR34" s="117">
        <v>0</v>
      </c>
      <c r="AS34" s="117">
        <v>0</v>
      </c>
      <c r="AT34" s="118">
        <v>0</v>
      </c>
    </row>
    <row r="35" spans="2:46" ht="12" customHeight="1" x14ac:dyDescent="0.25">
      <c r="B35" s="116" t="s">
        <v>41</v>
      </c>
      <c r="C35" s="117" t="s">
        <v>38</v>
      </c>
      <c r="D35" s="117" t="s">
        <v>42</v>
      </c>
      <c r="E35" s="117" t="s">
        <v>86</v>
      </c>
      <c r="F35" s="117" t="s">
        <v>25</v>
      </c>
      <c r="G35" s="117" t="s">
        <v>39</v>
      </c>
      <c r="H35" s="117" t="s">
        <v>68</v>
      </c>
      <c r="I35" s="117" t="s">
        <v>25</v>
      </c>
      <c r="J35" s="117">
        <v>116.11</v>
      </c>
      <c r="K35" s="117">
        <v>248.19</v>
      </c>
      <c r="L35" s="117">
        <v>0</v>
      </c>
      <c r="M35" s="117">
        <v>1.2493035805149899</v>
      </c>
      <c r="N35" s="117">
        <v>0.49538921828771398</v>
      </c>
      <c r="O35" s="117">
        <v>0</v>
      </c>
      <c r="P35" s="117">
        <v>0</v>
      </c>
      <c r="Q35" s="117">
        <v>82.414313406262195</v>
      </c>
      <c r="R35" s="117">
        <v>12.744611949544501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0</v>
      </c>
      <c r="Y35" s="117">
        <v>0</v>
      </c>
      <c r="Z35" s="117">
        <v>0</v>
      </c>
      <c r="AA35" s="117">
        <v>0</v>
      </c>
      <c r="AB35" s="117">
        <v>0</v>
      </c>
      <c r="AC35" s="117">
        <v>0</v>
      </c>
      <c r="AD35" s="117">
        <v>0</v>
      </c>
      <c r="AE35" s="117">
        <v>17.419806431652201</v>
      </c>
      <c r="AF35" s="117">
        <v>0</v>
      </c>
      <c r="AG35" s="117">
        <v>1.3676712005079401</v>
      </c>
      <c r="AH35" s="117">
        <v>0.42165712435725</v>
      </c>
      <c r="AI35" s="117">
        <v>6.2024577400598196E-14</v>
      </c>
      <c r="AJ35" s="117">
        <v>0</v>
      </c>
      <c r="AK35" s="117">
        <v>2.6107202156280498</v>
      </c>
      <c r="AL35" s="117">
        <v>0</v>
      </c>
      <c r="AM35" s="117">
        <v>0</v>
      </c>
      <c r="AN35" s="117">
        <v>245.57881910743899</v>
      </c>
      <c r="AO35" s="117">
        <v>0</v>
      </c>
      <c r="AP35" s="117">
        <v>0</v>
      </c>
      <c r="AQ35" s="117">
        <v>0</v>
      </c>
      <c r="AR35" s="117">
        <v>0</v>
      </c>
      <c r="AS35" s="117">
        <v>0</v>
      </c>
      <c r="AT35" s="118">
        <v>0</v>
      </c>
    </row>
    <row r="36" spans="2:46" ht="12" customHeight="1" x14ac:dyDescent="0.25">
      <c r="B36" s="116" t="s">
        <v>41</v>
      </c>
      <c r="C36" s="117" t="s">
        <v>38</v>
      </c>
      <c r="D36" s="117" t="s">
        <v>42</v>
      </c>
      <c r="E36" s="117" t="s">
        <v>86</v>
      </c>
      <c r="F36" s="117" t="s">
        <v>25</v>
      </c>
      <c r="G36" s="117" t="s">
        <v>37</v>
      </c>
      <c r="H36" s="117" t="s">
        <v>68</v>
      </c>
      <c r="I36" s="117" t="s">
        <v>25</v>
      </c>
      <c r="J36" s="117">
        <v>116.11</v>
      </c>
      <c r="K36" s="117">
        <v>248.19</v>
      </c>
      <c r="L36" s="117">
        <v>0</v>
      </c>
      <c r="M36" s="117">
        <v>1.2493035805149899</v>
      </c>
      <c r="N36" s="117">
        <v>0.49538921828771398</v>
      </c>
      <c r="O36" s="117">
        <v>0</v>
      </c>
      <c r="P36" s="117">
        <v>0</v>
      </c>
      <c r="Q36" s="117">
        <v>82.414313406262195</v>
      </c>
      <c r="R36" s="117">
        <v>12.744611949544501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0</v>
      </c>
      <c r="Y36" s="117">
        <v>0</v>
      </c>
      <c r="Z36" s="117">
        <v>0</v>
      </c>
      <c r="AA36" s="117">
        <v>0</v>
      </c>
      <c r="AB36" s="117">
        <v>0</v>
      </c>
      <c r="AC36" s="117">
        <v>0</v>
      </c>
      <c r="AD36" s="117">
        <v>0</v>
      </c>
      <c r="AE36" s="117">
        <v>17.419806431652201</v>
      </c>
      <c r="AF36" s="117">
        <v>0</v>
      </c>
      <c r="AG36" s="117">
        <v>1.3676712005079401</v>
      </c>
      <c r="AH36" s="117">
        <v>0.42165712435725</v>
      </c>
      <c r="AI36" s="117">
        <v>6.2024577400598196E-14</v>
      </c>
      <c r="AJ36" s="117">
        <v>0</v>
      </c>
      <c r="AK36" s="117">
        <v>2.6107202156280498</v>
      </c>
      <c r="AL36" s="117">
        <v>0</v>
      </c>
      <c r="AM36" s="117">
        <v>0</v>
      </c>
      <c r="AN36" s="117">
        <v>245.57881910743899</v>
      </c>
      <c r="AO36" s="117">
        <v>0</v>
      </c>
      <c r="AP36" s="117">
        <v>0</v>
      </c>
      <c r="AQ36" s="117">
        <v>0</v>
      </c>
      <c r="AR36" s="117">
        <v>0</v>
      </c>
      <c r="AS36" s="117">
        <v>0</v>
      </c>
      <c r="AT36" s="118">
        <v>0</v>
      </c>
    </row>
    <row r="37" spans="2:46" ht="12" customHeight="1" x14ac:dyDescent="0.25">
      <c r="B37" s="116" t="s">
        <v>41</v>
      </c>
      <c r="C37" s="117" t="s">
        <v>23</v>
      </c>
      <c r="D37" s="117" t="s">
        <v>42</v>
      </c>
      <c r="E37" s="117" t="s">
        <v>85</v>
      </c>
      <c r="F37" s="117" t="s">
        <v>25</v>
      </c>
      <c r="G37" s="117" t="s">
        <v>25</v>
      </c>
      <c r="H37" s="117" t="s">
        <v>68</v>
      </c>
      <c r="I37" s="117" t="s">
        <v>25</v>
      </c>
      <c r="J37" s="117">
        <v>446.5</v>
      </c>
      <c r="K37" s="117">
        <v>268.64</v>
      </c>
      <c r="L37" s="117">
        <v>0</v>
      </c>
      <c r="M37" s="117">
        <v>1.27646235400445</v>
      </c>
      <c r="N37" s="117">
        <v>4.07000933087585</v>
      </c>
      <c r="O37" s="117">
        <v>0</v>
      </c>
      <c r="P37" s="117">
        <v>0</v>
      </c>
      <c r="Q37" s="117">
        <v>84.205928915094006</v>
      </c>
      <c r="R37" s="117">
        <v>13.021668731056399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93.208857857837899</v>
      </c>
      <c r="Y37" s="117">
        <v>0</v>
      </c>
      <c r="Z37" s="117">
        <v>0</v>
      </c>
      <c r="AA37" s="117">
        <v>231.09385023251801</v>
      </c>
      <c r="AB37" s="117">
        <v>0</v>
      </c>
      <c r="AC37" s="117">
        <v>0</v>
      </c>
      <c r="AD37" s="117">
        <v>0</v>
      </c>
      <c r="AE37" s="117">
        <v>17.798497875818601</v>
      </c>
      <c r="AF37" s="117">
        <v>0</v>
      </c>
      <c r="AG37" s="117">
        <v>1.3974031831276801</v>
      </c>
      <c r="AH37" s="117">
        <v>0.43082358358240802</v>
      </c>
      <c r="AI37" s="117">
        <v>6.3372937778872103E-14</v>
      </c>
      <c r="AJ37" s="117">
        <v>0</v>
      </c>
      <c r="AK37" s="117">
        <v>2.6674750029243102</v>
      </c>
      <c r="AL37" s="117">
        <v>0</v>
      </c>
      <c r="AM37" s="117">
        <v>0</v>
      </c>
      <c r="AN37" s="117">
        <v>265.97253843331703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8">
        <v>0</v>
      </c>
    </row>
    <row r="38" spans="2:46" ht="12" customHeight="1" x14ac:dyDescent="0.25">
      <c r="B38" s="116" t="s">
        <v>41</v>
      </c>
      <c r="C38" s="117" t="s">
        <v>23</v>
      </c>
      <c r="D38" s="117" t="s">
        <v>42</v>
      </c>
      <c r="E38" s="117" t="s">
        <v>25</v>
      </c>
      <c r="F38" s="117" t="s">
        <v>25</v>
      </c>
      <c r="G38" s="117" t="s">
        <v>25</v>
      </c>
      <c r="H38" s="117" t="s">
        <v>68</v>
      </c>
      <c r="I38" s="117" t="s">
        <v>25</v>
      </c>
      <c r="J38" s="117">
        <v>446.5</v>
      </c>
      <c r="K38" s="117">
        <v>268.64</v>
      </c>
      <c r="L38" s="117">
        <v>0</v>
      </c>
      <c r="M38" s="117">
        <v>1.27646235400445</v>
      </c>
      <c r="N38" s="117">
        <v>4.07000933087585</v>
      </c>
      <c r="O38" s="117">
        <v>0</v>
      </c>
      <c r="P38" s="117">
        <v>0</v>
      </c>
      <c r="Q38" s="117">
        <v>84.205928915094006</v>
      </c>
      <c r="R38" s="117">
        <v>13.021668731056399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93.208857857837899</v>
      </c>
      <c r="Y38" s="117">
        <v>0</v>
      </c>
      <c r="Z38" s="117">
        <v>0</v>
      </c>
      <c r="AA38" s="117">
        <v>231.09385023251801</v>
      </c>
      <c r="AB38" s="117">
        <v>0</v>
      </c>
      <c r="AC38" s="117">
        <v>0</v>
      </c>
      <c r="AD38" s="117">
        <v>0</v>
      </c>
      <c r="AE38" s="117">
        <v>17.798497875818601</v>
      </c>
      <c r="AF38" s="117">
        <v>0</v>
      </c>
      <c r="AG38" s="117">
        <v>1.3974031831276801</v>
      </c>
      <c r="AH38" s="117">
        <v>0.43082358358240802</v>
      </c>
      <c r="AI38" s="117">
        <v>6.3372937778872103E-14</v>
      </c>
      <c r="AJ38" s="117">
        <v>0</v>
      </c>
      <c r="AK38" s="117">
        <v>2.6674750029243102</v>
      </c>
      <c r="AL38" s="117">
        <v>0</v>
      </c>
      <c r="AM38" s="117">
        <v>0</v>
      </c>
      <c r="AN38" s="117">
        <v>265.97253843331703</v>
      </c>
      <c r="AO38" s="117">
        <v>0</v>
      </c>
      <c r="AP38" s="117">
        <v>0</v>
      </c>
      <c r="AQ38" s="117">
        <v>0</v>
      </c>
      <c r="AR38" s="117">
        <v>0</v>
      </c>
      <c r="AS38" s="117">
        <v>0</v>
      </c>
      <c r="AT38" s="118">
        <v>0</v>
      </c>
    </row>
    <row r="39" spans="2:46" ht="12" customHeight="1" x14ac:dyDescent="0.25">
      <c r="B39" s="116" t="s">
        <v>41</v>
      </c>
      <c r="C39" s="117" t="s">
        <v>23</v>
      </c>
      <c r="D39" s="117" t="s">
        <v>42</v>
      </c>
      <c r="E39" s="117" t="s">
        <v>86</v>
      </c>
      <c r="F39" s="117" t="s">
        <v>25</v>
      </c>
      <c r="G39" s="117" t="s">
        <v>25</v>
      </c>
      <c r="H39" s="117" t="s">
        <v>68</v>
      </c>
      <c r="I39" s="117" t="s">
        <v>25</v>
      </c>
      <c r="J39" s="117">
        <v>437</v>
      </c>
      <c r="K39" s="117">
        <v>262.92</v>
      </c>
      <c r="L39" s="117">
        <v>0</v>
      </c>
      <c r="M39" s="117">
        <v>1.2493035805149899</v>
      </c>
      <c r="N39" s="117">
        <v>3.9834133876657298</v>
      </c>
      <c r="O39" s="117">
        <v>0</v>
      </c>
      <c r="P39" s="117">
        <v>0</v>
      </c>
      <c r="Q39" s="117">
        <v>82.414313406262195</v>
      </c>
      <c r="R39" s="117">
        <v>12.744611949544501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91.225690669373293</v>
      </c>
      <c r="Y39" s="117">
        <v>0</v>
      </c>
      <c r="Z39" s="117">
        <v>0</v>
      </c>
      <c r="AA39" s="117">
        <v>226.17695980203899</v>
      </c>
      <c r="AB39" s="117">
        <v>0</v>
      </c>
      <c r="AC39" s="117">
        <v>0</v>
      </c>
      <c r="AD39" s="117">
        <v>0</v>
      </c>
      <c r="AE39" s="117">
        <v>17.419806431652201</v>
      </c>
      <c r="AF39" s="117">
        <v>0</v>
      </c>
      <c r="AG39" s="117">
        <v>1.3676712005079401</v>
      </c>
      <c r="AH39" s="117">
        <v>0.42165712435725</v>
      </c>
      <c r="AI39" s="117">
        <v>6.2024577400598196E-14</v>
      </c>
      <c r="AJ39" s="117">
        <v>0</v>
      </c>
      <c r="AK39" s="117">
        <v>2.6107202156280498</v>
      </c>
      <c r="AL39" s="117">
        <v>0</v>
      </c>
      <c r="AM39" s="117">
        <v>0</v>
      </c>
      <c r="AN39" s="117">
        <v>260.31354825388502</v>
      </c>
      <c r="AO39" s="117">
        <v>0</v>
      </c>
      <c r="AP39" s="117">
        <v>0</v>
      </c>
      <c r="AQ39" s="117">
        <v>0</v>
      </c>
      <c r="AR39" s="117">
        <v>0</v>
      </c>
      <c r="AS39" s="117">
        <v>0</v>
      </c>
      <c r="AT39" s="118">
        <v>0</v>
      </c>
    </row>
    <row r="40" spans="2:46" ht="12" customHeight="1" x14ac:dyDescent="0.25">
      <c r="B40" s="116" t="s">
        <v>41</v>
      </c>
      <c r="C40" s="117" t="s">
        <v>84</v>
      </c>
      <c r="D40" s="117" t="s">
        <v>42</v>
      </c>
      <c r="E40" s="117" t="s">
        <v>85</v>
      </c>
      <c r="F40" s="117" t="s">
        <v>25</v>
      </c>
      <c r="G40" s="117" t="s">
        <v>25</v>
      </c>
      <c r="H40" s="117" t="s">
        <v>68</v>
      </c>
      <c r="I40" s="117" t="s">
        <v>25</v>
      </c>
      <c r="J40" s="117">
        <v>446.5</v>
      </c>
      <c r="K40" s="117">
        <v>268.64</v>
      </c>
      <c r="L40" s="117">
        <v>0</v>
      </c>
      <c r="M40" s="117">
        <v>1.27646235400445</v>
      </c>
      <c r="N40" s="117">
        <v>4.07000933087585</v>
      </c>
      <c r="O40" s="117">
        <v>0</v>
      </c>
      <c r="P40" s="117">
        <v>0</v>
      </c>
      <c r="Q40" s="117">
        <v>84.205928915094006</v>
      </c>
      <c r="R40" s="117">
        <v>13.021668731056399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93.208857857837899</v>
      </c>
      <c r="Y40" s="117">
        <v>0</v>
      </c>
      <c r="Z40" s="117">
        <v>0</v>
      </c>
      <c r="AA40" s="117">
        <v>231.09385023251801</v>
      </c>
      <c r="AB40" s="117">
        <v>0</v>
      </c>
      <c r="AC40" s="117">
        <v>0</v>
      </c>
      <c r="AD40" s="117">
        <v>0</v>
      </c>
      <c r="AE40" s="117">
        <v>17.798497875818601</v>
      </c>
      <c r="AF40" s="117">
        <v>0</v>
      </c>
      <c r="AG40" s="117">
        <v>1.3974031831276801</v>
      </c>
      <c r="AH40" s="117">
        <v>0.43082358358240802</v>
      </c>
      <c r="AI40" s="117">
        <v>6.3372937778872103E-14</v>
      </c>
      <c r="AJ40" s="117">
        <v>0</v>
      </c>
      <c r="AK40" s="117">
        <v>2.6674750029243102</v>
      </c>
      <c r="AL40" s="117">
        <v>0</v>
      </c>
      <c r="AM40" s="117">
        <v>0</v>
      </c>
      <c r="AN40" s="117">
        <v>265.97253843331703</v>
      </c>
      <c r="AO40" s="117">
        <v>0</v>
      </c>
      <c r="AP40" s="117">
        <v>0</v>
      </c>
      <c r="AQ40" s="117">
        <v>0</v>
      </c>
      <c r="AR40" s="117">
        <v>0</v>
      </c>
      <c r="AS40" s="117">
        <v>0</v>
      </c>
      <c r="AT40" s="118">
        <v>0</v>
      </c>
    </row>
    <row r="41" spans="2:46" ht="12" customHeight="1" x14ac:dyDescent="0.25">
      <c r="B41" s="116" t="s">
        <v>41</v>
      </c>
      <c r="C41" s="117" t="s">
        <v>84</v>
      </c>
      <c r="D41" s="117" t="s">
        <v>42</v>
      </c>
      <c r="E41" s="117" t="s">
        <v>25</v>
      </c>
      <c r="F41" s="117" t="s">
        <v>25</v>
      </c>
      <c r="G41" s="117" t="s">
        <v>25</v>
      </c>
      <c r="H41" s="117" t="s">
        <v>68</v>
      </c>
      <c r="I41" s="117" t="s">
        <v>25</v>
      </c>
      <c r="J41" s="117">
        <v>446.5</v>
      </c>
      <c r="K41" s="117">
        <v>268.64</v>
      </c>
      <c r="L41" s="117">
        <v>0</v>
      </c>
      <c r="M41" s="117">
        <v>1.27646235400445</v>
      </c>
      <c r="N41" s="117">
        <v>4.07000933087585</v>
      </c>
      <c r="O41" s="117">
        <v>0</v>
      </c>
      <c r="P41" s="117">
        <v>0</v>
      </c>
      <c r="Q41" s="117">
        <v>84.205928915094006</v>
      </c>
      <c r="R41" s="117">
        <v>13.021668731056399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93.208857857837899</v>
      </c>
      <c r="Y41" s="117">
        <v>0</v>
      </c>
      <c r="Z41" s="117">
        <v>0</v>
      </c>
      <c r="AA41" s="117">
        <v>231.09385023251801</v>
      </c>
      <c r="AB41" s="117">
        <v>0</v>
      </c>
      <c r="AC41" s="117">
        <v>0</v>
      </c>
      <c r="AD41" s="117">
        <v>0</v>
      </c>
      <c r="AE41" s="117">
        <v>17.798497875818601</v>
      </c>
      <c r="AF41" s="117">
        <v>0</v>
      </c>
      <c r="AG41" s="117">
        <v>1.3974031831276801</v>
      </c>
      <c r="AH41" s="117">
        <v>0.43082358358240802</v>
      </c>
      <c r="AI41" s="117">
        <v>6.3372937778872103E-14</v>
      </c>
      <c r="AJ41" s="117">
        <v>0</v>
      </c>
      <c r="AK41" s="117">
        <v>2.6674750029243102</v>
      </c>
      <c r="AL41" s="117">
        <v>0</v>
      </c>
      <c r="AM41" s="117">
        <v>0</v>
      </c>
      <c r="AN41" s="117">
        <v>265.97253843331703</v>
      </c>
      <c r="AO41" s="117">
        <v>0</v>
      </c>
      <c r="AP41" s="117">
        <v>0</v>
      </c>
      <c r="AQ41" s="117">
        <v>0</v>
      </c>
      <c r="AR41" s="117">
        <v>0</v>
      </c>
      <c r="AS41" s="117">
        <v>0</v>
      </c>
      <c r="AT41" s="118">
        <v>0</v>
      </c>
    </row>
    <row r="42" spans="2:46" ht="12" customHeight="1" x14ac:dyDescent="0.25">
      <c r="B42" s="116" t="s">
        <v>41</v>
      </c>
      <c r="C42" s="117" t="s">
        <v>84</v>
      </c>
      <c r="D42" s="117" t="s">
        <v>42</v>
      </c>
      <c r="E42" s="117" t="s">
        <v>86</v>
      </c>
      <c r="F42" s="117" t="s">
        <v>25</v>
      </c>
      <c r="G42" s="117" t="s">
        <v>25</v>
      </c>
      <c r="H42" s="117" t="s">
        <v>68</v>
      </c>
      <c r="I42" s="117" t="s">
        <v>25</v>
      </c>
      <c r="J42" s="117">
        <v>437</v>
      </c>
      <c r="K42" s="117">
        <v>262.92</v>
      </c>
      <c r="L42" s="117">
        <v>0</v>
      </c>
      <c r="M42" s="117">
        <v>1.2493035805149899</v>
      </c>
      <c r="N42" s="117">
        <v>3.9834133876657298</v>
      </c>
      <c r="O42" s="117">
        <v>0</v>
      </c>
      <c r="P42" s="117">
        <v>0</v>
      </c>
      <c r="Q42" s="117">
        <v>82.414313406262195</v>
      </c>
      <c r="R42" s="117">
        <v>12.744611949544501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91.225690669373293</v>
      </c>
      <c r="Y42" s="117">
        <v>0</v>
      </c>
      <c r="Z42" s="117">
        <v>0</v>
      </c>
      <c r="AA42" s="117">
        <v>226.17695980203899</v>
      </c>
      <c r="AB42" s="117">
        <v>0</v>
      </c>
      <c r="AC42" s="117">
        <v>0</v>
      </c>
      <c r="AD42" s="117">
        <v>0</v>
      </c>
      <c r="AE42" s="117">
        <v>17.419806431652201</v>
      </c>
      <c r="AF42" s="117">
        <v>0</v>
      </c>
      <c r="AG42" s="117">
        <v>1.3676712005079401</v>
      </c>
      <c r="AH42" s="117">
        <v>0.42165712435725</v>
      </c>
      <c r="AI42" s="117">
        <v>6.2024577400598196E-14</v>
      </c>
      <c r="AJ42" s="117">
        <v>0</v>
      </c>
      <c r="AK42" s="117">
        <v>2.6107202156280498</v>
      </c>
      <c r="AL42" s="117">
        <v>0</v>
      </c>
      <c r="AM42" s="117">
        <v>0</v>
      </c>
      <c r="AN42" s="117">
        <v>260.31354825388502</v>
      </c>
      <c r="AO42" s="117">
        <v>0</v>
      </c>
      <c r="AP42" s="117">
        <v>0</v>
      </c>
      <c r="AQ42" s="117">
        <v>0</v>
      </c>
      <c r="AR42" s="117">
        <v>0</v>
      </c>
      <c r="AS42" s="117">
        <v>0</v>
      </c>
      <c r="AT42" s="118">
        <v>0</v>
      </c>
    </row>
    <row r="43" spans="2:46" ht="12" customHeight="1" x14ac:dyDescent="0.25">
      <c r="B43" s="116" t="s">
        <v>32</v>
      </c>
      <c r="C43" s="117" t="s">
        <v>38</v>
      </c>
      <c r="D43" s="117" t="s">
        <v>25</v>
      </c>
      <c r="E43" s="117" t="s">
        <v>25</v>
      </c>
      <c r="F43" s="117" t="s">
        <v>25</v>
      </c>
      <c r="G43" s="117" t="s">
        <v>36</v>
      </c>
      <c r="H43" s="117" t="s">
        <v>68</v>
      </c>
      <c r="I43" s="117" t="s">
        <v>25</v>
      </c>
      <c r="J43" s="117">
        <v>1416.75</v>
      </c>
      <c r="K43" s="117">
        <v>461.96</v>
      </c>
      <c r="L43" s="117">
        <v>0</v>
      </c>
      <c r="M43" s="117">
        <v>1.3579386744728199</v>
      </c>
      <c r="N43" s="117">
        <v>14.566390332605</v>
      </c>
      <c r="O43" s="117">
        <v>0</v>
      </c>
      <c r="P43" s="117">
        <v>0</v>
      </c>
      <c r="Q43" s="117">
        <v>89.580775441589395</v>
      </c>
      <c r="R43" s="117">
        <v>13.8528390755919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366.88587868427999</v>
      </c>
      <c r="Y43" s="117">
        <v>0</v>
      </c>
      <c r="Z43" s="117">
        <v>0</v>
      </c>
      <c r="AA43" s="117">
        <v>909.62481699310399</v>
      </c>
      <c r="AB43" s="117">
        <v>0</v>
      </c>
      <c r="AC43" s="117">
        <v>0</v>
      </c>
      <c r="AD43" s="117">
        <v>0</v>
      </c>
      <c r="AE43" s="117">
        <v>18.934572208317601</v>
      </c>
      <c r="AF43" s="117">
        <v>0</v>
      </c>
      <c r="AG43" s="117">
        <v>1.48659913098689</v>
      </c>
      <c r="AH43" s="117">
        <v>0.45832296125788102</v>
      </c>
      <c r="AI43" s="117">
        <v>6.7418018913693696E-14</v>
      </c>
      <c r="AJ43" s="117">
        <v>0</v>
      </c>
      <c r="AK43" s="117">
        <v>2.8377393648131002</v>
      </c>
      <c r="AL43" s="117">
        <v>0</v>
      </c>
      <c r="AM43" s="117">
        <v>0</v>
      </c>
      <c r="AN43" s="117">
        <v>459.12561833129899</v>
      </c>
      <c r="AO43" s="117">
        <v>0</v>
      </c>
      <c r="AP43" s="117">
        <v>0</v>
      </c>
      <c r="AQ43" s="117">
        <v>0</v>
      </c>
      <c r="AR43" s="117">
        <v>0</v>
      </c>
      <c r="AS43" s="117">
        <v>0</v>
      </c>
      <c r="AT43" s="118">
        <v>0</v>
      </c>
    </row>
    <row r="44" spans="2:46" ht="12" customHeight="1" x14ac:dyDescent="0.25">
      <c r="B44" s="116" t="s">
        <v>32</v>
      </c>
      <c r="C44" s="117" t="s">
        <v>38</v>
      </c>
      <c r="D44" s="117" t="s">
        <v>25</v>
      </c>
      <c r="E44" s="117" t="s">
        <v>25</v>
      </c>
      <c r="F44" s="117" t="s">
        <v>25</v>
      </c>
      <c r="G44" s="117" t="s">
        <v>39</v>
      </c>
      <c r="H44" s="117" t="s">
        <v>68</v>
      </c>
      <c r="I44" s="117" t="s">
        <v>25</v>
      </c>
      <c r="J44" s="117">
        <v>900.53</v>
      </c>
      <c r="K44" s="117">
        <v>269.77</v>
      </c>
      <c r="L44" s="117">
        <v>0</v>
      </c>
      <c r="M44" s="117">
        <v>1.3579386744728199</v>
      </c>
      <c r="N44" s="117">
        <v>8.9552205656608006</v>
      </c>
      <c r="O44" s="117">
        <v>0</v>
      </c>
      <c r="P44" s="117">
        <v>0</v>
      </c>
      <c r="Q44" s="117">
        <v>89.580775441589395</v>
      </c>
      <c r="R44" s="117">
        <v>13.8528390755919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220.13150161972899</v>
      </c>
      <c r="Y44" s="117">
        <v>0</v>
      </c>
      <c r="Z44" s="117">
        <v>0</v>
      </c>
      <c r="AA44" s="117">
        <v>545.77489019586199</v>
      </c>
      <c r="AB44" s="117">
        <v>0</v>
      </c>
      <c r="AC44" s="117">
        <v>0</v>
      </c>
      <c r="AD44" s="117">
        <v>0</v>
      </c>
      <c r="AE44" s="117">
        <v>18.934572208317601</v>
      </c>
      <c r="AF44" s="117">
        <v>0</v>
      </c>
      <c r="AG44" s="117">
        <v>1.48659913098689</v>
      </c>
      <c r="AH44" s="117">
        <v>0.45832296125788102</v>
      </c>
      <c r="AI44" s="117">
        <v>6.7418018913693696E-14</v>
      </c>
      <c r="AJ44" s="117">
        <v>0</v>
      </c>
      <c r="AK44" s="117">
        <v>2.8377393648131002</v>
      </c>
      <c r="AL44" s="117">
        <v>0</v>
      </c>
      <c r="AM44" s="117">
        <v>0</v>
      </c>
      <c r="AN44" s="117">
        <v>266.93349902982499</v>
      </c>
      <c r="AO44" s="117">
        <v>0</v>
      </c>
      <c r="AP44" s="117">
        <v>0</v>
      </c>
      <c r="AQ44" s="117">
        <v>0</v>
      </c>
      <c r="AR44" s="117">
        <v>0</v>
      </c>
      <c r="AS44" s="117">
        <v>0</v>
      </c>
      <c r="AT44" s="118">
        <v>0</v>
      </c>
    </row>
    <row r="45" spans="2:46" ht="12" customHeight="1" x14ac:dyDescent="0.25">
      <c r="B45" s="116" t="s">
        <v>32</v>
      </c>
      <c r="C45" s="117" t="s">
        <v>38</v>
      </c>
      <c r="D45" s="117" t="s">
        <v>25</v>
      </c>
      <c r="E45" s="117" t="s">
        <v>25</v>
      </c>
      <c r="F45" s="117" t="s">
        <v>25</v>
      </c>
      <c r="G45" s="117" t="s">
        <v>37</v>
      </c>
      <c r="H45" s="117" t="s">
        <v>68</v>
      </c>
      <c r="I45" s="117" t="s">
        <v>25</v>
      </c>
      <c r="J45" s="117">
        <v>384.32</v>
      </c>
      <c r="K45" s="117">
        <v>269.77</v>
      </c>
      <c r="L45" s="117">
        <v>0</v>
      </c>
      <c r="M45" s="117">
        <v>1.3579386744728199</v>
      </c>
      <c r="N45" s="117">
        <v>3.3440507987165899</v>
      </c>
      <c r="O45" s="117">
        <v>0</v>
      </c>
      <c r="P45" s="117">
        <v>0</v>
      </c>
      <c r="Q45" s="117">
        <v>89.580775441589395</v>
      </c>
      <c r="R45" s="117">
        <v>13.8528390755919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73.3771245551779</v>
      </c>
      <c r="Y45" s="117">
        <v>0</v>
      </c>
      <c r="Z45" s="117">
        <v>0</v>
      </c>
      <c r="AA45" s="117">
        <v>181.924963398621</v>
      </c>
      <c r="AB45" s="117">
        <v>0</v>
      </c>
      <c r="AC45" s="117">
        <v>0</v>
      </c>
      <c r="AD45" s="117">
        <v>0</v>
      </c>
      <c r="AE45" s="117">
        <v>18.934572208317601</v>
      </c>
      <c r="AF45" s="117">
        <v>0</v>
      </c>
      <c r="AG45" s="117">
        <v>1.48659913098689</v>
      </c>
      <c r="AH45" s="117">
        <v>0.45832296125788102</v>
      </c>
      <c r="AI45" s="117">
        <v>6.7418018913693696E-14</v>
      </c>
      <c r="AJ45" s="117">
        <v>0</v>
      </c>
      <c r="AK45" s="117">
        <v>2.8377393648131002</v>
      </c>
      <c r="AL45" s="117">
        <v>0</v>
      </c>
      <c r="AM45" s="117">
        <v>0</v>
      </c>
      <c r="AN45" s="117">
        <v>266.93349902982499</v>
      </c>
      <c r="AO45" s="117">
        <v>0</v>
      </c>
      <c r="AP45" s="117">
        <v>0</v>
      </c>
      <c r="AQ45" s="117">
        <v>0</v>
      </c>
      <c r="AR45" s="117">
        <v>0</v>
      </c>
      <c r="AS45" s="117">
        <v>0</v>
      </c>
      <c r="AT45" s="118">
        <v>0</v>
      </c>
    </row>
    <row r="46" spans="2:46" ht="12" customHeight="1" x14ac:dyDescent="0.25">
      <c r="B46" s="116" t="s">
        <v>32</v>
      </c>
      <c r="C46" s="117" t="s">
        <v>23</v>
      </c>
      <c r="D46" s="117" t="s">
        <v>25</v>
      </c>
      <c r="E46" s="117" t="s">
        <v>25</v>
      </c>
      <c r="F46" s="117" t="s">
        <v>25</v>
      </c>
      <c r="G46" s="117" t="s">
        <v>25</v>
      </c>
      <c r="H46" s="117" t="s">
        <v>68</v>
      </c>
      <c r="I46" s="117" t="s">
        <v>25</v>
      </c>
      <c r="J46" s="117">
        <v>475</v>
      </c>
      <c r="K46" s="117">
        <v>285.79000000000002</v>
      </c>
      <c r="L46" s="117">
        <v>0</v>
      </c>
      <c r="M46" s="117">
        <v>1.3579386744728199</v>
      </c>
      <c r="N46" s="117">
        <v>4.3297971605062298</v>
      </c>
      <c r="O46" s="117">
        <v>0</v>
      </c>
      <c r="P46" s="117">
        <v>0</v>
      </c>
      <c r="Q46" s="117">
        <v>89.580775441589395</v>
      </c>
      <c r="R46" s="117">
        <v>13.8528390755919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99.158359423231801</v>
      </c>
      <c r="Y46" s="117">
        <v>0</v>
      </c>
      <c r="Z46" s="117">
        <v>0</v>
      </c>
      <c r="AA46" s="117">
        <v>245.844521523955</v>
      </c>
      <c r="AB46" s="117">
        <v>0</v>
      </c>
      <c r="AC46" s="117">
        <v>0</v>
      </c>
      <c r="AD46" s="117">
        <v>0</v>
      </c>
      <c r="AE46" s="117">
        <v>18.934572208317601</v>
      </c>
      <c r="AF46" s="117">
        <v>0</v>
      </c>
      <c r="AG46" s="117">
        <v>1.48659913098689</v>
      </c>
      <c r="AH46" s="117">
        <v>0.45832296125788102</v>
      </c>
      <c r="AI46" s="117">
        <v>6.7418018913693696E-14</v>
      </c>
      <c r="AJ46" s="117">
        <v>0</v>
      </c>
      <c r="AK46" s="117">
        <v>2.8377393648131002</v>
      </c>
      <c r="AL46" s="117">
        <v>0</v>
      </c>
      <c r="AM46" s="117">
        <v>0</v>
      </c>
      <c r="AN46" s="117">
        <v>282.94950897161402</v>
      </c>
      <c r="AO46" s="117">
        <v>0</v>
      </c>
      <c r="AP46" s="117">
        <v>0</v>
      </c>
      <c r="AQ46" s="117">
        <v>0</v>
      </c>
      <c r="AR46" s="117">
        <v>0</v>
      </c>
      <c r="AS46" s="117">
        <v>0</v>
      </c>
      <c r="AT46" s="118">
        <v>0</v>
      </c>
    </row>
    <row r="47" spans="2:46" ht="12" customHeight="1" x14ac:dyDescent="0.25">
      <c r="B47" s="116" t="s">
        <v>32</v>
      </c>
      <c r="C47" s="117" t="s">
        <v>84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68</v>
      </c>
      <c r="I47" s="117" t="s">
        <v>25</v>
      </c>
      <c r="J47" s="117">
        <v>475</v>
      </c>
      <c r="K47" s="117">
        <v>285.79000000000002</v>
      </c>
      <c r="L47" s="117">
        <v>0</v>
      </c>
      <c r="M47" s="117">
        <v>1.3579386744728199</v>
      </c>
      <c r="N47" s="117">
        <v>4.3297971605062298</v>
      </c>
      <c r="O47" s="117">
        <v>0</v>
      </c>
      <c r="P47" s="117">
        <v>0</v>
      </c>
      <c r="Q47" s="117">
        <v>89.580775441589395</v>
      </c>
      <c r="R47" s="117">
        <v>13.8528390755919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99.158359423231801</v>
      </c>
      <c r="Y47" s="117">
        <v>0</v>
      </c>
      <c r="Z47" s="117">
        <v>0</v>
      </c>
      <c r="AA47" s="117">
        <v>245.844521523955</v>
      </c>
      <c r="AB47" s="117">
        <v>0</v>
      </c>
      <c r="AC47" s="117">
        <v>0</v>
      </c>
      <c r="AD47" s="117">
        <v>0</v>
      </c>
      <c r="AE47" s="117">
        <v>18.934572208317601</v>
      </c>
      <c r="AF47" s="117">
        <v>0</v>
      </c>
      <c r="AG47" s="117">
        <v>1.48659913098689</v>
      </c>
      <c r="AH47" s="117">
        <v>0.45832296125788102</v>
      </c>
      <c r="AI47" s="117">
        <v>6.7418018913693696E-14</v>
      </c>
      <c r="AJ47" s="117">
        <v>0</v>
      </c>
      <c r="AK47" s="117">
        <v>2.8377393648131002</v>
      </c>
      <c r="AL47" s="117">
        <v>0</v>
      </c>
      <c r="AM47" s="117">
        <v>0</v>
      </c>
      <c r="AN47" s="117">
        <v>282.94950897161402</v>
      </c>
      <c r="AO47" s="117">
        <v>0</v>
      </c>
      <c r="AP47" s="117">
        <v>0</v>
      </c>
      <c r="AQ47" s="117">
        <v>0</v>
      </c>
      <c r="AR47" s="117">
        <v>0</v>
      </c>
      <c r="AS47" s="117">
        <v>0</v>
      </c>
      <c r="AT47" s="118">
        <v>0</v>
      </c>
    </row>
    <row r="48" spans="2:46" ht="12" customHeight="1" x14ac:dyDescent="0.25">
      <c r="B48" s="116" t="s">
        <v>44</v>
      </c>
      <c r="C48" s="117" t="s">
        <v>23</v>
      </c>
      <c r="D48" s="117" t="s">
        <v>45</v>
      </c>
      <c r="E48" s="117" t="s">
        <v>46</v>
      </c>
      <c r="F48" s="117" t="s">
        <v>25</v>
      </c>
      <c r="G48" s="117" t="s">
        <v>25</v>
      </c>
      <c r="H48" s="117" t="s">
        <v>68</v>
      </c>
      <c r="I48" s="117" t="s">
        <v>25</v>
      </c>
      <c r="J48" s="117">
        <v>261.25</v>
      </c>
      <c r="K48" s="117">
        <v>157.18</v>
      </c>
      <c r="L48" s="117">
        <v>0</v>
      </c>
      <c r="M48" s="117">
        <v>0.74686627096005098</v>
      </c>
      <c r="N48" s="117">
        <v>2.3813884382784298</v>
      </c>
      <c r="O48" s="117">
        <v>0</v>
      </c>
      <c r="P48" s="117">
        <v>0</v>
      </c>
      <c r="Q48" s="117">
        <v>49.269426492874203</v>
      </c>
      <c r="R48" s="117">
        <v>7.6190614915755299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54.5370976827775</v>
      </c>
      <c r="Y48" s="117">
        <v>0</v>
      </c>
      <c r="Z48" s="117">
        <v>0</v>
      </c>
      <c r="AA48" s="117">
        <v>135.21448683817499</v>
      </c>
      <c r="AB48" s="117">
        <v>0</v>
      </c>
      <c r="AC48" s="117">
        <v>0</v>
      </c>
      <c r="AD48" s="117">
        <v>0</v>
      </c>
      <c r="AE48" s="117">
        <v>10.4140147145747</v>
      </c>
      <c r="AF48" s="117">
        <v>0</v>
      </c>
      <c r="AG48" s="117">
        <v>0.81762952204279005</v>
      </c>
      <c r="AH48" s="117">
        <v>0.25207762869183398</v>
      </c>
      <c r="AI48" s="117">
        <v>3.7079910402531602E-14</v>
      </c>
      <c r="AJ48" s="117">
        <v>0</v>
      </c>
      <c r="AK48" s="117">
        <v>1.5607566506472099</v>
      </c>
      <c r="AL48" s="117">
        <v>0</v>
      </c>
      <c r="AM48" s="117">
        <v>0</v>
      </c>
      <c r="AN48" s="117">
        <v>155.622229934388</v>
      </c>
      <c r="AO48" s="117">
        <v>0</v>
      </c>
      <c r="AP48" s="117">
        <v>0</v>
      </c>
      <c r="AQ48" s="117">
        <v>0</v>
      </c>
      <c r="AR48" s="117">
        <v>0</v>
      </c>
      <c r="AS48" s="117">
        <v>0</v>
      </c>
      <c r="AT48" s="118">
        <v>0</v>
      </c>
    </row>
    <row r="49" spans="2:46" ht="12" customHeight="1" x14ac:dyDescent="0.25">
      <c r="B49" s="119" t="s">
        <v>44</v>
      </c>
      <c r="C49" s="120" t="s">
        <v>23</v>
      </c>
      <c r="D49" s="120" t="s">
        <v>45</v>
      </c>
      <c r="E49" s="120" t="s">
        <v>87</v>
      </c>
      <c r="F49" s="120" t="s">
        <v>25</v>
      </c>
      <c r="G49" s="120" t="s">
        <v>25</v>
      </c>
      <c r="H49" s="120" t="s">
        <v>68</v>
      </c>
      <c r="I49" s="120" t="s">
        <v>25</v>
      </c>
      <c r="J49" s="120">
        <v>285</v>
      </c>
      <c r="K49" s="120">
        <v>171.47</v>
      </c>
      <c r="L49" s="120">
        <v>0</v>
      </c>
      <c r="M49" s="120">
        <v>0.81476320468369201</v>
      </c>
      <c r="N49" s="120">
        <v>2.5978782963037399</v>
      </c>
      <c r="O49" s="120">
        <v>0</v>
      </c>
      <c r="P49" s="120">
        <v>0</v>
      </c>
      <c r="Q49" s="120">
        <v>53.748465264953602</v>
      </c>
      <c r="R49" s="120">
        <v>8.3117034453551195</v>
      </c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20">
        <v>59.495015653939099</v>
      </c>
      <c r="Y49" s="120">
        <v>0</v>
      </c>
      <c r="Z49" s="120">
        <v>0</v>
      </c>
      <c r="AA49" s="120">
        <v>147.506712914373</v>
      </c>
      <c r="AB49" s="120">
        <v>0</v>
      </c>
      <c r="AC49" s="120">
        <v>0</v>
      </c>
      <c r="AD49" s="120">
        <v>0</v>
      </c>
      <c r="AE49" s="120">
        <v>11.360743324990599</v>
      </c>
      <c r="AF49" s="120">
        <v>0</v>
      </c>
      <c r="AG49" s="120">
        <v>0.89195947859213398</v>
      </c>
      <c r="AH49" s="120">
        <v>0.27499377675472803</v>
      </c>
      <c r="AI49" s="120">
        <v>4.0450811348216197E-14</v>
      </c>
      <c r="AJ49" s="120">
        <v>0</v>
      </c>
      <c r="AK49" s="120">
        <v>1.70264361888786</v>
      </c>
      <c r="AL49" s="120">
        <v>0</v>
      </c>
      <c r="AM49" s="120">
        <v>0</v>
      </c>
      <c r="AN49" s="120">
        <v>169.76970538296899</v>
      </c>
      <c r="AO49" s="120">
        <v>0</v>
      </c>
      <c r="AP49" s="120">
        <v>0</v>
      </c>
      <c r="AQ49" s="120">
        <v>0</v>
      </c>
      <c r="AR49" s="120">
        <v>0</v>
      </c>
      <c r="AS49" s="120">
        <v>0</v>
      </c>
      <c r="AT49" s="121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A089-CE0F-4A26-9D83-25FE5DC1B4E9}">
  <dimension ref="B1:AT49"/>
  <sheetViews>
    <sheetView showGridLines="0" workbookViewId="0">
      <selection activeCell="J27" sqref="J27"/>
    </sheetView>
  </sheetViews>
  <sheetFormatPr defaultRowHeight="15" x14ac:dyDescent="0.25"/>
  <cols>
    <col min="2" max="2" width="12.7109375" bestFit="1" customWidth="1"/>
    <col min="3" max="3" width="25.42578125" bestFit="1" customWidth="1"/>
    <col min="4" max="4" width="16.28515625" bestFit="1" customWidth="1"/>
    <col min="5" max="5" width="28.7109375" bestFit="1" customWidth="1"/>
    <col min="6" max="6" width="11.85546875" bestFit="1" customWidth="1"/>
    <col min="7" max="7" width="12.140625" bestFit="1" customWidth="1"/>
    <col min="8" max="8" width="11.140625" bestFit="1" customWidth="1"/>
    <col min="9" max="9" width="13.140625" bestFit="1" customWidth="1"/>
    <col min="10" max="10" width="12.42578125" bestFit="1" customWidth="1"/>
    <col min="11" max="11" width="9.85546875" bestFit="1" customWidth="1"/>
    <col min="12" max="12" width="18.7109375" bestFit="1" customWidth="1"/>
    <col min="13" max="13" width="13.7109375" bestFit="1" customWidth="1"/>
    <col min="14" max="14" width="12.140625" bestFit="1" customWidth="1"/>
    <col min="15" max="15" width="12.42578125" bestFit="1" customWidth="1"/>
    <col min="16" max="17" width="12.140625" bestFit="1" customWidth="1"/>
    <col min="18" max="18" width="16.42578125" bestFit="1" customWidth="1"/>
    <col min="19" max="19" width="10.42578125" bestFit="1" customWidth="1"/>
    <col min="20" max="20" width="11" bestFit="1" customWidth="1"/>
    <col min="21" max="21" width="10.7109375" bestFit="1" customWidth="1"/>
    <col min="22" max="22" width="12" bestFit="1" customWidth="1"/>
    <col min="23" max="23" width="12.28515625" bestFit="1" customWidth="1"/>
    <col min="24" max="24" width="13.42578125" bestFit="1" customWidth="1"/>
    <col min="25" max="25" width="11" bestFit="1" customWidth="1"/>
    <col min="26" max="26" width="13.7109375" bestFit="1" customWidth="1"/>
    <col min="27" max="27" width="12.28515625" bestFit="1" customWidth="1"/>
    <col min="28" max="28" width="15.42578125" bestFit="1" customWidth="1"/>
    <col min="29" max="29" width="24.28515625" bestFit="1" customWidth="1"/>
    <col min="30" max="30" width="13.85546875" bestFit="1" customWidth="1"/>
    <col min="31" max="31" width="12.7109375" bestFit="1" customWidth="1"/>
    <col min="32" max="32" width="17.140625" bestFit="1" customWidth="1"/>
    <col min="33" max="33" width="12.7109375" bestFit="1" customWidth="1"/>
    <col min="34" max="34" width="10.42578125" bestFit="1" customWidth="1"/>
    <col min="35" max="35" width="16.140625" bestFit="1" customWidth="1"/>
    <col min="36" max="36" width="14.42578125" bestFit="1" customWidth="1"/>
    <col min="37" max="37" width="9.5703125" bestFit="1" customWidth="1"/>
    <col min="38" max="38" width="12.42578125" bestFit="1" customWidth="1"/>
    <col min="39" max="39" width="11.85546875" bestFit="1" customWidth="1"/>
    <col min="40" max="40" width="13.7109375" bestFit="1" customWidth="1"/>
    <col min="41" max="41" width="24.5703125" bestFit="1" customWidth="1"/>
    <col min="42" max="42" width="17.42578125" bestFit="1" customWidth="1"/>
    <col min="43" max="43" width="13.28515625" bestFit="1" customWidth="1"/>
    <col min="44" max="44" width="12.7109375" bestFit="1" customWidth="1"/>
    <col min="45" max="45" width="21.7109375" bestFit="1" customWidth="1"/>
    <col min="46" max="46" width="12.28515625" bestFit="1" customWidth="1"/>
  </cols>
  <sheetData>
    <row r="1" spans="2:46" ht="12" customHeight="1" x14ac:dyDescent="0.25">
      <c r="L1" s="162" t="s">
        <v>1187</v>
      </c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</row>
    <row r="2" spans="2:46" ht="12" customHeight="1" x14ac:dyDescent="0.25">
      <c r="L2" s="163" t="s">
        <v>420</v>
      </c>
      <c r="M2" s="163"/>
      <c r="N2" s="163"/>
      <c r="O2" s="163"/>
      <c r="P2" s="163"/>
      <c r="Q2" s="163"/>
      <c r="R2" s="163"/>
      <c r="S2" s="164"/>
      <c r="T2" s="163" t="s">
        <v>429</v>
      </c>
      <c r="U2" s="163"/>
      <c r="V2" s="163"/>
      <c r="W2" s="163"/>
      <c r="X2" s="163"/>
      <c r="Y2" s="163"/>
      <c r="Z2" s="164"/>
      <c r="AA2" s="123" t="s">
        <v>437</v>
      </c>
      <c r="AB2" s="163" t="s">
        <v>25</v>
      </c>
      <c r="AC2" s="163"/>
      <c r="AD2" s="164"/>
      <c r="AE2" s="163" t="s">
        <v>1186</v>
      </c>
      <c r="AF2" s="163"/>
      <c r="AG2" s="163"/>
      <c r="AH2" s="164"/>
      <c r="AI2" s="163" t="s">
        <v>420</v>
      </c>
      <c r="AJ2" s="163"/>
      <c r="AK2" s="163"/>
      <c r="AL2" s="163"/>
      <c r="AM2" s="164"/>
      <c r="AN2" s="123" t="s">
        <v>451</v>
      </c>
      <c r="AO2" s="163" t="s">
        <v>429</v>
      </c>
      <c r="AP2" s="163"/>
      <c r="AQ2" s="163"/>
      <c r="AR2" s="163"/>
      <c r="AS2" s="164"/>
      <c r="AT2" s="122" t="s">
        <v>1186</v>
      </c>
    </row>
    <row r="3" spans="2:46" ht="12" customHeight="1" x14ac:dyDescent="0.25">
      <c r="B3" s="113" t="s">
        <v>58</v>
      </c>
      <c r="C3" s="114" t="s">
        <v>59</v>
      </c>
      <c r="D3" s="114" t="s">
        <v>60</v>
      </c>
      <c r="E3" s="114" t="s">
        <v>61</v>
      </c>
      <c r="F3" s="114" t="s">
        <v>62</v>
      </c>
      <c r="G3" s="114" t="s">
        <v>64</v>
      </c>
      <c r="H3" s="114" t="s">
        <v>65</v>
      </c>
      <c r="I3" s="114" t="s">
        <v>697</v>
      </c>
      <c r="J3" s="114" t="s">
        <v>1148</v>
      </c>
      <c r="K3" s="114" t="s">
        <v>1149</v>
      </c>
      <c r="L3" s="114" t="s">
        <v>1150</v>
      </c>
      <c r="M3" s="114" t="s">
        <v>1151</v>
      </c>
      <c r="N3" s="114" t="s">
        <v>1152</v>
      </c>
      <c r="O3" s="114" t="s">
        <v>1153</v>
      </c>
      <c r="P3" s="114" t="s">
        <v>1154</v>
      </c>
      <c r="Q3" s="114" t="s">
        <v>1155</v>
      </c>
      <c r="R3" s="114" t="s">
        <v>1156</v>
      </c>
      <c r="S3" s="114" t="s">
        <v>1157</v>
      </c>
      <c r="T3" s="114" t="s">
        <v>1158</v>
      </c>
      <c r="U3" s="114" t="s">
        <v>1159</v>
      </c>
      <c r="V3" s="114" t="s">
        <v>1160</v>
      </c>
      <c r="W3" s="114" t="s">
        <v>1161</v>
      </c>
      <c r="X3" s="114" t="s">
        <v>1162</v>
      </c>
      <c r="Y3" s="114" t="s">
        <v>1163</v>
      </c>
      <c r="Z3" s="114" t="s">
        <v>1164</v>
      </c>
      <c r="AA3" s="114" t="s">
        <v>1165</v>
      </c>
      <c r="AB3" s="114" t="s">
        <v>1166</v>
      </c>
      <c r="AC3" s="114" t="s">
        <v>1167</v>
      </c>
      <c r="AD3" s="114" t="s">
        <v>1168</v>
      </c>
      <c r="AE3" s="114" t="s">
        <v>1169</v>
      </c>
      <c r="AF3" s="114" t="s">
        <v>1170</v>
      </c>
      <c r="AG3" s="114" t="s">
        <v>1171</v>
      </c>
      <c r="AH3" s="114" t="s">
        <v>1172</v>
      </c>
      <c r="AI3" s="114" t="s">
        <v>1173</v>
      </c>
      <c r="AJ3" s="114" t="s">
        <v>1174</v>
      </c>
      <c r="AK3" s="114" t="s">
        <v>1175</v>
      </c>
      <c r="AL3" s="114" t="s">
        <v>1176</v>
      </c>
      <c r="AM3" s="114" t="s">
        <v>1177</v>
      </c>
      <c r="AN3" s="114" t="s">
        <v>1178</v>
      </c>
      <c r="AO3" s="114" t="s">
        <v>1179</v>
      </c>
      <c r="AP3" s="114" t="s">
        <v>1180</v>
      </c>
      <c r="AQ3" s="114" t="s">
        <v>1181</v>
      </c>
      <c r="AR3" s="114" t="s">
        <v>1182</v>
      </c>
      <c r="AS3" s="114" t="s">
        <v>1183</v>
      </c>
      <c r="AT3" s="115" t="s">
        <v>1184</v>
      </c>
    </row>
    <row r="4" spans="2:46" ht="12" customHeight="1" x14ac:dyDescent="0.25">
      <c r="B4" s="116" t="s">
        <v>34</v>
      </c>
      <c r="C4" s="117" t="s">
        <v>73</v>
      </c>
      <c r="D4" s="117" t="s">
        <v>25</v>
      </c>
      <c r="E4" s="117" t="s">
        <v>25</v>
      </c>
      <c r="F4" s="117" t="s">
        <v>77</v>
      </c>
      <c r="G4" s="117" t="s">
        <v>36</v>
      </c>
      <c r="H4" s="117" t="s">
        <v>68</v>
      </c>
      <c r="I4" s="117" t="s">
        <v>25</v>
      </c>
      <c r="J4" s="117">
        <v>-0.03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0</v>
      </c>
      <c r="AE4" s="117">
        <v>-1.9011871062180601E-2</v>
      </c>
      <c r="AF4" s="117">
        <v>0</v>
      </c>
      <c r="AG4" s="117">
        <v>-8.5191561365059402E-3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7">
        <v>0</v>
      </c>
      <c r="AS4" s="117">
        <v>0</v>
      </c>
      <c r="AT4" s="118">
        <v>0</v>
      </c>
    </row>
    <row r="5" spans="2:46" ht="12" customHeight="1" x14ac:dyDescent="0.25">
      <c r="B5" s="116" t="s">
        <v>34</v>
      </c>
      <c r="C5" s="117" t="s">
        <v>73</v>
      </c>
      <c r="D5" s="117" t="s">
        <v>25</v>
      </c>
      <c r="E5" s="117" t="s">
        <v>25</v>
      </c>
      <c r="F5" s="117" t="s">
        <v>77</v>
      </c>
      <c r="G5" s="117" t="s">
        <v>36</v>
      </c>
      <c r="H5" s="117" t="s">
        <v>74</v>
      </c>
      <c r="I5" s="117" t="s">
        <v>25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0</v>
      </c>
      <c r="Y5" s="117">
        <v>0</v>
      </c>
      <c r="Z5" s="117">
        <v>0</v>
      </c>
      <c r="AA5" s="117">
        <v>0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7">
        <v>0</v>
      </c>
      <c r="AS5" s="117">
        <v>0</v>
      </c>
      <c r="AT5" s="118">
        <v>0</v>
      </c>
    </row>
    <row r="6" spans="2:46" ht="12" customHeight="1" x14ac:dyDescent="0.25">
      <c r="B6" s="116" t="s">
        <v>34</v>
      </c>
      <c r="C6" s="117" t="s">
        <v>73</v>
      </c>
      <c r="D6" s="117" t="s">
        <v>25</v>
      </c>
      <c r="E6" s="117" t="s">
        <v>25</v>
      </c>
      <c r="F6" s="117" t="s">
        <v>77</v>
      </c>
      <c r="G6" s="117" t="s">
        <v>37</v>
      </c>
      <c r="H6" s="117" t="s">
        <v>68</v>
      </c>
      <c r="I6" s="117" t="s">
        <v>25</v>
      </c>
      <c r="J6" s="117">
        <v>-0.03</v>
      </c>
      <c r="K6" s="117">
        <v>0</v>
      </c>
      <c r="L6" s="117">
        <v>0</v>
      </c>
      <c r="M6" s="117">
        <v>0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0</v>
      </c>
      <c r="AE6" s="117">
        <v>-1.9011871062180601E-2</v>
      </c>
      <c r="AF6" s="117">
        <v>0</v>
      </c>
      <c r="AG6" s="117">
        <v>-8.5191561365059402E-3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7">
        <v>0</v>
      </c>
      <c r="AS6" s="117">
        <v>0</v>
      </c>
      <c r="AT6" s="118">
        <v>0</v>
      </c>
    </row>
    <row r="7" spans="2:46" ht="12" customHeight="1" x14ac:dyDescent="0.25">
      <c r="B7" s="116" t="s">
        <v>34</v>
      </c>
      <c r="C7" s="117" t="s">
        <v>73</v>
      </c>
      <c r="D7" s="117" t="s">
        <v>25</v>
      </c>
      <c r="E7" s="117" t="s">
        <v>25</v>
      </c>
      <c r="F7" s="117" t="s">
        <v>77</v>
      </c>
      <c r="G7" s="117" t="s">
        <v>37</v>
      </c>
      <c r="H7" s="117" t="s">
        <v>74</v>
      </c>
      <c r="I7" s="117" t="s">
        <v>25</v>
      </c>
      <c r="J7" s="117">
        <v>0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0</v>
      </c>
      <c r="Y7" s="117">
        <v>0</v>
      </c>
      <c r="Z7" s="117">
        <v>0</v>
      </c>
      <c r="AA7" s="117">
        <v>0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7">
        <v>0</v>
      </c>
      <c r="AS7" s="117">
        <v>0</v>
      </c>
      <c r="AT7" s="118">
        <v>0</v>
      </c>
    </row>
    <row r="8" spans="2:46" ht="12" customHeight="1" x14ac:dyDescent="0.25">
      <c r="B8" s="116" t="s">
        <v>34</v>
      </c>
      <c r="C8" s="117" t="s">
        <v>73</v>
      </c>
      <c r="D8" s="117" t="s">
        <v>25</v>
      </c>
      <c r="E8" s="117" t="s">
        <v>25</v>
      </c>
      <c r="F8" s="117" t="s">
        <v>25</v>
      </c>
      <c r="G8" s="117" t="s">
        <v>36</v>
      </c>
      <c r="H8" s="117" t="s">
        <v>68</v>
      </c>
      <c r="I8" s="117" t="s">
        <v>25</v>
      </c>
      <c r="J8" s="117">
        <v>20.25</v>
      </c>
      <c r="K8" s="117">
        <v>-4.93</v>
      </c>
      <c r="L8" s="117">
        <v>0</v>
      </c>
      <c r="M8" s="117">
        <v>0</v>
      </c>
      <c r="N8" s="117">
        <v>0</v>
      </c>
      <c r="O8" s="117">
        <v>0</v>
      </c>
      <c r="P8" s="117">
        <v>0</v>
      </c>
      <c r="Q8" s="117">
        <v>16.523216763477201</v>
      </c>
      <c r="R8" s="117">
        <v>3.7574751408440399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0</v>
      </c>
      <c r="AE8" s="117">
        <v>-1.9011871062180601E-2</v>
      </c>
      <c r="AF8" s="117">
        <v>0</v>
      </c>
      <c r="AG8" s="117">
        <v>-8.5191561365059402E-3</v>
      </c>
      <c r="AH8" s="117">
        <v>0</v>
      </c>
      <c r="AI8" s="117">
        <v>0</v>
      </c>
      <c r="AJ8" s="117">
        <v>0</v>
      </c>
      <c r="AK8" s="117">
        <v>0</v>
      </c>
      <c r="AL8" s="117">
        <v>0</v>
      </c>
      <c r="AM8" s="117">
        <v>0</v>
      </c>
      <c r="AN8" s="117">
        <v>-4.9309499747565297</v>
      </c>
      <c r="AO8" s="117">
        <v>0</v>
      </c>
      <c r="AP8" s="117">
        <v>0</v>
      </c>
      <c r="AQ8" s="117">
        <v>0</v>
      </c>
      <c r="AR8" s="117">
        <v>0</v>
      </c>
      <c r="AS8" s="117">
        <v>0</v>
      </c>
      <c r="AT8" s="118">
        <v>0</v>
      </c>
    </row>
    <row r="9" spans="2:46" ht="12" customHeight="1" x14ac:dyDescent="0.25">
      <c r="B9" s="116" t="s">
        <v>34</v>
      </c>
      <c r="C9" s="117" t="s">
        <v>73</v>
      </c>
      <c r="D9" s="117" t="s">
        <v>25</v>
      </c>
      <c r="E9" s="117" t="s">
        <v>25</v>
      </c>
      <c r="F9" s="117" t="s">
        <v>25</v>
      </c>
      <c r="G9" s="117" t="s">
        <v>36</v>
      </c>
      <c r="H9" s="117" t="s">
        <v>74</v>
      </c>
      <c r="I9" s="117" t="s">
        <v>25</v>
      </c>
      <c r="J9" s="117">
        <v>0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0</v>
      </c>
      <c r="Y9" s="117">
        <v>0</v>
      </c>
      <c r="Z9" s="117">
        <v>0</v>
      </c>
      <c r="AA9" s="117">
        <v>0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7">
        <v>0</v>
      </c>
      <c r="AS9" s="117">
        <v>0</v>
      </c>
      <c r="AT9" s="118">
        <v>0</v>
      </c>
    </row>
    <row r="10" spans="2:46" ht="12" customHeight="1" x14ac:dyDescent="0.25">
      <c r="B10" s="116" t="s">
        <v>34</v>
      </c>
      <c r="C10" s="117" t="s">
        <v>73</v>
      </c>
      <c r="D10" s="117" t="s">
        <v>25</v>
      </c>
      <c r="E10" s="117" t="s">
        <v>25</v>
      </c>
      <c r="F10" s="117" t="s">
        <v>25</v>
      </c>
      <c r="G10" s="117" t="s">
        <v>37</v>
      </c>
      <c r="H10" s="117" t="s">
        <v>68</v>
      </c>
      <c r="I10" s="117" t="s">
        <v>25</v>
      </c>
      <c r="J10" s="117">
        <v>20.25</v>
      </c>
      <c r="K10" s="117">
        <v>-2.87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16.523216763477201</v>
      </c>
      <c r="R10" s="117">
        <v>3.7574751408440399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0</v>
      </c>
      <c r="AE10" s="117">
        <v>-1.9011871062180601E-2</v>
      </c>
      <c r="AF10" s="117">
        <v>0</v>
      </c>
      <c r="AG10" s="117">
        <v>-8.5191561365059402E-3</v>
      </c>
      <c r="AH10" s="117">
        <v>0</v>
      </c>
      <c r="AI10" s="117">
        <v>0</v>
      </c>
      <c r="AJ10" s="117">
        <v>0</v>
      </c>
      <c r="AK10" s="117">
        <v>0</v>
      </c>
      <c r="AL10" s="117">
        <v>0</v>
      </c>
      <c r="AM10" s="117">
        <v>0</v>
      </c>
      <c r="AN10" s="117">
        <v>-2.8668313806724002</v>
      </c>
      <c r="AO10" s="117">
        <v>0</v>
      </c>
      <c r="AP10" s="117">
        <v>0</v>
      </c>
      <c r="AQ10" s="117">
        <v>0</v>
      </c>
      <c r="AR10" s="117">
        <v>0</v>
      </c>
      <c r="AS10" s="117">
        <v>0</v>
      </c>
      <c r="AT10" s="118">
        <v>0</v>
      </c>
    </row>
    <row r="11" spans="2:46" ht="12" customHeight="1" x14ac:dyDescent="0.25">
      <c r="B11" s="116" t="s">
        <v>34</v>
      </c>
      <c r="C11" s="117" t="s">
        <v>73</v>
      </c>
      <c r="D11" s="117" t="s">
        <v>25</v>
      </c>
      <c r="E11" s="117" t="s">
        <v>25</v>
      </c>
      <c r="F11" s="117" t="s">
        <v>25</v>
      </c>
      <c r="G11" s="117" t="s">
        <v>37</v>
      </c>
      <c r="H11" s="117" t="s">
        <v>74</v>
      </c>
      <c r="I11" s="117" t="s">
        <v>25</v>
      </c>
      <c r="J11" s="117">
        <v>0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0</v>
      </c>
      <c r="Y11" s="117">
        <v>0</v>
      </c>
      <c r="Z11" s="117">
        <v>0</v>
      </c>
      <c r="AA11" s="117">
        <v>0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7">
        <v>0</v>
      </c>
      <c r="AS11" s="117">
        <v>0</v>
      </c>
      <c r="AT11" s="118">
        <v>0</v>
      </c>
    </row>
    <row r="12" spans="2:46" ht="12" customHeight="1" x14ac:dyDescent="0.25">
      <c r="B12" s="116" t="s">
        <v>34</v>
      </c>
      <c r="C12" s="117" t="s">
        <v>78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74</v>
      </c>
      <c r="I12" s="117" t="s">
        <v>25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0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0</v>
      </c>
      <c r="AM12" s="117">
        <v>0</v>
      </c>
      <c r="AN12" s="117">
        <v>0</v>
      </c>
      <c r="AO12" s="117">
        <v>0</v>
      </c>
      <c r="AP12" s="117">
        <v>0</v>
      </c>
      <c r="AQ12" s="117">
        <v>0</v>
      </c>
      <c r="AR12" s="117">
        <v>0</v>
      </c>
      <c r="AS12" s="117">
        <v>0</v>
      </c>
      <c r="AT12" s="118">
        <v>0</v>
      </c>
    </row>
    <row r="13" spans="2:46" ht="12" customHeight="1" x14ac:dyDescent="0.25">
      <c r="B13" s="116" t="s">
        <v>34</v>
      </c>
      <c r="C13" s="117" t="s">
        <v>35</v>
      </c>
      <c r="D13" s="117" t="s">
        <v>25</v>
      </c>
      <c r="E13" s="117" t="s">
        <v>25</v>
      </c>
      <c r="F13" s="117" t="s">
        <v>77</v>
      </c>
      <c r="G13" s="117" t="s">
        <v>36</v>
      </c>
      <c r="H13" s="117" t="s">
        <v>68</v>
      </c>
      <c r="I13" s="117" t="s">
        <v>25</v>
      </c>
      <c r="J13" s="117">
        <v>-0.03</v>
      </c>
      <c r="K13" s="117">
        <v>0</v>
      </c>
      <c r="L13" s="117">
        <v>0</v>
      </c>
      <c r="M13" s="117">
        <v>0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0</v>
      </c>
      <c r="Y13" s="117">
        <v>0</v>
      </c>
      <c r="Z13" s="117">
        <v>0</v>
      </c>
      <c r="AA13" s="117">
        <v>0</v>
      </c>
      <c r="AB13" s="117">
        <v>0</v>
      </c>
      <c r="AC13" s="117">
        <v>0</v>
      </c>
      <c r="AD13" s="117">
        <v>0</v>
      </c>
      <c r="AE13" s="117">
        <v>-1.9011871062180601E-2</v>
      </c>
      <c r="AF13" s="117">
        <v>0</v>
      </c>
      <c r="AG13" s="117">
        <v>-8.5191561365059402E-3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7">
        <v>0</v>
      </c>
      <c r="AS13" s="117">
        <v>0</v>
      </c>
      <c r="AT13" s="118">
        <v>0</v>
      </c>
    </row>
    <row r="14" spans="2:46" ht="12" customHeight="1" x14ac:dyDescent="0.25">
      <c r="B14" s="116" t="s">
        <v>34</v>
      </c>
      <c r="C14" s="117" t="s">
        <v>35</v>
      </c>
      <c r="D14" s="117" t="s">
        <v>25</v>
      </c>
      <c r="E14" s="117" t="s">
        <v>25</v>
      </c>
      <c r="F14" s="117" t="s">
        <v>77</v>
      </c>
      <c r="G14" s="117" t="s">
        <v>25</v>
      </c>
      <c r="H14" s="117" t="s">
        <v>74</v>
      </c>
      <c r="I14" s="117" t="s">
        <v>25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0</v>
      </c>
      <c r="Y14" s="117">
        <v>0</v>
      </c>
      <c r="Z14" s="117">
        <v>0</v>
      </c>
      <c r="AA14" s="117">
        <v>0</v>
      </c>
      <c r="AB14" s="117"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7">
        <v>0</v>
      </c>
      <c r="AS14" s="117">
        <v>0</v>
      </c>
      <c r="AT14" s="118">
        <v>0</v>
      </c>
    </row>
    <row r="15" spans="2:46" ht="12" customHeight="1" x14ac:dyDescent="0.25">
      <c r="B15" s="116" t="s">
        <v>34</v>
      </c>
      <c r="C15" s="117" t="s">
        <v>35</v>
      </c>
      <c r="D15" s="117" t="s">
        <v>25</v>
      </c>
      <c r="E15" s="117" t="s">
        <v>25</v>
      </c>
      <c r="F15" s="117" t="s">
        <v>77</v>
      </c>
      <c r="G15" s="117" t="s">
        <v>37</v>
      </c>
      <c r="H15" s="117" t="s">
        <v>68</v>
      </c>
      <c r="I15" s="117" t="s">
        <v>25</v>
      </c>
      <c r="J15" s="117">
        <v>-0.03</v>
      </c>
      <c r="K15" s="117">
        <v>0</v>
      </c>
      <c r="L15" s="117">
        <v>0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0</v>
      </c>
      <c r="AD15" s="117">
        <v>0</v>
      </c>
      <c r="AE15" s="117">
        <v>-1.9011871062180601E-2</v>
      </c>
      <c r="AF15" s="117">
        <v>0</v>
      </c>
      <c r="AG15" s="117">
        <v>-8.5191561365059402E-3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7">
        <v>0</v>
      </c>
      <c r="AS15" s="117">
        <v>0</v>
      </c>
      <c r="AT15" s="118">
        <v>0</v>
      </c>
    </row>
    <row r="16" spans="2:46" ht="12" customHeight="1" x14ac:dyDescent="0.25">
      <c r="B16" s="116" t="s">
        <v>34</v>
      </c>
      <c r="C16" s="117" t="s">
        <v>35</v>
      </c>
      <c r="D16" s="117" t="s">
        <v>25</v>
      </c>
      <c r="E16" s="117" t="s">
        <v>25</v>
      </c>
      <c r="F16" s="117" t="s">
        <v>25</v>
      </c>
      <c r="G16" s="117" t="s">
        <v>36</v>
      </c>
      <c r="H16" s="117" t="s">
        <v>68</v>
      </c>
      <c r="I16" s="117" t="s">
        <v>25</v>
      </c>
      <c r="J16" s="117">
        <v>20.25</v>
      </c>
      <c r="K16" s="117">
        <v>-4.93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16.523216763477201</v>
      </c>
      <c r="R16" s="117">
        <v>3.7574751408440399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0</v>
      </c>
      <c r="Y16" s="117">
        <v>0</v>
      </c>
      <c r="Z16" s="117">
        <v>0</v>
      </c>
      <c r="AA16" s="117">
        <v>0</v>
      </c>
      <c r="AB16" s="117">
        <v>0</v>
      </c>
      <c r="AC16" s="117">
        <v>0</v>
      </c>
      <c r="AD16" s="117">
        <v>0</v>
      </c>
      <c r="AE16" s="117">
        <v>-1.9011871062180601E-2</v>
      </c>
      <c r="AF16" s="117">
        <v>0</v>
      </c>
      <c r="AG16" s="117">
        <v>-8.5191561365059402E-3</v>
      </c>
      <c r="AH16" s="117">
        <v>0</v>
      </c>
      <c r="AI16" s="117">
        <v>0</v>
      </c>
      <c r="AJ16" s="117">
        <v>0</v>
      </c>
      <c r="AK16" s="117">
        <v>0</v>
      </c>
      <c r="AL16" s="117">
        <v>0</v>
      </c>
      <c r="AM16" s="117">
        <v>0</v>
      </c>
      <c r="AN16" s="117">
        <v>-4.9309499747565297</v>
      </c>
      <c r="AO16" s="117">
        <v>0</v>
      </c>
      <c r="AP16" s="117">
        <v>0</v>
      </c>
      <c r="AQ16" s="117">
        <v>0</v>
      </c>
      <c r="AR16" s="117">
        <v>0</v>
      </c>
      <c r="AS16" s="117">
        <v>0</v>
      </c>
      <c r="AT16" s="118">
        <v>0</v>
      </c>
    </row>
    <row r="17" spans="2:46" ht="12" customHeight="1" x14ac:dyDescent="0.25">
      <c r="B17" s="116" t="s">
        <v>34</v>
      </c>
      <c r="C17" s="117" t="s">
        <v>35</v>
      </c>
      <c r="D17" s="117" t="s">
        <v>25</v>
      </c>
      <c r="E17" s="117" t="s">
        <v>25</v>
      </c>
      <c r="F17" s="117" t="s">
        <v>25</v>
      </c>
      <c r="G17" s="117" t="s">
        <v>25</v>
      </c>
      <c r="H17" s="117" t="s">
        <v>74</v>
      </c>
      <c r="I17" s="117" t="s">
        <v>25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0</v>
      </c>
      <c r="Y17" s="117">
        <v>0</v>
      </c>
      <c r="Z17" s="117">
        <v>0</v>
      </c>
      <c r="AA17" s="117">
        <v>0</v>
      </c>
      <c r="AB17" s="117">
        <v>0</v>
      </c>
      <c r="AC17" s="117">
        <v>0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7">
        <v>0</v>
      </c>
      <c r="AS17" s="117">
        <v>0</v>
      </c>
      <c r="AT17" s="118">
        <v>0</v>
      </c>
    </row>
    <row r="18" spans="2:46" ht="12" customHeight="1" x14ac:dyDescent="0.25">
      <c r="B18" s="116" t="s">
        <v>34</v>
      </c>
      <c r="C18" s="117" t="s">
        <v>35</v>
      </c>
      <c r="D18" s="117" t="s">
        <v>25</v>
      </c>
      <c r="E18" s="117" t="s">
        <v>25</v>
      </c>
      <c r="F18" s="117" t="s">
        <v>25</v>
      </c>
      <c r="G18" s="117" t="s">
        <v>37</v>
      </c>
      <c r="H18" s="117" t="s">
        <v>68</v>
      </c>
      <c r="I18" s="117" t="s">
        <v>25</v>
      </c>
      <c r="J18" s="117">
        <v>20.25</v>
      </c>
      <c r="K18" s="117">
        <v>-2.87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16.523216763477201</v>
      </c>
      <c r="R18" s="117">
        <v>3.7574751408440399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0</v>
      </c>
      <c r="AD18" s="117">
        <v>0</v>
      </c>
      <c r="AE18" s="117">
        <v>-1.9011871062180601E-2</v>
      </c>
      <c r="AF18" s="117">
        <v>0</v>
      </c>
      <c r="AG18" s="117">
        <v>-8.5191561365059402E-3</v>
      </c>
      <c r="AH18" s="117">
        <v>0</v>
      </c>
      <c r="AI18" s="117">
        <v>0</v>
      </c>
      <c r="AJ18" s="117">
        <v>0</v>
      </c>
      <c r="AK18" s="117">
        <v>0</v>
      </c>
      <c r="AL18" s="117">
        <v>0</v>
      </c>
      <c r="AM18" s="117">
        <v>0</v>
      </c>
      <c r="AN18" s="117">
        <v>-2.8668313806724002</v>
      </c>
      <c r="AO18" s="117">
        <v>0</v>
      </c>
      <c r="AP18" s="117">
        <v>0</v>
      </c>
      <c r="AQ18" s="117">
        <v>0</v>
      </c>
      <c r="AR18" s="117">
        <v>0</v>
      </c>
      <c r="AS18" s="117">
        <v>0</v>
      </c>
      <c r="AT18" s="118">
        <v>0</v>
      </c>
    </row>
    <row r="19" spans="2:46" ht="12" customHeight="1" x14ac:dyDescent="0.25">
      <c r="B19" s="116" t="s">
        <v>79</v>
      </c>
      <c r="C19" s="117" t="s">
        <v>78</v>
      </c>
      <c r="D19" s="117" t="s">
        <v>25</v>
      </c>
      <c r="E19" s="117" t="s">
        <v>25</v>
      </c>
      <c r="F19" s="117" t="s">
        <v>80</v>
      </c>
      <c r="G19" s="117" t="s">
        <v>25</v>
      </c>
      <c r="H19" s="117" t="s">
        <v>74</v>
      </c>
      <c r="I19" s="117" t="s">
        <v>25</v>
      </c>
      <c r="J19" s="117">
        <v>0</v>
      </c>
      <c r="K19" s="117">
        <v>0</v>
      </c>
      <c r="L19" s="117">
        <v>0</v>
      </c>
      <c r="M19" s="117">
        <v>0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0</v>
      </c>
      <c r="AB19" s="117"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0</v>
      </c>
      <c r="AL19" s="117">
        <v>0</v>
      </c>
      <c r="AM19" s="117">
        <v>0</v>
      </c>
      <c r="AN19" s="117">
        <v>0</v>
      </c>
      <c r="AO19" s="117">
        <v>0</v>
      </c>
      <c r="AP19" s="117">
        <v>0</v>
      </c>
      <c r="AQ19" s="117">
        <v>0</v>
      </c>
      <c r="AR19" s="117">
        <v>0</v>
      </c>
      <c r="AS19" s="117">
        <v>0</v>
      </c>
      <c r="AT19" s="118">
        <v>0</v>
      </c>
    </row>
    <row r="20" spans="2:46" ht="12" customHeight="1" x14ac:dyDescent="0.25">
      <c r="B20" s="116" t="s">
        <v>79</v>
      </c>
      <c r="C20" s="117" t="s">
        <v>78</v>
      </c>
      <c r="D20" s="117" t="s">
        <v>25</v>
      </c>
      <c r="E20" s="117" t="s">
        <v>25</v>
      </c>
      <c r="F20" s="117" t="s">
        <v>81</v>
      </c>
      <c r="G20" s="117" t="s">
        <v>25</v>
      </c>
      <c r="H20" s="117" t="s">
        <v>74</v>
      </c>
      <c r="I20" s="117" t="s">
        <v>25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0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7">
        <v>0</v>
      </c>
      <c r="AS20" s="117">
        <v>0</v>
      </c>
      <c r="AT20" s="118">
        <v>0</v>
      </c>
    </row>
    <row r="21" spans="2:46" ht="12" customHeight="1" x14ac:dyDescent="0.25">
      <c r="B21" s="116" t="s">
        <v>22</v>
      </c>
      <c r="C21" s="117" t="s">
        <v>38</v>
      </c>
      <c r="D21" s="117" t="s">
        <v>24</v>
      </c>
      <c r="E21" s="117" t="s">
        <v>24</v>
      </c>
      <c r="F21" s="117" t="s">
        <v>25</v>
      </c>
      <c r="G21" s="117" t="s">
        <v>36</v>
      </c>
      <c r="H21" s="117" t="s">
        <v>68</v>
      </c>
      <c r="I21" s="117" t="s">
        <v>25</v>
      </c>
      <c r="J21" s="117">
        <v>23.21</v>
      </c>
      <c r="K21" s="117">
        <v>-4.93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19.670496146996701</v>
      </c>
      <c r="R21" s="117">
        <v>3.7574751408440399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0</v>
      </c>
      <c r="Y21" s="117">
        <v>0</v>
      </c>
      <c r="Z21" s="117">
        <v>0</v>
      </c>
      <c r="AA21" s="117">
        <v>0</v>
      </c>
      <c r="AB21" s="117">
        <v>0</v>
      </c>
      <c r="AC21" s="117">
        <v>0</v>
      </c>
      <c r="AD21" s="117">
        <v>0</v>
      </c>
      <c r="AE21" s="117">
        <v>-0.20335486547661599</v>
      </c>
      <c r="AF21" s="117">
        <v>0</v>
      </c>
      <c r="AG21" s="117">
        <v>-1.5965883093291899E-2</v>
      </c>
      <c r="AH21" s="117">
        <v>0</v>
      </c>
      <c r="AI21" s="117">
        <v>0</v>
      </c>
      <c r="AJ21" s="117">
        <v>0</v>
      </c>
      <c r="AK21" s="117">
        <v>0</v>
      </c>
      <c r="AL21" s="117">
        <v>0</v>
      </c>
      <c r="AM21" s="117">
        <v>0</v>
      </c>
      <c r="AN21" s="117">
        <v>-4.9309499747565297</v>
      </c>
      <c r="AO21" s="117">
        <v>0</v>
      </c>
      <c r="AP21" s="117">
        <v>0</v>
      </c>
      <c r="AQ21" s="117">
        <v>0</v>
      </c>
      <c r="AR21" s="117">
        <v>0</v>
      </c>
      <c r="AS21" s="117">
        <v>0</v>
      </c>
      <c r="AT21" s="118">
        <v>0</v>
      </c>
    </row>
    <row r="22" spans="2:46" ht="12" customHeight="1" x14ac:dyDescent="0.25">
      <c r="B22" s="116" t="s">
        <v>22</v>
      </c>
      <c r="C22" s="117" t="s">
        <v>38</v>
      </c>
      <c r="D22" s="117" t="s">
        <v>24</v>
      </c>
      <c r="E22" s="117" t="s">
        <v>24</v>
      </c>
      <c r="F22" s="117" t="s">
        <v>25</v>
      </c>
      <c r="G22" s="117" t="s">
        <v>39</v>
      </c>
      <c r="H22" s="117" t="s">
        <v>68</v>
      </c>
      <c r="I22" s="117" t="s">
        <v>25</v>
      </c>
      <c r="J22" s="117">
        <v>23.21</v>
      </c>
      <c r="K22" s="117">
        <v>-2.87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19.670496146996701</v>
      </c>
      <c r="R22" s="117">
        <v>3.7574751408440399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0</v>
      </c>
      <c r="Y22" s="117">
        <v>0</v>
      </c>
      <c r="Z22" s="117">
        <v>0</v>
      </c>
      <c r="AA22" s="117">
        <v>0</v>
      </c>
      <c r="AB22" s="117">
        <v>0</v>
      </c>
      <c r="AC22" s="117">
        <v>0</v>
      </c>
      <c r="AD22" s="117">
        <v>0</v>
      </c>
      <c r="AE22" s="117">
        <v>-0.20335486547661599</v>
      </c>
      <c r="AF22" s="117">
        <v>0</v>
      </c>
      <c r="AG22" s="117">
        <v>-1.5965883093291899E-2</v>
      </c>
      <c r="AH22" s="117">
        <v>0</v>
      </c>
      <c r="AI22" s="117">
        <v>0</v>
      </c>
      <c r="AJ22" s="117">
        <v>0</v>
      </c>
      <c r="AK22" s="117">
        <v>0</v>
      </c>
      <c r="AL22" s="117">
        <v>0</v>
      </c>
      <c r="AM22" s="117">
        <v>0</v>
      </c>
      <c r="AN22" s="117">
        <v>-2.8668313806724002</v>
      </c>
      <c r="AO22" s="117">
        <v>0</v>
      </c>
      <c r="AP22" s="117">
        <v>0</v>
      </c>
      <c r="AQ22" s="117">
        <v>0</v>
      </c>
      <c r="AR22" s="117">
        <v>0</v>
      </c>
      <c r="AS22" s="117">
        <v>0</v>
      </c>
      <c r="AT22" s="118">
        <v>0</v>
      </c>
    </row>
    <row r="23" spans="2:46" ht="12" customHeight="1" x14ac:dyDescent="0.25">
      <c r="B23" s="116" t="s">
        <v>22</v>
      </c>
      <c r="C23" s="117" t="s">
        <v>38</v>
      </c>
      <c r="D23" s="117" t="s">
        <v>24</v>
      </c>
      <c r="E23" s="117" t="s">
        <v>24</v>
      </c>
      <c r="F23" s="117" t="s">
        <v>25</v>
      </c>
      <c r="G23" s="117" t="s">
        <v>37</v>
      </c>
      <c r="H23" s="117" t="s">
        <v>68</v>
      </c>
      <c r="I23" s="117" t="s">
        <v>25</v>
      </c>
      <c r="J23" s="117">
        <v>23.21</v>
      </c>
      <c r="K23" s="117">
        <v>-2.87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19.670496146996701</v>
      </c>
      <c r="R23" s="117">
        <v>3.7574751408440399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0</v>
      </c>
      <c r="Y23" s="117">
        <v>0</v>
      </c>
      <c r="Z23" s="117">
        <v>0</v>
      </c>
      <c r="AA23" s="117">
        <v>0</v>
      </c>
      <c r="AB23" s="117">
        <v>0</v>
      </c>
      <c r="AC23" s="117">
        <v>0</v>
      </c>
      <c r="AD23" s="117">
        <v>0</v>
      </c>
      <c r="AE23" s="117">
        <v>-0.20335486547661599</v>
      </c>
      <c r="AF23" s="117">
        <v>0</v>
      </c>
      <c r="AG23" s="117">
        <v>-1.5965883093291899E-2</v>
      </c>
      <c r="AH23" s="117">
        <v>0</v>
      </c>
      <c r="AI23" s="117">
        <v>0</v>
      </c>
      <c r="AJ23" s="117">
        <v>0</v>
      </c>
      <c r="AK23" s="117">
        <v>0</v>
      </c>
      <c r="AL23" s="117">
        <v>0</v>
      </c>
      <c r="AM23" s="117">
        <v>0</v>
      </c>
      <c r="AN23" s="117">
        <v>-2.8668313806724002</v>
      </c>
      <c r="AO23" s="117">
        <v>0</v>
      </c>
      <c r="AP23" s="117">
        <v>0</v>
      </c>
      <c r="AQ23" s="117">
        <v>0</v>
      </c>
      <c r="AR23" s="117">
        <v>0</v>
      </c>
      <c r="AS23" s="117">
        <v>0</v>
      </c>
      <c r="AT23" s="118">
        <v>0</v>
      </c>
    </row>
    <row r="24" spans="2:46" ht="12" customHeight="1" x14ac:dyDescent="0.25">
      <c r="B24" s="116" t="s">
        <v>22</v>
      </c>
      <c r="C24" s="117" t="s">
        <v>23</v>
      </c>
      <c r="D24" s="117" t="s">
        <v>24</v>
      </c>
      <c r="E24" s="117" t="s">
        <v>1185</v>
      </c>
      <c r="F24" s="117" t="s">
        <v>25</v>
      </c>
      <c r="G24" s="117" t="s">
        <v>25</v>
      </c>
      <c r="H24" s="117" t="s">
        <v>68</v>
      </c>
      <c r="I24" s="117" t="s">
        <v>25</v>
      </c>
      <c r="J24" s="117">
        <v>-0.22</v>
      </c>
      <c r="K24" s="117">
        <v>-3.04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0</v>
      </c>
      <c r="Y24" s="117">
        <v>0</v>
      </c>
      <c r="Z24" s="117">
        <v>0</v>
      </c>
      <c r="AA24" s="117">
        <v>0</v>
      </c>
      <c r="AB24" s="117">
        <v>0</v>
      </c>
      <c r="AC24" s="117">
        <v>0</v>
      </c>
      <c r="AD24" s="117">
        <v>0</v>
      </c>
      <c r="AE24" s="117">
        <v>-0.20335486547661599</v>
      </c>
      <c r="AF24" s="117">
        <v>0</v>
      </c>
      <c r="AG24" s="117">
        <v>-1.5965883093291899E-2</v>
      </c>
      <c r="AH24" s="117">
        <v>0</v>
      </c>
      <c r="AI24" s="117">
        <v>0</v>
      </c>
      <c r="AJ24" s="117">
        <v>0</v>
      </c>
      <c r="AK24" s="117">
        <v>0</v>
      </c>
      <c r="AL24" s="117">
        <v>0</v>
      </c>
      <c r="AM24" s="117">
        <v>0</v>
      </c>
      <c r="AN24" s="117">
        <v>-3.0388412635127402</v>
      </c>
      <c r="AO24" s="117">
        <v>0</v>
      </c>
      <c r="AP24" s="117">
        <v>0</v>
      </c>
      <c r="AQ24" s="117">
        <v>0</v>
      </c>
      <c r="AR24" s="117">
        <v>0</v>
      </c>
      <c r="AS24" s="117">
        <v>0</v>
      </c>
      <c r="AT24" s="118">
        <v>0</v>
      </c>
    </row>
    <row r="25" spans="2:46" ht="12" customHeight="1" x14ac:dyDescent="0.25">
      <c r="B25" s="116" t="s">
        <v>22</v>
      </c>
      <c r="C25" s="117" t="s">
        <v>23</v>
      </c>
      <c r="D25" s="117" t="s">
        <v>24</v>
      </c>
      <c r="E25" s="117" t="s">
        <v>24</v>
      </c>
      <c r="F25" s="117" t="s">
        <v>25</v>
      </c>
      <c r="G25" s="117" t="s">
        <v>25</v>
      </c>
      <c r="H25" s="117" t="s">
        <v>68</v>
      </c>
      <c r="I25" s="117" t="s">
        <v>25</v>
      </c>
      <c r="J25" s="117">
        <v>23.21</v>
      </c>
      <c r="K25" s="117">
        <v>-3.04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19.670496146996701</v>
      </c>
      <c r="R25" s="117">
        <v>3.7574751408440399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0</v>
      </c>
      <c r="Y25" s="117">
        <v>0</v>
      </c>
      <c r="Z25" s="117">
        <v>0</v>
      </c>
      <c r="AA25" s="117">
        <v>0</v>
      </c>
      <c r="AB25" s="117">
        <v>0</v>
      </c>
      <c r="AC25" s="117">
        <v>0</v>
      </c>
      <c r="AD25" s="117">
        <v>0</v>
      </c>
      <c r="AE25" s="117">
        <v>-0.20335486547661599</v>
      </c>
      <c r="AF25" s="117">
        <v>0</v>
      </c>
      <c r="AG25" s="117">
        <v>-1.5965883093291899E-2</v>
      </c>
      <c r="AH25" s="117">
        <v>0</v>
      </c>
      <c r="AI25" s="117">
        <v>0</v>
      </c>
      <c r="AJ25" s="117">
        <v>0</v>
      </c>
      <c r="AK25" s="117">
        <v>0</v>
      </c>
      <c r="AL25" s="117">
        <v>0</v>
      </c>
      <c r="AM25" s="117">
        <v>0</v>
      </c>
      <c r="AN25" s="117">
        <v>-3.0388412635127402</v>
      </c>
      <c r="AO25" s="117">
        <v>0</v>
      </c>
      <c r="AP25" s="117">
        <v>0</v>
      </c>
      <c r="AQ25" s="117">
        <v>0</v>
      </c>
      <c r="AR25" s="117">
        <v>0</v>
      </c>
      <c r="AS25" s="117">
        <v>0</v>
      </c>
      <c r="AT25" s="118">
        <v>0</v>
      </c>
    </row>
    <row r="26" spans="2:46" ht="12" customHeight="1" x14ac:dyDescent="0.25">
      <c r="B26" s="116" t="s">
        <v>22</v>
      </c>
      <c r="C26" s="117" t="s">
        <v>84</v>
      </c>
      <c r="D26" s="117" t="s">
        <v>24</v>
      </c>
      <c r="E26" s="117" t="s">
        <v>1185</v>
      </c>
      <c r="F26" s="117" t="s">
        <v>25</v>
      </c>
      <c r="G26" s="117" t="s">
        <v>25</v>
      </c>
      <c r="H26" s="117" t="s">
        <v>68</v>
      </c>
      <c r="I26" s="117" t="s">
        <v>25</v>
      </c>
      <c r="J26" s="117">
        <v>-0.22</v>
      </c>
      <c r="K26" s="117">
        <v>-3.04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0</v>
      </c>
      <c r="Y26" s="117">
        <v>0</v>
      </c>
      <c r="Z26" s="117">
        <v>0</v>
      </c>
      <c r="AA26" s="117">
        <v>0</v>
      </c>
      <c r="AB26" s="117">
        <v>0</v>
      </c>
      <c r="AC26" s="117">
        <v>0</v>
      </c>
      <c r="AD26" s="117">
        <v>0</v>
      </c>
      <c r="AE26" s="117">
        <v>-0.20335486547661599</v>
      </c>
      <c r="AF26" s="117">
        <v>0</v>
      </c>
      <c r="AG26" s="117">
        <v>-1.5965883093291899E-2</v>
      </c>
      <c r="AH26" s="117">
        <v>0</v>
      </c>
      <c r="AI26" s="117">
        <v>0</v>
      </c>
      <c r="AJ26" s="117">
        <v>0</v>
      </c>
      <c r="AK26" s="117">
        <v>0</v>
      </c>
      <c r="AL26" s="117">
        <v>0</v>
      </c>
      <c r="AM26" s="117">
        <v>0</v>
      </c>
      <c r="AN26" s="117">
        <v>-3.0388412635127402</v>
      </c>
      <c r="AO26" s="117">
        <v>0</v>
      </c>
      <c r="AP26" s="117">
        <v>0</v>
      </c>
      <c r="AQ26" s="117">
        <v>0</v>
      </c>
      <c r="AR26" s="117">
        <v>0</v>
      </c>
      <c r="AS26" s="117">
        <v>0</v>
      </c>
      <c r="AT26" s="118">
        <v>0</v>
      </c>
    </row>
    <row r="27" spans="2:46" ht="12" customHeight="1" x14ac:dyDescent="0.25">
      <c r="B27" s="116" t="s">
        <v>22</v>
      </c>
      <c r="C27" s="117" t="s">
        <v>84</v>
      </c>
      <c r="D27" s="117" t="s">
        <v>24</v>
      </c>
      <c r="E27" s="117" t="s">
        <v>24</v>
      </c>
      <c r="F27" s="117" t="s">
        <v>25</v>
      </c>
      <c r="G27" s="117" t="s">
        <v>25</v>
      </c>
      <c r="H27" s="117" t="s">
        <v>68</v>
      </c>
      <c r="I27" s="117" t="s">
        <v>25</v>
      </c>
      <c r="J27" s="117">
        <v>23.21</v>
      </c>
      <c r="K27" s="117">
        <v>-3.04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19.670496146996701</v>
      </c>
      <c r="R27" s="117">
        <v>3.7574751408440399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0</v>
      </c>
      <c r="Y27" s="117">
        <v>0</v>
      </c>
      <c r="Z27" s="117">
        <v>0</v>
      </c>
      <c r="AA27" s="117">
        <v>0</v>
      </c>
      <c r="AB27" s="117">
        <v>0</v>
      </c>
      <c r="AC27" s="117">
        <v>0</v>
      </c>
      <c r="AD27" s="117">
        <v>0</v>
      </c>
      <c r="AE27" s="117">
        <v>-0.20335486547661599</v>
      </c>
      <c r="AF27" s="117">
        <v>0</v>
      </c>
      <c r="AG27" s="117">
        <v>-1.5965883093291899E-2</v>
      </c>
      <c r="AH27" s="117">
        <v>0</v>
      </c>
      <c r="AI27" s="117">
        <v>0</v>
      </c>
      <c r="AJ27" s="117">
        <v>0</v>
      </c>
      <c r="AK27" s="117">
        <v>0</v>
      </c>
      <c r="AL27" s="117">
        <v>0</v>
      </c>
      <c r="AM27" s="117">
        <v>0</v>
      </c>
      <c r="AN27" s="117">
        <v>-3.0388412635127402</v>
      </c>
      <c r="AO27" s="117">
        <v>0</v>
      </c>
      <c r="AP27" s="117">
        <v>0</v>
      </c>
      <c r="AQ27" s="117">
        <v>0</v>
      </c>
      <c r="AR27" s="117">
        <v>0</v>
      </c>
      <c r="AS27" s="117">
        <v>0</v>
      </c>
      <c r="AT27" s="118">
        <v>0</v>
      </c>
    </row>
    <row r="28" spans="2:46" ht="12" customHeight="1" x14ac:dyDescent="0.25">
      <c r="B28" s="116" t="s">
        <v>41</v>
      </c>
      <c r="C28" s="117" t="s">
        <v>38</v>
      </c>
      <c r="D28" s="117" t="s">
        <v>42</v>
      </c>
      <c r="E28" s="117" t="s">
        <v>85</v>
      </c>
      <c r="F28" s="117" t="s">
        <v>25</v>
      </c>
      <c r="G28" s="117" t="s">
        <v>36</v>
      </c>
      <c r="H28" s="117" t="s">
        <v>68</v>
      </c>
      <c r="I28" s="117" t="s">
        <v>25</v>
      </c>
      <c r="J28" s="117">
        <v>21.82</v>
      </c>
      <c r="K28" s="117">
        <v>-4.6399999999999997</v>
      </c>
      <c r="L28" s="117">
        <v>0</v>
      </c>
      <c r="M28" s="117">
        <v>0</v>
      </c>
      <c r="N28" s="117">
        <v>0</v>
      </c>
      <c r="O28" s="117">
        <v>0</v>
      </c>
      <c r="P28" s="117">
        <v>0</v>
      </c>
      <c r="Q28" s="117">
        <v>18.490266378176901</v>
      </c>
      <c r="R28" s="117">
        <v>3.5320266323934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0</v>
      </c>
      <c r="Y28" s="117">
        <v>0</v>
      </c>
      <c r="Z28" s="117">
        <v>0</v>
      </c>
      <c r="AA28" s="117">
        <v>0</v>
      </c>
      <c r="AB28" s="117">
        <v>0</v>
      </c>
      <c r="AC28" s="117">
        <v>0</v>
      </c>
      <c r="AD28" s="117">
        <v>0</v>
      </c>
      <c r="AE28" s="117">
        <v>-0.19115357354801901</v>
      </c>
      <c r="AF28" s="117">
        <v>0</v>
      </c>
      <c r="AG28" s="117">
        <v>-1.5007930107694399E-2</v>
      </c>
      <c r="AH28" s="117">
        <v>0</v>
      </c>
      <c r="AI28" s="117">
        <v>0</v>
      </c>
      <c r="AJ28" s="117">
        <v>0</v>
      </c>
      <c r="AK28" s="117">
        <v>0</v>
      </c>
      <c r="AL28" s="117">
        <v>0</v>
      </c>
      <c r="AM28" s="117">
        <v>0</v>
      </c>
      <c r="AN28" s="117">
        <v>-4.6350929762711299</v>
      </c>
      <c r="AO28" s="117">
        <v>0</v>
      </c>
      <c r="AP28" s="117">
        <v>0</v>
      </c>
      <c r="AQ28" s="117">
        <v>0</v>
      </c>
      <c r="AR28" s="117">
        <v>0</v>
      </c>
      <c r="AS28" s="117">
        <v>0</v>
      </c>
      <c r="AT28" s="118">
        <v>0</v>
      </c>
    </row>
    <row r="29" spans="2:46" ht="12" customHeight="1" x14ac:dyDescent="0.25">
      <c r="B29" s="116" t="s">
        <v>41</v>
      </c>
      <c r="C29" s="117" t="s">
        <v>38</v>
      </c>
      <c r="D29" s="117" t="s">
        <v>42</v>
      </c>
      <c r="E29" s="117" t="s">
        <v>85</v>
      </c>
      <c r="F29" s="117" t="s">
        <v>25</v>
      </c>
      <c r="G29" s="117" t="s">
        <v>39</v>
      </c>
      <c r="H29" s="117" t="s">
        <v>68</v>
      </c>
      <c r="I29" s="117" t="s">
        <v>25</v>
      </c>
      <c r="J29" s="117">
        <v>21.82</v>
      </c>
      <c r="K29" s="117">
        <v>-2.69</v>
      </c>
      <c r="L29" s="117">
        <v>0</v>
      </c>
      <c r="M29" s="117">
        <v>0</v>
      </c>
      <c r="N29" s="117">
        <v>0</v>
      </c>
      <c r="O29" s="117">
        <v>0</v>
      </c>
      <c r="P29" s="117">
        <v>0</v>
      </c>
      <c r="Q29" s="117">
        <v>18.490266378176901</v>
      </c>
      <c r="R29" s="117">
        <v>3.5320266323934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0</v>
      </c>
      <c r="Y29" s="117">
        <v>0</v>
      </c>
      <c r="Z29" s="117">
        <v>0</v>
      </c>
      <c r="AA29" s="117">
        <v>0</v>
      </c>
      <c r="AB29" s="117">
        <v>0</v>
      </c>
      <c r="AC29" s="117">
        <v>0</v>
      </c>
      <c r="AD29" s="117">
        <v>0</v>
      </c>
      <c r="AE29" s="117">
        <v>-0.19115357354801901</v>
      </c>
      <c r="AF29" s="117">
        <v>0</v>
      </c>
      <c r="AG29" s="117">
        <v>-1.5007930107694399E-2</v>
      </c>
      <c r="AH29" s="117">
        <v>0</v>
      </c>
      <c r="AI29" s="117">
        <v>0</v>
      </c>
      <c r="AJ29" s="117">
        <v>0</v>
      </c>
      <c r="AK29" s="117">
        <v>0</v>
      </c>
      <c r="AL29" s="117">
        <v>0</v>
      </c>
      <c r="AM29" s="117">
        <v>0</v>
      </c>
      <c r="AN29" s="117">
        <v>-2.6948214978320499</v>
      </c>
      <c r="AO29" s="117">
        <v>0</v>
      </c>
      <c r="AP29" s="117">
        <v>0</v>
      </c>
      <c r="AQ29" s="117">
        <v>0</v>
      </c>
      <c r="AR29" s="117">
        <v>0</v>
      </c>
      <c r="AS29" s="117">
        <v>0</v>
      </c>
      <c r="AT29" s="118">
        <v>0</v>
      </c>
    </row>
    <row r="30" spans="2:46" ht="12" customHeight="1" x14ac:dyDescent="0.25">
      <c r="B30" s="116" t="s">
        <v>41</v>
      </c>
      <c r="C30" s="117" t="s">
        <v>38</v>
      </c>
      <c r="D30" s="117" t="s">
        <v>42</v>
      </c>
      <c r="E30" s="117" t="s">
        <v>85</v>
      </c>
      <c r="F30" s="117" t="s">
        <v>25</v>
      </c>
      <c r="G30" s="117" t="s">
        <v>37</v>
      </c>
      <c r="H30" s="117" t="s">
        <v>68</v>
      </c>
      <c r="I30" s="117" t="s">
        <v>25</v>
      </c>
      <c r="J30" s="117">
        <v>21.82</v>
      </c>
      <c r="K30" s="117">
        <v>-2.69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18.490266378176901</v>
      </c>
      <c r="R30" s="117">
        <v>3.5320266323934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0</v>
      </c>
      <c r="Y30" s="117">
        <v>0</v>
      </c>
      <c r="Z30" s="117">
        <v>0</v>
      </c>
      <c r="AA30" s="117">
        <v>0</v>
      </c>
      <c r="AB30" s="117">
        <v>0</v>
      </c>
      <c r="AC30" s="117">
        <v>0</v>
      </c>
      <c r="AD30" s="117">
        <v>0</v>
      </c>
      <c r="AE30" s="117">
        <v>-0.19115357354801901</v>
      </c>
      <c r="AF30" s="117">
        <v>0</v>
      </c>
      <c r="AG30" s="117">
        <v>-1.5007930107694399E-2</v>
      </c>
      <c r="AH30" s="117">
        <v>0</v>
      </c>
      <c r="AI30" s="117">
        <v>0</v>
      </c>
      <c r="AJ30" s="117">
        <v>0</v>
      </c>
      <c r="AK30" s="117">
        <v>0</v>
      </c>
      <c r="AL30" s="117">
        <v>0</v>
      </c>
      <c r="AM30" s="117">
        <v>0</v>
      </c>
      <c r="AN30" s="117">
        <v>-2.6948214978320499</v>
      </c>
      <c r="AO30" s="117">
        <v>0</v>
      </c>
      <c r="AP30" s="117">
        <v>0</v>
      </c>
      <c r="AQ30" s="117">
        <v>0</v>
      </c>
      <c r="AR30" s="117">
        <v>0</v>
      </c>
      <c r="AS30" s="117">
        <v>0</v>
      </c>
      <c r="AT30" s="118">
        <v>0</v>
      </c>
    </row>
    <row r="31" spans="2:46" ht="12" customHeight="1" x14ac:dyDescent="0.25">
      <c r="B31" s="116" t="s">
        <v>41</v>
      </c>
      <c r="C31" s="117" t="s">
        <v>38</v>
      </c>
      <c r="D31" s="117" t="s">
        <v>42</v>
      </c>
      <c r="E31" s="117" t="s">
        <v>25</v>
      </c>
      <c r="F31" s="117" t="s">
        <v>25</v>
      </c>
      <c r="G31" s="117" t="s">
        <v>36</v>
      </c>
      <c r="H31" s="117" t="s">
        <v>68</v>
      </c>
      <c r="I31" s="117" t="s">
        <v>25</v>
      </c>
      <c r="J31" s="117">
        <v>21.82</v>
      </c>
      <c r="K31" s="117">
        <v>-4.6399999999999997</v>
      </c>
      <c r="L31" s="117">
        <v>0</v>
      </c>
      <c r="M31" s="117">
        <v>0</v>
      </c>
      <c r="N31" s="117">
        <v>0</v>
      </c>
      <c r="O31" s="117">
        <v>0</v>
      </c>
      <c r="P31" s="117">
        <v>0</v>
      </c>
      <c r="Q31" s="117">
        <v>18.490266378176901</v>
      </c>
      <c r="R31" s="117">
        <v>3.5320266323934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0</v>
      </c>
      <c r="Y31" s="117">
        <v>0</v>
      </c>
      <c r="Z31" s="117">
        <v>0</v>
      </c>
      <c r="AA31" s="117">
        <v>0</v>
      </c>
      <c r="AB31" s="117">
        <v>0</v>
      </c>
      <c r="AC31" s="117">
        <v>0</v>
      </c>
      <c r="AD31" s="117">
        <v>0</v>
      </c>
      <c r="AE31" s="117">
        <v>-0.19115357354801901</v>
      </c>
      <c r="AF31" s="117">
        <v>0</v>
      </c>
      <c r="AG31" s="117">
        <v>-1.5007930107694399E-2</v>
      </c>
      <c r="AH31" s="117">
        <v>0</v>
      </c>
      <c r="AI31" s="117">
        <v>0</v>
      </c>
      <c r="AJ31" s="117">
        <v>0</v>
      </c>
      <c r="AK31" s="117">
        <v>0</v>
      </c>
      <c r="AL31" s="117">
        <v>0</v>
      </c>
      <c r="AM31" s="117">
        <v>0</v>
      </c>
      <c r="AN31" s="117">
        <v>-4.6350929762711299</v>
      </c>
      <c r="AO31" s="117">
        <v>0</v>
      </c>
      <c r="AP31" s="117">
        <v>0</v>
      </c>
      <c r="AQ31" s="117">
        <v>0</v>
      </c>
      <c r="AR31" s="117">
        <v>0</v>
      </c>
      <c r="AS31" s="117">
        <v>0</v>
      </c>
      <c r="AT31" s="118">
        <v>0</v>
      </c>
    </row>
    <row r="32" spans="2:46" ht="12" customHeight="1" x14ac:dyDescent="0.25">
      <c r="B32" s="116" t="s">
        <v>41</v>
      </c>
      <c r="C32" s="117" t="s">
        <v>38</v>
      </c>
      <c r="D32" s="117" t="s">
        <v>42</v>
      </c>
      <c r="E32" s="117" t="s">
        <v>25</v>
      </c>
      <c r="F32" s="117" t="s">
        <v>25</v>
      </c>
      <c r="G32" s="117" t="s">
        <v>39</v>
      </c>
      <c r="H32" s="117" t="s">
        <v>68</v>
      </c>
      <c r="I32" s="117" t="s">
        <v>25</v>
      </c>
      <c r="J32" s="117">
        <v>21.82</v>
      </c>
      <c r="K32" s="117">
        <v>-2.69</v>
      </c>
      <c r="L32" s="117">
        <v>0</v>
      </c>
      <c r="M32" s="117">
        <v>0</v>
      </c>
      <c r="N32" s="117">
        <v>0</v>
      </c>
      <c r="O32" s="117">
        <v>0</v>
      </c>
      <c r="P32" s="117">
        <v>0</v>
      </c>
      <c r="Q32" s="117">
        <v>18.490266378176901</v>
      </c>
      <c r="R32" s="117">
        <v>3.5320266323934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0</v>
      </c>
      <c r="Y32" s="117">
        <v>0</v>
      </c>
      <c r="Z32" s="117">
        <v>0</v>
      </c>
      <c r="AA32" s="117">
        <v>0</v>
      </c>
      <c r="AB32" s="117">
        <v>0</v>
      </c>
      <c r="AC32" s="117">
        <v>0</v>
      </c>
      <c r="AD32" s="117">
        <v>0</v>
      </c>
      <c r="AE32" s="117">
        <v>-0.19115357354801901</v>
      </c>
      <c r="AF32" s="117">
        <v>0</v>
      </c>
      <c r="AG32" s="117">
        <v>-1.5007930107694399E-2</v>
      </c>
      <c r="AH32" s="117">
        <v>0</v>
      </c>
      <c r="AI32" s="117">
        <v>0</v>
      </c>
      <c r="AJ32" s="117">
        <v>0</v>
      </c>
      <c r="AK32" s="117">
        <v>0</v>
      </c>
      <c r="AL32" s="117">
        <v>0</v>
      </c>
      <c r="AM32" s="117">
        <v>0</v>
      </c>
      <c r="AN32" s="117">
        <v>-2.6948214978320499</v>
      </c>
      <c r="AO32" s="117">
        <v>0</v>
      </c>
      <c r="AP32" s="117">
        <v>0</v>
      </c>
      <c r="AQ32" s="117">
        <v>0</v>
      </c>
      <c r="AR32" s="117">
        <v>0</v>
      </c>
      <c r="AS32" s="117">
        <v>0</v>
      </c>
      <c r="AT32" s="118">
        <v>0</v>
      </c>
    </row>
    <row r="33" spans="2:46" ht="12" customHeight="1" x14ac:dyDescent="0.25">
      <c r="B33" s="116" t="s">
        <v>41</v>
      </c>
      <c r="C33" s="117" t="s">
        <v>38</v>
      </c>
      <c r="D33" s="117" t="s">
        <v>42</v>
      </c>
      <c r="E33" s="117" t="s">
        <v>25</v>
      </c>
      <c r="F33" s="117" t="s">
        <v>25</v>
      </c>
      <c r="G33" s="117" t="s">
        <v>37</v>
      </c>
      <c r="H33" s="117" t="s">
        <v>68</v>
      </c>
      <c r="I33" s="117" t="s">
        <v>25</v>
      </c>
      <c r="J33" s="117">
        <v>21.82</v>
      </c>
      <c r="K33" s="117">
        <v>-2.69</v>
      </c>
      <c r="L33" s="117">
        <v>0</v>
      </c>
      <c r="M33" s="117">
        <v>0</v>
      </c>
      <c r="N33" s="117">
        <v>0</v>
      </c>
      <c r="O33" s="117">
        <v>0</v>
      </c>
      <c r="P33" s="117">
        <v>0</v>
      </c>
      <c r="Q33" s="117">
        <v>18.490266378176901</v>
      </c>
      <c r="R33" s="117">
        <v>3.5320266323934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0</v>
      </c>
      <c r="Y33" s="117">
        <v>0</v>
      </c>
      <c r="Z33" s="117">
        <v>0</v>
      </c>
      <c r="AA33" s="117">
        <v>0</v>
      </c>
      <c r="AB33" s="117">
        <v>0</v>
      </c>
      <c r="AC33" s="117">
        <v>0</v>
      </c>
      <c r="AD33" s="117">
        <v>0</v>
      </c>
      <c r="AE33" s="117">
        <v>-0.19115357354801901</v>
      </c>
      <c r="AF33" s="117">
        <v>0</v>
      </c>
      <c r="AG33" s="117">
        <v>-1.5007930107694399E-2</v>
      </c>
      <c r="AH33" s="117">
        <v>0</v>
      </c>
      <c r="AI33" s="117">
        <v>0</v>
      </c>
      <c r="AJ33" s="117">
        <v>0</v>
      </c>
      <c r="AK33" s="117">
        <v>0</v>
      </c>
      <c r="AL33" s="117">
        <v>0</v>
      </c>
      <c r="AM33" s="117">
        <v>0</v>
      </c>
      <c r="AN33" s="117">
        <v>-2.6948214978320499</v>
      </c>
      <c r="AO33" s="117">
        <v>0</v>
      </c>
      <c r="AP33" s="117">
        <v>0</v>
      </c>
      <c r="AQ33" s="117">
        <v>0</v>
      </c>
      <c r="AR33" s="117">
        <v>0</v>
      </c>
      <c r="AS33" s="117">
        <v>0</v>
      </c>
      <c r="AT33" s="118">
        <v>0</v>
      </c>
    </row>
    <row r="34" spans="2:46" ht="12" customHeight="1" x14ac:dyDescent="0.25">
      <c r="B34" s="116" t="s">
        <v>41</v>
      </c>
      <c r="C34" s="117" t="s">
        <v>38</v>
      </c>
      <c r="D34" s="117" t="s">
        <v>42</v>
      </c>
      <c r="E34" s="117" t="s">
        <v>86</v>
      </c>
      <c r="F34" s="117" t="s">
        <v>25</v>
      </c>
      <c r="G34" s="117" t="s">
        <v>36</v>
      </c>
      <c r="H34" s="117" t="s">
        <v>68</v>
      </c>
      <c r="I34" s="117" t="s">
        <v>25</v>
      </c>
      <c r="J34" s="117">
        <v>21.35</v>
      </c>
      <c r="K34" s="117">
        <v>-4.54</v>
      </c>
      <c r="L34" s="117">
        <v>0</v>
      </c>
      <c r="M34" s="117">
        <v>0</v>
      </c>
      <c r="N34" s="117">
        <v>0</v>
      </c>
      <c r="O34" s="117">
        <v>0</v>
      </c>
      <c r="P34" s="117">
        <v>0</v>
      </c>
      <c r="Q34" s="117">
        <v>18.096856455236999</v>
      </c>
      <c r="R34" s="117">
        <v>3.4568771295765202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0</v>
      </c>
      <c r="Y34" s="117">
        <v>0</v>
      </c>
      <c r="Z34" s="117">
        <v>0</v>
      </c>
      <c r="AA34" s="117">
        <v>0</v>
      </c>
      <c r="AB34" s="117">
        <v>0</v>
      </c>
      <c r="AC34" s="117">
        <v>0</v>
      </c>
      <c r="AD34" s="117">
        <v>0</v>
      </c>
      <c r="AE34" s="117">
        <v>-0.18708647623848701</v>
      </c>
      <c r="AF34" s="117">
        <v>0</v>
      </c>
      <c r="AG34" s="117">
        <v>-1.46886124458286E-2</v>
      </c>
      <c r="AH34" s="117">
        <v>0</v>
      </c>
      <c r="AI34" s="117">
        <v>0</v>
      </c>
      <c r="AJ34" s="117">
        <v>0</v>
      </c>
      <c r="AK34" s="117">
        <v>0</v>
      </c>
      <c r="AL34" s="117">
        <v>0</v>
      </c>
      <c r="AM34" s="117">
        <v>0</v>
      </c>
      <c r="AN34" s="117">
        <v>-4.5364739767759996</v>
      </c>
      <c r="AO34" s="117">
        <v>0</v>
      </c>
      <c r="AP34" s="117">
        <v>0</v>
      </c>
      <c r="AQ34" s="117">
        <v>0</v>
      </c>
      <c r="AR34" s="117">
        <v>0</v>
      </c>
      <c r="AS34" s="117">
        <v>0</v>
      </c>
      <c r="AT34" s="118">
        <v>0</v>
      </c>
    </row>
    <row r="35" spans="2:46" ht="12" customHeight="1" x14ac:dyDescent="0.25">
      <c r="B35" s="116" t="s">
        <v>41</v>
      </c>
      <c r="C35" s="117" t="s">
        <v>38</v>
      </c>
      <c r="D35" s="117" t="s">
        <v>42</v>
      </c>
      <c r="E35" s="117" t="s">
        <v>86</v>
      </c>
      <c r="F35" s="117" t="s">
        <v>25</v>
      </c>
      <c r="G35" s="117" t="s">
        <v>39</v>
      </c>
      <c r="H35" s="117" t="s">
        <v>68</v>
      </c>
      <c r="I35" s="117" t="s">
        <v>25</v>
      </c>
      <c r="J35" s="117">
        <v>21.35</v>
      </c>
      <c r="K35" s="117">
        <v>-2.64</v>
      </c>
      <c r="L35" s="117">
        <v>0</v>
      </c>
      <c r="M35" s="117">
        <v>0</v>
      </c>
      <c r="N35" s="117">
        <v>0</v>
      </c>
      <c r="O35" s="117">
        <v>0</v>
      </c>
      <c r="P35" s="117">
        <v>0</v>
      </c>
      <c r="Q35" s="117">
        <v>18.096856455236999</v>
      </c>
      <c r="R35" s="117">
        <v>3.4568771295765202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0</v>
      </c>
      <c r="Y35" s="117">
        <v>0</v>
      </c>
      <c r="Z35" s="117">
        <v>0</v>
      </c>
      <c r="AA35" s="117">
        <v>0</v>
      </c>
      <c r="AB35" s="117">
        <v>0</v>
      </c>
      <c r="AC35" s="117">
        <v>0</v>
      </c>
      <c r="AD35" s="117">
        <v>0</v>
      </c>
      <c r="AE35" s="117">
        <v>-0.18708647623848701</v>
      </c>
      <c r="AF35" s="117">
        <v>0</v>
      </c>
      <c r="AG35" s="117">
        <v>-1.46886124458286E-2</v>
      </c>
      <c r="AH35" s="117">
        <v>0</v>
      </c>
      <c r="AI35" s="117">
        <v>0</v>
      </c>
      <c r="AJ35" s="117">
        <v>0</v>
      </c>
      <c r="AK35" s="117">
        <v>0</v>
      </c>
      <c r="AL35" s="117">
        <v>0</v>
      </c>
      <c r="AM35" s="117">
        <v>0</v>
      </c>
      <c r="AN35" s="117">
        <v>-2.6374848702186098</v>
      </c>
      <c r="AO35" s="117">
        <v>0</v>
      </c>
      <c r="AP35" s="117">
        <v>0</v>
      </c>
      <c r="AQ35" s="117">
        <v>0</v>
      </c>
      <c r="AR35" s="117">
        <v>0</v>
      </c>
      <c r="AS35" s="117">
        <v>0</v>
      </c>
      <c r="AT35" s="118">
        <v>0</v>
      </c>
    </row>
    <row r="36" spans="2:46" ht="12" customHeight="1" x14ac:dyDescent="0.25">
      <c r="B36" s="116" t="s">
        <v>41</v>
      </c>
      <c r="C36" s="117" t="s">
        <v>38</v>
      </c>
      <c r="D36" s="117" t="s">
        <v>42</v>
      </c>
      <c r="E36" s="117" t="s">
        <v>86</v>
      </c>
      <c r="F36" s="117" t="s">
        <v>25</v>
      </c>
      <c r="G36" s="117" t="s">
        <v>37</v>
      </c>
      <c r="H36" s="117" t="s">
        <v>68</v>
      </c>
      <c r="I36" s="117" t="s">
        <v>25</v>
      </c>
      <c r="J36" s="117">
        <v>21.35</v>
      </c>
      <c r="K36" s="117">
        <v>-2.64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18.096856455236999</v>
      </c>
      <c r="R36" s="117">
        <v>3.4568771295765202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0</v>
      </c>
      <c r="Y36" s="117">
        <v>0</v>
      </c>
      <c r="Z36" s="117">
        <v>0</v>
      </c>
      <c r="AA36" s="117">
        <v>0</v>
      </c>
      <c r="AB36" s="117">
        <v>0</v>
      </c>
      <c r="AC36" s="117">
        <v>0</v>
      </c>
      <c r="AD36" s="117">
        <v>0</v>
      </c>
      <c r="AE36" s="117">
        <v>-0.18708647623848701</v>
      </c>
      <c r="AF36" s="117">
        <v>0</v>
      </c>
      <c r="AG36" s="117">
        <v>-1.46886124458286E-2</v>
      </c>
      <c r="AH36" s="117">
        <v>0</v>
      </c>
      <c r="AI36" s="117">
        <v>0</v>
      </c>
      <c r="AJ36" s="117">
        <v>0</v>
      </c>
      <c r="AK36" s="117">
        <v>0</v>
      </c>
      <c r="AL36" s="117">
        <v>0</v>
      </c>
      <c r="AM36" s="117">
        <v>0</v>
      </c>
      <c r="AN36" s="117">
        <v>-2.6374848702186098</v>
      </c>
      <c r="AO36" s="117">
        <v>0</v>
      </c>
      <c r="AP36" s="117">
        <v>0</v>
      </c>
      <c r="AQ36" s="117">
        <v>0</v>
      </c>
      <c r="AR36" s="117">
        <v>0</v>
      </c>
      <c r="AS36" s="117">
        <v>0</v>
      </c>
      <c r="AT36" s="118">
        <v>0</v>
      </c>
    </row>
    <row r="37" spans="2:46" ht="12" customHeight="1" x14ac:dyDescent="0.25">
      <c r="B37" s="116" t="s">
        <v>41</v>
      </c>
      <c r="C37" s="117" t="s">
        <v>23</v>
      </c>
      <c r="D37" s="117" t="s">
        <v>42</v>
      </c>
      <c r="E37" s="117" t="s">
        <v>85</v>
      </c>
      <c r="F37" s="117" t="s">
        <v>25</v>
      </c>
      <c r="G37" s="117" t="s">
        <v>25</v>
      </c>
      <c r="H37" s="117" t="s">
        <v>68</v>
      </c>
      <c r="I37" s="117" t="s">
        <v>25</v>
      </c>
      <c r="J37" s="117">
        <v>21.82</v>
      </c>
      <c r="K37" s="117">
        <v>-2.86</v>
      </c>
      <c r="L37" s="117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18.490266378176901</v>
      </c>
      <c r="R37" s="117">
        <v>3.5320266323934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-0.19115357354801901</v>
      </c>
      <c r="AF37" s="117">
        <v>0</v>
      </c>
      <c r="AG37" s="117">
        <v>-1.5007930107694399E-2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-2.8565107877019802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8">
        <v>0</v>
      </c>
    </row>
    <row r="38" spans="2:46" ht="12" customHeight="1" x14ac:dyDescent="0.25">
      <c r="B38" s="116" t="s">
        <v>41</v>
      </c>
      <c r="C38" s="117" t="s">
        <v>23</v>
      </c>
      <c r="D38" s="117" t="s">
        <v>42</v>
      </c>
      <c r="E38" s="117" t="s">
        <v>25</v>
      </c>
      <c r="F38" s="117" t="s">
        <v>25</v>
      </c>
      <c r="G38" s="117" t="s">
        <v>25</v>
      </c>
      <c r="H38" s="117" t="s">
        <v>68</v>
      </c>
      <c r="I38" s="117" t="s">
        <v>25</v>
      </c>
      <c r="J38" s="117">
        <v>21.82</v>
      </c>
      <c r="K38" s="117">
        <v>-2.86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18.490266378176901</v>
      </c>
      <c r="R38" s="117">
        <v>3.5320266323934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0</v>
      </c>
      <c r="Y38" s="117">
        <v>0</v>
      </c>
      <c r="Z38" s="117">
        <v>0</v>
      </c>
      <c r="AA38" s="117">
        <v>0</v>
      </c>
      <c r="AB38" s="117">
        <v>0</v>
      </c>
      <c r="AC38" s="117">
        <v>0</v>
      </c>
      <c r="AD38" s="117">
        <v>0</v>
      </c>
      <c r="AE38" s="117">
        <v>-0.19115357354801901</v>
      </c>
      <c r="AF38" s="117">
        <v>0</v>
      </c>
      <c r="AG38" s="117">
        <v>-1.5007930107694399E-2</v>
      </c>
      <c r="AH38" s="117">
        <v>0</v>
      </c>
      <c r="AI38" s="117">
        <v>0</v>
      </c>
      <c r="AJ38" s="117">
        <v>0</v>
      </c>
      <c r="AK38" s="117">
        <v>0</v>
      </c>
      <c r="AL38" s="117">
        <v>0</v>
      </c>
      <c r="AM38" s="117">
        <v>0</v>
      </c>
      <c r="AN38" s="117">
        <v>-2.8565107877019802</v>
      </c>
      <c r="AO38" s="117">
        <v>0</v>
      </c>
      <c r="AP38" s="117">
        <v>0</v>
      </c>
      <c r="AQ38" s="117">
        <v>0</v>
      </c>
      <c r="AR38" s="117">
        <v>0</v>
      </c>
      <c r="AS38" s="117">
        <v>0</v>
      </c>
      <c r="AT38" s="118">
        <v>0</v>
      </c>
    </row>
    <row r="39" spans="2:46" ht="12" customHeight="1" x14ac:dyDescent="0.25">
      <c r="B39" s="116" t="s">
        <v>41</v>
      </c>
      <c r="C39" s="117" t="s">
        <v>23</v>
      </c>
      <c r="D39" s="117" t="s">
        <v>42</v>
      </c>
      <c r="E39" s="117" t="s">
        <v>86</v>
      </c>
      <c r="F39" s="117" t="s">
        <v>25</v>
      </c>
      <c r="G39" s="117" t="s">
        <v>25</v>
      </c>
      <c r="H39" s="117" t="s">
        <v>68</v>
      </c>
      <c r="I39" s="117" t="s">
        <v>25</v>
      </c>
      <c r="J39" s="117">
        <v>21.35</v>
      </c>
      <c r="K39" s="117">
        <v>-2.8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18.096856455236999</v>
      </c>
      <c r="R39" s="117">
        <v>3.4568771295765202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0</v>
      </c>
      <c r="Y39" s="117">
        <v>0</v>
      </c>
      <c r="Z39" s="117">
        <v>0</v>
      </c>
      <c r="AA39" s="117">
        <v>0</v>
      </c>
      <c r="AB39" s="117">
        <v>0</v>
      </c>
      <c r="AC39" s="117">
        <v>0</v>
      </c>
      <c r="AD39" s="117">
        <v>0</v>
      </c>
      <c r="AE39" s="117">
        <v>-0.18708647623848701</v>
      </c>
      <c r="AF39" s="117">
        <v>0</v>
      </c>
      <c r="AG39" s="117">
        <v>-1.46886124458286E-2</v>
      </c>
      <c r="AH39" s="117">
        <v>0</v>
      </c>
      <c r="AI39" s="117">
        <v>0</v>
      </c>
      <c r="AJ39" s="117">
        <v>0</v>
      </c>
      <c r="AK39" s="117">
        <v>0</v>
      </c>
      <c r="AL39" s="117">
        <v>0</v>
      </c>
      <c r="AM39" s="117">
        <v>0</v>
      </c>
      <c r="AN39" s="117">
        <v>-2.7957339624317199</v>
      </c>
      <c r="AO39" s="117">
        <v>0</v>
      </c>
      <c r="AP39" s="117">
        <v>0</v>
      </c>
      <c r="AQ39" s="117">
        <v>0</v>
      </c>
      <c r="AR39" s="117">
        <v>0</v>
      </c>
      <c r="AS39" s="117">
        <v>0</v>
      </c>
      <c r="AT39" s="118">
        <v>0</v>
      </c>
    </row>
    <row r="40" spans="2:46" ht="12" customHeight="1" x14ac:dyDescent="0.25">
      <c r="B40" s="116" t="s">
        <v>41</v>
      </c>
      <c r="C40" s="117" t="s">
        <v>84</v>
      </c>
      <c r="D40" s="117" t="s">
        <v>42</v>
      </c>
      <c r="E40" s="117" t="s">
        <v>85</v>
      </c>
      <c r="F40" s="117" t="s">
        <v>25</v>
      </c>
      <c r="G40" s="117" t="s">
        <v>25</v>
      </c>
      <c r="H40" s="117" t="s">
        <v>68</v>
      </c>
      <c r="I40" s="117" t="s">
        <v>25</v>
      </c>
      <c r="J40" s="117">
        <v>21.82</v>
      </c>
      <c r="K40" s="117">
        <v>-2.86</v>
      </c>
      <c r="L40" s="117">
        <v>0</v>
      </c>
      <c r="M40" s="117">
        <v>0</v>
      </c>
      <c r="N40" s="117">
        <v>0</v>
      </c>
      <c r="O40" s="117">
        <v>0</v>
      </c>
      <c r="P40" s="117">
        <v>0</v>
      </c>
      <c r="Q40" s="117">
        <v>18.490266378176901</v>
      </c>
      <c r="R40" s="117">
        <v>3.5320266323934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0</v>
      </c>
      <c r="Y40" s="117">
        <v>0</v>
      </c>
      <c r="Z40" s="117">
        <v>0</v>
      </c>
      <c r="AA40" s="117">
        <v>0</v>
      </c>
      <c r="AB40" s="117">
        <v>0</v>
      </c>
      <c r="AC40" s="117">
        <v>0</v>
      </c>
      <c r="AD40" s="117">
        <v>0</v>
      </c>
      <c r="AE40" s="117">
        <v>-0.19115357354801901</v>
      </c>
      <c r="AF40" s="117">
        <v>0</v>
      </c>
      <c r="AG40" s="117">
        <v>-1.5007930107694399E-2</v>
      </c>
      <c r="AH40" s="117">
        <v>0</v>
      </c>
      <c r="AI40" s="117">
        <v>0</v>
      </c>
      <c r="AJ40" s="117">
        <v>0</v>
      </c>
      <c r="AK40" s="117">
        <v>0</v>
      </c>
      <c r="AL40" s="117">
        <v>0</v>
      </c>
      <c r="AM40" s="117">
        <v>0</v>
      </c>
      <c r="AN40" s="117">
        <v>-2.8565107877019802</v>
      </c>
      <c r="AO40" s="117">
        <v>0</v>
      </c>
      <c r="AP40" s="117">
        <v>0</v>
      </c>
      <c r="AQ40" s="117">
        <v>0</v>
      </c>
      <c r="AR40" s="117">
        <v>0</v>
      </c>
      <c r="AS40" s="117">
        <v>0</v>
      </c>
      <c r="AT40" s="118">
        <v>0</v>
      </c>
    </row>
    <row r="41" spans="2:46" ht="12" customHeight="1" x14ac:dyDescent="0.25">
      <c r="B41" s="116" t="s">
        <v>41</v>
      </c>
      <c r="C41" s="117" t="s">
        <v>84</v>
      </c>
      <c r="D41" s="117" t="s">
        <v>42</v>
      </c>
      <c r="E41" s="117" t="s">
        <v>25</v>
      </c>
      <c r="F41" s="117" t="s">
        <v>25</v>
      </c>
      <c r="G41" s="117" t="s">
        <v>25</v>
      </c>
      <c r="H41" s="117" t="s">
        <v>68</v>
      </c>
      <c r="I41" s="117" t="s">
        <v>25</v>
      </c>
      <c r="J41" s="117">
        <v>21.82</v>
      </c>
      <c r="K41" s="117">
        <v>-2.86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18.490266378176901</v>
      </c>
      <c r="R41" s="117">
        <v>3.5320266323934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0</v>
      </c>
      <c r="Y41" s="117">
        <v>0</v>
      </c>
      <c r="Z41" s="117">
        <v>0</v>
      </c>
      <c r="AA41" s="117">
        <v>0</v>
      </c>
      <c r="AB41" s="117">
        <v>0</v>
      </c>
      <c r="AC41" s="117">
        <v>0</v>
      </c>
      <c r="AD41" s="117">
        <v>0</v>
      </c>
      <c r="AE41" s="117">
        <v>-0.19115357354801901</v>
      </c>
      <c r="AF41" s="117">
        <v>0</v>
      </c>
      <c r="AG41" s="117">
        <v>-1.5007930107694399E-2</v>
      </c>
      <c r="AH41" s="117">
        <v>0</v>
      </c>
      <c r="AI41" s="117">
        <v>0</v>
      </c>
      <c r="AJ41" s="117">
        <v>0</v>
      </c>
      <c r="AK41" s="117">
        <v>0</v>
      </c>
      <c r="AL41" s="117">
        <v>0</v>
      </c>
      <c r="AM41" s="117">
        <v>0</v>
      </c>
      <c r="AN41" s="117">
        <v>-2.8565107877019802</v>
      </c>
      <c r="AO41" s="117">
        <v>0</v>
      </c>
      <c r="AP41" s="117">
        <v>0</v>
      </c>
      <c r="AQ41" s="117">
        <v>0</v>
      </c>
      <c r="AR41" s="117">
        <v>0</v>
      </c>
      <c r="AS41" s="117">
        <v>0</v>
      </c>
      <c r="AT41" s="118">
        <v>0</v>
      </c>
    </row>
    <row r="42" spans="2:46" ht="12" customHeight="1" x14ac:dyDescent="0.25">
      <c r="B42" s="116" t="s">
        <v>41</v>
      </c>
      <c r="C42" s="117" t="s">
        <v>84</v>
      </c>
      <c r="D42" s="117" t="s">
        <v>42</v>
      </c>
      <c r="E42" s="117" t="s">
        <v>86</v>
      </c>
      <c r="F42" s="117" t="s">
        <v>25</v>
      </c>
      <c r="G42" s="117" t="s">
        <v>25</v>
      </c>
      <c r="H42" s="117" t="s">
        <v>68</v>
      </c>
      <c r="I42" s="117" t="s">
        <v>25</v>
      </c>
      <c r="J42" s="117">
        <v>21.35</v>
      </c>
      <c r="K42" s="117">
        <v>-2.8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18.096856455236999</v>
      </c>
      <c r="R42" s="117">
        <v>3.4568771295765202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0</v>
      </c>
      <c r="Y42" s="117">
        <v>0</v>
      </c>
      <c r="Z42" s="117">
        <v>0</v>
      </c>
      <c r="AA42" s="117">
        <v>0</v>
      </c>
      <c r="AB42" s="117">
        <v>0</v>
      </c>
      <c r="AC42" s="117">
        <v>0</v>
      </c>
      <c r="AD42" s="117">
        <v>0</v>
      </c>
      <c r="AE42" s="117">
        <v>-0.18708647623848701</v>
      </c>
      <c r="AF42" s="117">
        <v>0</v>
      </c>
      <c r="AG42" s="117">
        <v>-1.46886124458286E-2</v>
      </c>
      <c r="AH42" s="117">
        <v>0</v>
      </c>
      <c r="AI42" s="117">
        <v>0</v>
      </c>
      <c r="AJ42" s="117">
        <v>0</v>
      </c>
      <c r="AK42" s="117">
        <v>0</v>
      </c>
      <c r="AL42" s="117">
        <v>0</v>
      </c>
      <c r="AM42" s="117">
        <v>0</v>
      </c>
      <c r="AN42" s="117">
        <v>-2.7957339624317199</v>
      </c>
      <c r="AO42" s="117">
        <v>0</v>
      </c>
      <c r="AP42" s="117">
        <v>0</v>
      </c>
      <c r="AQ42" s="117">
        <v>0</v>
      </c>
      <c r="AR42" s="117">
        <v>0</v>
      </c>
      <c r="AS42" s="117">
        <v>0</v>
      </c>
      <c r="AT42" s="118">
        <v>0</v>
      </c>
    </row>
    <row r="43" spans="2:46" ht="12" customHeight="1" x14ac:dyDescent="0.25">
      <c r="B43" s="116" t="s">
        <v>32</v>
      </c>
      <c r="C43" s="117" t="s">
        <v>38</v>
      </c>
      <c r="D43" s="117" t="s">
        <v>25</v>
      </c>
      <c r="E43" s="117" t="s">
        <v>25</v>
      </c>
      <c r="F43" s="117" t="s">
        <v>25</v>
      </c>
      <c r="G43" s="117" t="s">
        <v>36</v>
      </c>
      <c r="H43" s="117" t="s">
        <v>68</v>
      </c>
      <c r="I43" s="117" t="s">
        <v>25</v>
      </c>
      <c r="J43" s="117">
        <v>23.21</v>
      </c>
      <c r="K43" s="117">
        <v>-4.93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19.670496146996701</v>
      </c>
      <c r="R43" s="117">
        <v>3.7574751408440399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0</v>
      </c>
      <c r="Y43" s="117">
        <v>0</v>
      </c>
      <c r="Z43" s="117">
        <v>0</v>
      </c>
      <c r="AA43" s="117">
        <v>0</v>
      </c>
      <c r="AB43" s="117">
        <v>0</v>
      </c>
      <c r="AC43" s="117">
        <v>0</v>
      </c>
      <c r="AD43" s="117">
        <v>0</v>
      </c>
      <c r="AE43" s="117">
        <v>-0.20335486547661599</v>
      </c>
      <c r="AF43" s="117">
        <v>0</v>
      </c>
      <c r="AG43" s="117">
        <v>-1.5965883093291899E-2</v>
      </c>
      <c r="AH43" s="117">
        <v>0</v>
      </c>
      <c r="AI43" s="117">
        <v>0</v>
      </c>
      <c r="AJ43" s="117">
        <v>0</v>
      </c>
      <c r="AK43" s="117">
        <v>0</v>
      </c>
      <c r="AL43" s="117">
        <v>0</v>
      </c>
      <c r="AM43" s="117">
        <v>0</v>
      </c>
      <c r="AN43" s="117">
        <v>-4.9309499747565297</v>
      </c>
      <c r="AO43" s="117">
        <v>0</v>
      </c>
      <c r="AP43" s="117">
        <v>0</v>
      </c>
      <c r="AQ43" s="117">
        <v>0</v>
      </c>
      <c r="AR43" s="117">
        <v>0</v>
      </c>
      <c r="AS43" s="117">
        <v>0</v>
      </c>
      <c r="AT43" s="118">
        <v>0</v>
      </c>
    </row>
    <row r="44" spans="2:46" ht="12" customHeight="1" x14ac:dyDescent="0.25">
      <c r="B44" s="116" t="s">
        <v>32</v>
      </c>
      <c r="C44" s="117" t="s">
        <v>38</v>
      </c>
      <c r="D44" s="117" t="s">
        <v>25</v>
      </c>
      <c r="E44" s="117" t="s">
        <v>25</v>
      </c>
      <c r="F44" s="117" t="s">
        <v>25</v>
      </c>
      <c r="G44" s="117" t="s">
        <v>39</v>
      </c>
      <c r="H44" s="117" t="s">
        <v>68</v>
      </c>
      <c r="I44" s="117" t="s">
        <v>25</v>
      </c>
      <c r="J44" s="117">
        <v>23.21</v>
      </c>
      <c r="K44" s="117">
        <v>-2.87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19.670496146996701</v>
      </c>
      <c r="R44" s="117">
        <v>3.7574751408440399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0</v>
      </c>
      <c r="Y44" s="117">
        <v>0</v>
      </c>
      <c r="Z44" s="117">
        <v>0</v>
      </c>
      <c r="AA44" s="117">
        <v>0</v>
      </c>
      <c r="AB44" s="117">
        <v>0</v>
      </c>
      <c r="AC44" s="117">
        <v>0</v>
      </c>
      <c r="AD44" s="117">
        <v>0</v>
      </c>
      <c r="AE44" s="117">
        <v>-0.20335486547661599</v>
      </c>
      <c r="AF44" s="117">
        <v>0</v>
      </c>
      <c r="AG44" s="117">
        <v>-1.5965883093291899E-2</v>
      </c>
      <c r="AH44" s="117">
        <v>0</v>
      </c>
      <c r="AI44" s="117">
        <v>0</v>
      </c>
      <c r="AJ44" s="117">
        <v>0</v>
      </c>
      <c r="AK44" s="117">
        <v>0</v>
      </c>
      <c r="AL44" s="117">
        <v>0</v>
      </c>
      <c r="AM44" s="117">
        <v>0</v>
      </c>
      <c r="AN44" s="117">
        <v>-2.8668313806724002</v>
      </c>
      <c r="AO44" s="117">
        <v>0</v>
      </c>
      <c r="AP44" s="117">
        <v>0</v>
      </c>
      <c r="AQ44" s="117">
        <v>0</v>
      </c>
      <c r="AR44" s="117">
        <v>0</v>
      </c>
      <c r="AS44" s="117">
        <v>0</v>
      </c>
      <c r="AT44" s="118">
        <v>0</v>
      </c>
    </row>
    <row r="45" spans="2:46" ht="12" customHeight="1" x14ac:dyDescent="0.25">
      <c r="B45" s="116" t="s">
        <v>32</v>
      </c>
      <c r="C45" s="117" t="s">
        <v>38</v>
      </c>
      <c r="D45" s="117" t="s">
        <v>25</v>
      </c>
      <c r="E45" s="117" t="s">
        <v>25</v>
      </c>
      <c r="F45" s="117" t="s">
        <v>25</v>
      </c>
      <c r="G45" s="117" t="s">
        <v>37</v>
      </c>
      <c r="H45" s="117" t="s">
        <v>68</v>
      </c>
      <c r="I45" s="117" t="s">
        <v>25</v>
      </c>
      <c r="J45" s="117">
        <v>23.21</v>
      </c>
      <c r="K45" s="117">
        <v>-2.87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19.670496146996701</v>
      </c>
      <c r="R45" s="117">
        <v>3.7574751408440399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0</v>
      </c>
      <c r="Y45" s="117">
        <v>0</v>
      </c>
      <c r="Z45" s="117">
        <v>0</v>
      </c>
      <c r="AA45" s="117">
        <v>0</v>
      </c>
      <c r="AB45" s="117">
        <v>0</v>
      </c>
      <c r="AC45" s="117">
        <v>0</v>
      </c>
      <c r="AD45" s="117">
        <v>0</v>
      </c>
      <c r="AE45" s="117">
        <v>-0.20335486547661599</v>
      </c>
      <c r="AF45" s="117">
        <v>0</v>
      </c>
      <c r="AG45" s="117">
        <v>-1.5965883093291899E-2</v>
      </c>
      <c r="AH45" s="117">
        <v>0</v>
      </c>
      <c r="AI45" s="117">
        <v>0</v>
      </c>
      <c r="AJ45" s="117">
        <v>0</v>
      </c>
      <c r="AK45" s="117">
        <v>0</v>
      </c>
      <c r="AL45" s="117">
        <v>0</v>
      </c>
      <c r="AM45" s="117">
        <v>0</v>
      </c>
      <c r="AN45" s="117">
        <v>-2.8668313806724002</v>
      </c>
      <c r="AO45" s="117">
        <v>0</v>
      </c>
      <c r="AP45" s="117">
        <v>0</v>
      </c>
      <c r="AQ45" s="117">
        <v>0</v>
      </c>
      <c r="AR45" s="117">
        <v>0</v>
      </c>
      <c r="AS45" s="117">
        <v>0</v>
      </c>
      <c r="AT45" s="118">
        <v>0</v>
      </c>
    </row>
    <row r="46" spans="2:46" ht="12" customHeight="1" x14ac:dyDescent="0.25">
      <c r="B46" s="116" t="s">
        <v>32</v>
      </c>
      <c r="C46" s="117" t="s">
        <v>23</v>
      </c>
      <c r="D46" s="117" t="s">
        <v>25</v>
      </c>
      <c r="E46" s="117" t="s">
        <v>25</v>
      </c>
      <c r="F46" s="117" t="s">
        <v>25</v>
      </c>
      <c r="G46" s="117" t="s">
        <v>25</v>
      </c>
      <c r="H46" s="117" t="s">
        <v>68</v>
      </c>
      <c r="I46" s="117" t="s">
        <v>25</v>
      </c>
      <c r="J46" s="117">
        <v>23.21</v>
      </c>
      <c r="K46" s="117">
        <v>-3.04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19.670496146996701</v>
      </c>
      <c r="R46" s="117">
        <v>3.7574751408440399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0</v>
      </c>
      <c r="Y46" s="117">
        <v>0</v>
      </c>
      <c r="Z46" s="117">
        <v>0</v>
      </c>
      <c r="AA46" s="117">
        <v>0</v>
      </c>
      <c r="AB46" s="117">
        <v>0</v>
      </c>
      <c r="AC46" s="117">
        <v>0</v>
      </c>
      <c r="AD46" s="117">
        <v>0</v>
      </c>
      <c r="AE46" s="117">
        <v>-0.20335486547661599</v>
      </c>
      <c r="AF46" s="117">
        <v>0</v>
      </c>
      <c r="AG46" s="117">
        <v>-1.5965883093291899E-2</v>
      </c>
      <c r="AH46" s="117">
        <v>0</v>
      </c>
      <c r="AI46" s="117">
        <v>0</v>
      </c>
      <c r="AJ46" s="117">
        <v>0</v>
      </c>
      <c r="AK46" s="117">
        <v>0</v>
      </c>
      <c r="AL46" s="117">
        <v>0</v>
      </c>
      <c r="AM46" s="117">
        <v>0</v>
      </c>
      <c r="AN46" s="117">
        <v>-3.0388412635127402</v>
      </c>
      <c r="AO46" s="117">
        <v>0</v>
      </c>
      <c r="AP46" s="117">
        <v>0</v>
      </c>
      <c r="AQ46" s="117">
        <v>0</v>
      </c>
      <c r="AR46" s="117">
        <v>0</v>
      </c>
      <c r="AS46" s="117">
        <v>0</v>
      </c>
      <c r="AT46" s="118">
        <v>0</v>
      </c>
    </row>
    <row r="47" spans="2:46" ht="12" customHeight="1" x14ac:dyDescent="0.25">
      <c r="B47" s="116" t="s">
        <v>32</v>
      </c>
      <c r="C47" s="117" t="s">
        <v>84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68</v>
      </c>
      <c r="I47" s="117" t="s">
        <v>25</v>
      </c>
      <c r="J47" s="117">
        <v>23.21</v>
      </c>
      <c r="K47" s="117">
        <v>-3.04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19.670496146996701</v>
      </c>
      <c r="R47" s="117">
        <v>3.7574751408440399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0</v>
      </c>
      <c r="Y47" s="117">
        <v>0</v>
      </c>
      <c r="Z47" s="117">
        <v>0</v>
      </c>
      <c r="AA47" s="117">
        <v>0</v>
      </c>
      <c r="AB47" s="117">
        <v>0</v>
      </c>
      <c r="AC47" s="117">
        <v>0</v>
      </c>
      <c r="AD47" s="117">
        <v>0</v>
      </c>
      <c r="AE47" s="117">
        <v>-0.20335486547661599</v>
      </c>
      <c r="AF47" s="117">
        <v>0</v>
      </c>
      <c r="AG47" s="117">
        <v>-1.5965883093291899E-2</v>
      </c>
      <c r="AH47" s="117">
        <v>0</v>
      </c>
      <c r="AI47" s="117">
        <v>0</v>
      </c>
      <c r="AJ47" s="117">
        <v>0</v>
      </c>
      <c r="AK47" s="117">
        <v>0</v>
      </c>
      <c r="AL47" s="117">
        <v>0</v>
      </c>
      <c r="AM47" s="117">
        <v>0</v>
      </c>
      <c r="AN47" s="117">
        <v>-3.0388412635127402</v>
      </c>
      <c r="AO47" s="117">
        <v>0</v>
      </c>
      <c r="AP47" s="117">
        <v>0</v>
      </c>
      <c r="AQ47" s="117">
        <v>0</v>
      </c>
      <c r="AR47" s="117">
        <v>0</v>
      </c>
      <c r="AS47" s="117">
        <v>0</v>
      </c>
      <c r="AT47" s="118">
        <v>0</v>
      </c>
    </row>
    <row r="48" spans="2:46" ht="12" customHeight="1" x14ac:dyDescent="0.25">
      <c r="B48" s="116" t="s">
        <v>44</v>
      </c>
      <c r="C48" s="117" t="s">
        <v>23</v>
      </c>
      <c r="D48" s="117" t="s">
        <v>45</v>
      </c>
      <c r="E48" s="117" t="s">
        <v>46</v>
      </c>
      <c r="F48" s="117" t="s">
        <v>25</v>
      </c>
      <c r="G48" s="117" t="s">
        <v>25</v>
      </c>
      <c r="H48" s="117" t="s">
        <v>68</v>
      </c>
      <c r="I48" s="117" t="s">
        <v>25</v>
      </c>
      <c r="J48" s="117">
        <v>12.76</v>
      </c>
      <c r="K48" s="117">
        <v>-1.67</v>
      </c>
      <c r="L48" s="117">
        <v>0</v>
      </c>
      <c r="M48" s="117">
        <v>0</v>
      </c>
      <c r="N48" s="117">
        <v>0</v>
      </c>
      <c r="O48" s="117">
        <v>0</v>
      </c>
      <c r="P48" s="117">
        <v>0</v>
      </c>
      <c r="Q48" s="117">
        <v>10.818772880848201</v>
      </c>
      <c r="R48" s="117">
        <v>2.0666113274642202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0</v>
      </c>
      <c r="Y48" s="117">
        <v>0</v>
      </c>
      <c r="Z48" s="117">
        <v>0</v>
      </c>
      <c r="AA48" s="117">
        <v>0</v>
      </c>
      <c r="AB48" s="117">
        <v>0</v>
      </c>
      <c r="AC48" s="117">
        <v>0</v>
      </c>
      <c r="AD48" s="117">
        <v>0</v>
      </c>
      <c r="AE48" s="117">
        <v>-0.111845176012139</v>
      </c>
      <c r="AF48" s="117">
        <v>0</v>
      </c>
      <c r="AG48" s="117">
        <v>-8.7812357013105601E-3</v>
      </c>
      <c r="AH48" s="117">
        <v>0</v>
      </c>
      <c r="AI48" s="117">
        <v>0</v>
      </c>
      <c r="AJ48" s="117">
        <v>0</v>
      </c>
      <c r="AK48" s="117">
        <v>0</v>
      </c>
      <c r="AL48" s="117">
        <v>0</v>
      </c>
      <c r="AM48" s="117">
        <v>0</v>
      </c>
      <c r="AN48" s="117">
        <v>-1.67136269493201</v>
      </c>
      <c r="AO48" s="117">
        <v>0</v>
      </c>
      <c r="AP48" s="117">
        <v>0</v>
      </c>
      <c r="AQ48" s="117">
        <v>0</v>
      </c>
      <c r="AR48" s="117">
        <v>0</v>
      </c>
      <c r="AS48" s="117">
        <v>0</v>
      </c>
      <c r="AT48" s="118">
        <v>0</v>
      </c>
    </row>
    <row r="49" spans="2:46" ht="12" customHeight="1" x14ac:dyDescent="0.25">
      <c r="B49" s="119" t="s">
        <v>44</v>
      </c>
      <c r="C49" s="120" t="s">
        <v>23</v>
      </c>
      <c r="D49" s="120" t="s">
        <v>45</v>
      </c>
      <c r="E49" s="120" t="s">
        <v>87</v>
      </c>
      <c r="F49" s="120" t="s">
        <v>25</v>
      </c>
      <c r="G49" s="120" t="s">
        <v>25</v>
      </c>
      <c r="H49" s="120" t="s">
        <v>68</v>
      </c>
      <c r="I49" s="120" t="s">
        <v>25</v>
      </c>
      <c r="J49" s="120">
        <v>13.93</v>
      </c>
      <c r="K49" s="120">
        <v>-1.8199999999999998</v>
      </c>
      <c r="L49" s="120">
        <v>0</v>
      </c>
      <c r="M49" s="120">
        <v>0</v>
      </c>
      <c r="N49" s="120">
        <v>0</v>
      </c>
      <c r="O49" s="120">
        <v>0</v>
      </c>
      <c r="P49" s="120">
        <v>0</v>
      </c>
      <c r="Q49" s="120">
        <v>11.802297688197999</v>
      </c>
      <c r="R49" s="120">
        <v>2.2544850845064199</v>
      </c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20">
        <v>0</v>
      </c>
      <c r="Y49" s="120">
        <v>0</v>
      </c>
      <c r="Z49" s="120">
        <v>0</v>
      </c>
      <c r="AA49" s="120">
        <v>0</v>
      </c>
      <c r="AB49" s="120">
        <v>0</v>
      </c>
      <c r="AC49" s="120">
        <v>0</v>
      </c>
      <c r="AD49" s="120">
        <v>0</v>
      </c>
      <c r="AE49" s="120">
        <v>-0.12201291928597</v>
      </c>
      <c r="AF49" s="120">
        <v>0</v>
      </c>
      <c r="AG49" s="120">
        <v>-9.57952985597515E-3</v>
      </c>
      <c r="AH49" s="120">
        <v>0</v>
      </c>
      <c r="AI49" s="120">
        <v>0</v>
      </c>
      <c r="AJ49" s="120">
        <v>0</v>
      </c>
      <c r="AK49" s="120">
        <v>0</v>
      </c>
      <c r="AL49" s="120">
        <v>0</v>
      </c>
      <c r="AM49" s="120">
        <v>0</v>
      </c>
      <c r="AN49" s="120">
        <v>-1.82330475810765</v>
      </c>
      <c r="AO49" s="120">
        <v>0</v>
      </c>
      <c r="AP49" s="120">
        <v>0</v>
      </c>
      <c r="AQ49" s="120">
        <v>0</v>
      </c>
      <c r="AR49" s="120">
        <v>0</v>
      </c>
      <c r="AS49" s="120">
        <v>0</v>
      </c>
      <c r="AT49" s="121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TABELAS REH REG</vt:lpstr>
      <vt:lpstr>CONSISTENCIA</vt:lpstr>
      <vt:lpstr>TUSD</vt:lpstr>
      <vt:lpstr>TE</vt:lpstr>
      <vt:lpstr>RESUMO TUSD</vt:lpstr>
      <vt:lpstr>RESUMO TE</vt:lpstr>
      <vt:lpstr>TUSD BF_350</vt:lpstr>
      <vt:lpstr>TE BF_350</vt:lpstr>
      <vt:lpstr>TabDinEfeito_350</vt:lpstr>
      <vt:lpstr>EFEITO_350</vt:lpstr>
      <vt:lpstr>TarifaMedia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Robson Kuhn Yatsu</cp:lastModifiedBy>
  <dcterms:created xsi:type="dcterms:W3CDTF">2022-08-17T13:40:47Z</dcterms:created>
  <dcterms:modified xsi:type="dcterms:W3CDTF">2022-09-28T18:09:52Z</dcterms:modified>
</cp:coreProperties>
</file>